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2120" windowHeight="6075" tabRatio="894" activeTab="0"/>
  </bookViews>
  <sheets>
    <sheet name="Input&amp;Results" sheetId="1" r:id="rId1"/>
    <sheet name="PARAMETERS" sheetId="2" r:id="rId2"/>
    <sheet name="Chart TABLES" sheetId="3" state="hidden" r:id="rId3"/>
    <sheet name="PopPlot" sheetId="4" r:id="rId4"/>
    <sheet name="SQKPlot" sheetId="5" r:id="rId5"/>
    <sheet name="RunsPlot" sheetId="6" r:id="rId6"/>
    <sheet name="SomeTestData" sheetId="7" r:id="rId7"/>
    <sheet name="SampleResults" sheetId="8" r:id="rId8"/>
  </sheets>
  <definedNames>
    <definedName name="_xlnm.Print_Area" localSheetId="2">'Chart TABLES'!$B$2:$G$24</definedName>
    <definedName name="_xlnm.Print_Area" localSheetId="0">'Input&amp;Results'!$A$1:$J$24</definedName>
    <definedName name="_xlnm.Print_Area" localSheetId="1">'PARAMETERS'!$A$1:$I$67</definedName>
    <definedName name="_xlnm.Print_Area" localSheetId="7">'SampleResults'!$B$2:$M$70</definedName>
    <definedName name="_xlnm.Print_Area" localSheetId="6">'SomeTestData'!$A$1:$E$72</definedName>
    <definedName name="_xlnm.Print_Titles" localSheetId="6">'SomeTestData'!$1:$3</definedName>
  </definedNames>
  <calcPr fullCalcOnLoad="1"/>
</workbook>
</file>

<file path=xl/comments1.xml><?xml version="1.0" encoding="utf-8"?>
<comments xmlns="http://schemas.openxmlformats.org/spreadsheetml/2006/main">
  <authors>
    <author>Cliff Wiggins</author>
    <author>Wiggins,Cliff N.</author>
  </authors>
  <commentList>
    <comment ref="G19" authorId="0">
      <text>
        <r>
          <rPr>
            <b/>
            <sz val="8"/>
            <rFont val="Tahoma"/>
            <family val="0"/>
          </rPr>
          <t>A minimum of 2 Ambulances.  If &gt;2 the # is rounded to the next whole #.</t>
        </r>
      </text>
    </comment>
    <comment ref="D3" authorId="0">
      <text>
        <r>
          <rPr>
            <b/>
            <sz val="8"/>
            <rFont val="Tahoma"/>
            <family val="0"/>
          </rPr>
          <t>Cliff Wiggins:</t>
        </r>
        <r>
          <rPr>
            <sz val="8"/>
            <rFont val="Tahoma"/>
            <family val="0"/>
          </rPr>
          <t xml:space="preserve">
The input data are filtered for consistency.  If local data are not input in column C, default values are used.  If actual workloads are less than the standard 131 runs 1,000, that computation is substituted for actual workload.  Otherwise if higher than the standard, the actual workload is used.</t>
        </r>
      </text>
    </comment>
    <comment ref="A6" authorId="0">
      <text>
        <r>
          <rPr>
            <b/>
            <sz val="8"/>
            <rFont val="Tahoma"/>
            <family val="0"/>
          </rPr>
          <t>Cliff Wiggins:</t>
        </r>
        <r>
          <rPr>
            <sz val="8"/>
            <rFont val="Tahoma"/>
            <family val="0"/>
          </rPr>
          <t xml:space="preserve">
This percentage refers to that part of </t>
        </r>
        <r>
          <rPr>
            <b/>
            <sz val="8"/>
            <color indexed="10"/>
            <rFont val="Tahoma"/>
            <family val="2"/>
          </rPr>
          <t>ALL</t>
        </r>
        <r>
          <rPr>
            <sz val="8"/>
            <rFont val="Tahoma"/>
            <family val="0"/>
          </rPr>
          <t xml:space="preserve"> EMS workload that is (or should be) paid for by CHS.</t>
        </r>
      </text>
    </comment>
    <comment ref="J1" authorId="1">
      <text>
        <r>
          <rPr>
            <b/>
            <sz val="8"/>
            <rFont val="Tahoma"/>
            <family val="0"/>
          </rPr>
          <t>Wiggins,Cliff N.:</t>
        </r>
        <r>
          <rPr>
            <sz val="8"/>
            <rFont val="Tahoma"/>
            <family val="0"/>
          </rPr>
          <t xml:space="preserve">
Stand Alone Model.  The Input&amp;Results and Parameters Worksheets work together.</t>
        </r>
      </text>
    </comment>
  </commentList>
</comments>
</file>

<file path=xl/comments2.xml><?xml version="1.0" encoding="utf-8"?>
<comments xmlns="http://schemas.openxmlformats.org/spreadsheetml/2006/main">
  <authors>
    <author>Cliff Wiggins</author>
  </authors>
  <commentList>
    <comment ref="H15" authorId="0">
      <text>
        <r>
          <rPr>
            <sz val="8"/>
            <rFont val="Tahoma"/>
            <family val="0"/>
          </rPr>
          <t>This illustrates the conversion of the old EMS formula  from "relative value" units per population and then into FTE, ie. 1/1000 is the staffing ratio which is a combination of 2 ratios in the old EMS formula. 
1) .4 is the # of relative value (RV) units per 1,000 users for less than 3,250 users in  the original EMS RRMNA model.
2) 2.5 is the # of FTE per RV unit in old RRMNA table
Similar conversions were applied to the other parameters in this table.</t>
        </r>
      </text>
    </comment>
    <comment ref="E11" authorId="0">
      <text>
        <r>
          <rPr>
            <b/>
            <sz val="8"/>
            <rFont val="Tahoma"/>
            <family val="0"/>
          </rPr>
          <t>Uses higher of actual runs or 131/1,000.</t>
        </r>
        <r>
          <rPr>
            <sz val="8"/>
            <rFont val="Tahoma"/>
            <family val="0"/>
          </rPr>
          <t xml:space="preserve">
</t>
        </r>
      </text>
    </comment>
    <comment ref="E10" authorId="0">
      <text>
        <r>
          <rPr>
            <b/>
            <sz val="8"/>
            <rFont val="Tahoma"/>
            <family val="0"/>
          </rPr>
          <t>If square miles is unknown, 6.6 users per sq.mi. is assumed.  6.6 is the average of 17 Units.</t>
        </r>
      </text>
    </comment>
    <comment ref="D8" authorId="0">
      <text>
        <r>
          <rPr>
            <b/>
            <sz val="8"/>
            <rFont val="Tahoma"/>
            <family val="0"/>
          </rPr>
          <t>User Population * % Direct</t>
        </r>
      </text>
    </comment>
    <comment ref="E9" authorId="0">
      <text>
        <r>
          <rPr>
            <b/>
            <sz val="8"/>
            <rFont val="Tahoma"/>
            <family val="0"/>
          </rPr>
          <t>100%- CHS %</t>
        </r>
      </text>
    </comment>
    <comment ref="E15" authorId="0">
      <text>
        <r>
          <rPr>
            <b/>
            <sz val="8"/>
            <rFont val="Tahoma"/>
            <family val="0"/>
          </rPr>
          <t xml:space="preserve">Actual local CHS % or 100%.
If Pop * Direct % is not &gt; than Minimum Direct population, a direct EMS program is not practical and 100% CHS is assumed. </t>
        </r>
      </text>
    </comment>
    <comment ref="E16" authorId="0">
      <text>
        <r>
          <rPr>
            <b/>
            <sz val="8"/>
            <rFont val="Tahoma"/>
            <family val="0"/>
          </rPr>
          <t>CHS % * Users</t>
        </r>
      </text>
    </comment>
    <comment ref="H41" authorId="0">
      <text>
        <r>
          <rPr>
            <b/>
            <sz val="8"/>
            <rFont val="Tahoma"/>
            <family val="0"/>
          </rPr>
          <t>Data supplied annually by EMS or RRM committee</t>
        </r>
      </text>
    </comment>
    <comment ref="H38" authorId="0">
      <text>
        <r>
          <rPr>
            <b/>
            <sz val="8"/>
            <rFont val="Tahoma"/>
            <family val="0"/>
          </rPr>
          <t>Data supplied annually by EMS or RRM committee</t>
        </r>
      </text>
    </comment>
    <comment ref="H3" authorId="0">
      <text>
        <r>
          <rPr>
            <b/>
            <sz val="8"/>
            <rFont val="Tahoma"/>
            <family val="0"/>
          </rPr>
          <t>These are  ratios that convert the driving variables into EMS FTE and $  The values are based on the original RRMNA EMS model but are slightly adjusted to eliminate minor but unexplained variations in the old ratios.  The RRM committee must approve all revisions to these parameters.</t>
        </r>
        <r>
          <rPr>
            <sz val="8"/>
            <rFont val="Tahoma"/>
            <family val="0"/>
          </rPr>
          <t xml:space="preserve">
</t>
        </r>
      </text>
    </comment>
    <comment ref="C15" authorId="0">
      <text>
        <r>
          <rPr>
            <sz val="8"/>
            <rFont val="Tahoma"/>
            <family val="0"/>
          </rPr>
          <t>Verifies a numeric user input for CHS%, otherwise defaults to 100% except where actual CHS runs allow % calculations.</t>
        </r>
      </text>
    </comment>
    <comment ref="E8" authorId="0">
      <text>
        <r>
          <rPr>
            <sz val="8"/>
            <rFont val="Tahoma"/>
            <family val="0"/>
          </rPr>
          <t xml:space="preserve">Zero if pop direct &lt; threshold pop.
</t>
        </r>
      </text>
    </comment>
    <comment ref="E17" authorId="0">
      <text>
        <r>
          <rPr>
            <b/>
            <sz val="8"/>
            <rFont val="Tahoma"/>
            <family val="0"/>
          </rPr>
          <t>Uses higher of actual runs or 131/1,000.</t>
        </r>
        <r>
          <rPr>
            <sz val="8"/>
            <rFont val="Tahoma"/>
            <family val="0"/>
          </rPr>
          <t xml:space="preserve">
</t>
        </r>
      </text>
    </comment>
    <comment ref="D15" authorId="0">
      <text>
        <r>
          <rPr>
            <b/>
            <sz val="8"/>
            <rFont val="Tahoma"/>
            <family val="0"/>
          </rPr>
          <t>Checks whether direct pop threshold is OK, else CHS=100%</t>
        </r>
        <r>
          <rPr>
            <sz val="8"/>
            <rFont val="Tahoma"/>
            <family val="0"/>
          </rPr>
          <t xml:space="preserve">
</t>
        </r>
      </text>
    </comment>
    <comment ref="E19" authorId="0">
      <text>
        <r>
          <rPr>
            <b/>
            <sz val="8"/>
            <rFont val="Tahoma"/>
            <family val="0"/>
          </rPr>
          <t>Defualts to the national averge (see blue cells) unless local cost is provided</t>
        </r>
        <r>
          <rPr>
            <sz val="8"/>
            <rFont val="Tahoma"/>
            <family val="0"/>
          </rPr>
          <t xml:space="preserve">
</t>
        </r>
      </text>
    </comment>
    <comment ref="D18" authorId="0">
      <text>
        <r>
          <rPr>
            <b/>
            <sz val="8"/>
            <rFont val="Tahoma"/>
            <family val="0"/>
          </rPr>
          <t>An intermediate check to determine whether to use CHS % as calculated from runs data or as specified by the user.</t>
        </r>
        <r>
          <rPr>
            <sz val="8"/>
            <rFont val="Tahoma"/>
            <family val="0"/>
          </rPr>
          <t xml:space="preserve">
</t>
        </r>
      </text>
    </comment>
    <comment ref="H16" authorId="0">
      <text>
        <r>
          <rPr>
            <b/>
            <sz val="8"/>
            <rFont val="Tahoma"/>
            <family val="0"/>
          </rPr>
          <t>Cliff Wiggins:</t>
        </r>
        <r>
          <rPr>
            <sz val="8"/>
            <rFont val="Tahoma"/>
            <family val="0"/>
          </rPr>
          <t xml:space="preserve">
Old RRMNA Value was .25.
Evaluation of results suggest this is too low.  Ric Broderic suggested raising value by 1/3 of difference with small programs.  
New Value = .45</t>
        </r>
      </text>
    </comment>
    <comment ref="H30" authorId="0">
      <text>
        <r>
          <rPr>
            <b/>
            <sz val="8"/>
            <rFont val="Tahoma"/>
            <family val="0"/>
          </rPr>
          <t>Cliff Wiggins:</t>
        </r>
        <r>
          <rPr>
            <sz val="8"/>
            <rFont val="Tahoma"/>
            <family val="0"/>
          </rPr>
          <t xml:space="preserve">
Old RRMNA Value was 2.25.
Evaluation of results suggest this is too low.  Ric Broderic suggested raising value by 1/3 of difference with small programs.  
New Value = 3.5</t>
        </r>
      </text>
    </comment>
    <comment ref="I23" authorId="0">
      <text>
        <r>
          <rPr>
            <b/>
            <sz val="8"/>
            <rFont val="Tahoma"/>
            <family val="0"/>
          </rPr>
          <t>Cliff Wiggins:</t>
        </r>
        <r>
          <rPr>
            <sz val="8"/>
            <rFont val="Tahoma"/>
            <family val="0"/>
          </rPr>
          <t xml:space="preserve">
Original value = 3.5
New value = 2.75</t>
        </r>
      </text>
    </comment>
    <comment ref="I16" authorId="0">
      <text>
        <r>
          <rPr>
            <b/>
            <sz val="8"/>
            <rFont val="Tahoma"/>
            <family val="0"/>
          </rPr>
          <t>Cliff Wiggins:</t>
        </r>
        <r>
          <rPr>
            <sz val="8"/>
            <rFont val="Tahoma"/>
            <family val="0"/>
          </rPr>
          <t xml:space="preserve">
Original value 2.5</t>
        </r>
      </text>
    </comment>
    <comment ref="I30" authorId="0">
      <text>
        <r>
          <rPr>
            <b/>
            <sz val="8"/>
            <rFont val="Tahoma"/>
            <family val="0"/>
          </rPr>
          <t>Cliff Wiggins:</t>
        </r>
        <r>
          <rPr>
            <sz val="8"/>
            <rFont val="Tahoma"/>
            <family val="0"/>
          </rPr>
          <t xml:space="preserve">
Original value = 4.5
New value =3.5</t>
        </r>
      </text>
    </comment>
    <comment ref="B58" authorId="0">
      <text>
        <r>
          <rPr>
            <b/>
            <sz val="8"/>
            <rFont val="Tahoma"/>
            <family val="0"/>
          </rPr>
          <t xml:space="preserve">If less than Minimum, Minimum # of FTE is used.  </t>
        </r>
      </text>
    </comment>
    <comment ref="A62" authorId="0">
      <text>
        <r>
          <rPr>
            <b/>
            <sz val="8"/>
            <rFont val="Tahoma"/>
            <family val="0"/>
          </rPr>
          <t>Cliff Wiggins:</t>
        </r>
        <r>
          <rPr>
            <sz val="8"/>
            <rFont val="Tahoma"/>
            <family val="0"/>
          </rPr>
          <t xml:space="preserve">
No Direct EMS staff at less than the 10 FTE minimum</t>
        </r>
      </text>
    </comment>
    <comment ref="A63" authorId="0">
      <text>
        <r>
          <rPr>
            <b/>
            <sz val="8"/>
            <rFont val="Tahoma"/>
            <family val="0"/>
          </rPr>
          <t>Cliff Wiggins:</t>
        </r>
        <r>
          <rPr>
            <sz val="8"/>
            <rFont val="Tahoma"/>
            <family val="0"/>
          </rPr>
          <t xml:space="preserve">
EMT-B and EMT-A/P = 1/2 (FTE-2) rounded up to the nearest .5 FTE</t>
        </r>
      </text>
    </comment>
    <comment ref="A64" authorId="0">
      <text>
        <r>
          <rPr>
            <b/>
            <sz val="8"/>
            <rFont val="Tahoma"/>
            <family val="0"/>
          </rPr>
          <t>Cliff Wiggins:</t>
        </r>
        <r>
          <rPr>
            <sz val="8"/>
            <rFont val="Tahoma"/>
            <family val="0"/>
          </rPr>
          <t xml:space="preserve">
EMT-B and EMT-A/P = 1/2 (FTE-4) rounded up to the nearest .5 FTE
</t>
        </r>
      </text>
    </comment>
    <comment ref="A65" authorId="0">
      <text>
        <r>
          <rPr>
            <b/>
            <sz val="8"/>
            <rFont val="Tahoma"/>
            <family val="0"/>
          </rPr>
          <t>Cliff Wiggins:</t>
        </r>
        <r>
          <rPr>
            <sz val="8"/>
            <rFont val="Tahoma"/>
            <family val="0"/>
          </rPr>
          <t xml:space="preserve">
EMT-B and EMT-A/P = 1/2 (FTE-6) rounded up to the nearest .5 FTE</t>
        </r>
      </text>
    </comment>
    <comment ref="B41" authorId="0">
      <text>
        <r>
          <rPr>
            <b/>
            <sz val="8"/>
            <rFont val="Tahoma"/>
            <family val="0"/>
          </rPr>
          <t>Cliff Wiggins:</t>
        </r>
        <r>
          <rPr>
            <sz val="8"/>
            <rFont val="Tahoma"/>
            <family val="0"/>
          </rPr>
          <t xml:space="preserve">
Should be updated annually for actual costs for the grade and experience level that is assumed for each type.</t>
        </r>
      </text>
    </comment>
    <comment ref="L23" authorId="0">
      <text>
        <r>
          <rPr>
            <b/>
            <sz val="8"/>
            <rFont val="Tahoma"/>
            <family val="0"/>
          </rPr>
          <t>Cliff Wiggins:</t>
        </r>
        <r>
          <rPr>
            <sz val="8"/>
            <rFont val="Tahoma"/>
            <family val="0"/>
          </rPr>
          <t xml:space="preserve">
Original value = .275
New value = .4</t>
        </r>
      </text>
    </comment>
    <comment ref="M23" authorId="0">
      <text>
        <r>
          <rPr>
            <b/>
            <sz val="8"/>
            <rFont val="Tahoma"/>
            <family val="0"/>
          </rPr>
          <t>Cliff Wiggins:</t>
        </r>
        <r>
          <rPr>
            <sz val="8"/>
            <rFont val="Tahoma"/>
            <family val="0"/>
          </rPr>
          <t xml:space="preserve">
Original value = 3.5
New value = 2.75</t>
        </r>
      </text>
    </comment>
  </commentList>
</comments>
</file>

<file path=xl/sharedStrings.xml><?xml version="1.0" encoding="utf-8"?>
<sst xmlns="http://schemas.openxmlformats.org/spreadsheetml/2006/main" count="327" uniqueCount="210">
  <si>
    <t xml:space="preserve"> </t>
  </si>
  <si>
    <t>FTE</t>
  </si>
  <si>
    <t>Runs</t>
  </si>
  <si>
    <t>$/Run</t>
  </si>
  <si>
    <t>Ambulances</t>
  </si>
  <si>
    <t>$/Vehicle</t>
  </si>
  <si>
    <t>@</t>
  </si>
  <si>
    <t>Other</t>
  </si>
  <si>
    <t>Population</t>
  </si>
  <si>
    <t>Cost</t>
  </si>
  <si>
    <t>USED</t>
  </si>
  <si>
    <t>IHS AVG RUNS / 1,000</t>
  </si>
  <si>
    <t>FTE / 1000 POP</t>
  </si>
  <si>
    <t>For Pop. &lt; 3,250</t>
  </si>
  <si>
    <t>For Pop. &gt; 3,250</t>
  </si>
  <si>
    <t>BREAKPOINT</t>
  </si>
  <si>
    <t>For SqM &lt; 6,000</t>
  </si>
  <si>
    <t>For SqM &gt; 6,000</t>
  </si>
  <si>
    <t>FTE / 1000 SQM</t>
  </si>
  <si>
    <t>FTE PER 1,000 POPULATION</t>
  </si>
  <si>
    <t>FTE PER 1,000 EMS RUNS</t>
  </si>
  <si>
    <t>FTE / 1000 RUNS</t>
  </si>
  <si>
    <t>For RUNS &lt; 1,250</t>
  </si>
  <si>
    <t>For RUNS &gt; 1,250</t>
  </si>
  <si>
    <t>+ FTE BASE</t>
  </si>
  <si>
    <t>+FTE BASE</t>
  </si>
  <si>
    <t>FTE PER AMBULANCE</t>
  </si>
  <si>
    <t>RUNS DEFAULT RATE</t>
  </si>
  <si>
    <t>EMT (Pop.)</t>
  </si>
  <si>
    <t>EMT (Runs)</t>
  </si>
  <si>
    <t>$ Each</t>
  </si>
  <si>
    <t>FTE PER 1,000 SQ MILES</t>
  </si>
  <si>
    <t>SQ Miles</t>
  </si>
  <si>
    <t xml:space="preserve"> FTE</t>
  </si>
  <si>
    <t>Support Cost Ratio</t>
  </si>
  <si>
    <t xml:space="preserve">% Support </t>
  </si>
  <si>
    <t>Minimum FTE</t>
  </si>
  <si>
    <t>#</t>
  </si>
  <si>
    <t xml:space="preserve">FTE </t>
  </si>
  <si>
    <t>TOTAL ANNUAL EMS PROJECTIONS</t>
  </si>
  <si>
    <t>Resultant Ratios:  FTE Per 1,000 and $ Per Capita</t>
  </si>
  <si>
    <t>Santee NE</t>
  </si>
  <si>
    <t>ANNUAL LEASE $ EACH</t>
  </si>
  <si>
    <t>$</t>
  </si>
  <si>
    <t>Tuba City</t>
  </si>
  <si>
    <t>Chinle</t>
  </si>
  <si>
    <t>Crownpoint</t>
  </si>
  <si>
    <t>Fort Defiance</t>
  </si>
  <si>
    <t>Gallup</t>
  </si>
  <si>
    <t>Kayenta</t>
  </si>
  <si>
    <t>Shiprock</t>
  </si>
  <si>
    <t>Winslow</t>
  </si>
  <si>
    <t>Rosebud SD</t>
  </si>
  <si>
    <t>Pine Ridge SD</t>
  </si>
  <si>
    <t>Owyhee NV</t>
  </si>
  <si>
    <t>Hopi Az</t>
  </si>
  <si>
    <t>Whiteriver Az</t>
  </si>
  <si>
    <t>San Carlos Az</t>
  </si>
  <si>
    <t>Walker River Nv</t>
  </si>
  <si>
    <t>Gila River Az</t>
  </si>
  <si>
    <t>Red Cliff Wi</t>
  </si>
  <si>
    <t>Menominee Wi</t>
  </si>
  <si>
    <t>Neah Bay Wa</t>
  </si>
  <si>
    <t>Ft Belknap MT</t>
  </si>
  <si>
    <t>Rocky Boys Mt</t>
  </si>
  <si>
    <t>Blackfeet Mt</t>
  </si>
  <si>
    <t>Esleta Pueblo NM</t>
  </si>
  <si>
    <t>Laguna Pueblo NM</t>
  </si>
  <si>
    <t>unspecified</t>
  </si>
  <si>
    <t>EMS RATIOS</t>
  </si>
  <si>
    <t>INPUT</t>
  </si>
  <si>
    <t>FTE per Ambulance</t>
  </si>
  <si>
    <t>Minimum # of Amb.</t>
  </si>
  <si>
    <t>Annual Lease Cost</t>
  </si>
  <si>
    <t>CHS COST PER RUN</t>
  </si>
  <si>
    <t>Avg, CHS $ / Run</t>
  </si>
  <si>
    <t>AMBULANCE</t>
  </si>
  <si>
    <t>Default</t>
  </si>
  <si>
    <t>Numeric?</t>
  </si>
  <si>
    <t>NA</t>
  </si>
  <si>
    <t>Default values are used for certain driving variables if local data is not available (see cells containing the word "unspecified").  A number of internal comparisons are made to determine the appropriate default value.  See the notes linked to many cells for more details.
EMS ratios (see blue cells) are converted from the original EMS module using statistical analysis of the staffing tables. The ratios were used to produce the FTE charts in this package. 
Avg. FTE / Ambulance determines the number ambulances needed based on total FTE projected by the module.</t>
  </si>
  <si>
    <t>No Cheyenne</t>
  </si>
  <si>
    <t>Belcourt</t>
  </si>
  <si>
    <t>Crow Creek</t>
  </si>
  <si>
    <t>Lower Burle</t>
  </si>
  <si>
    <t>Omaha</t>
  </si>
  <si>
    <t>Spirit Lake</t>
  </si>
  <si>
    <t>Standing Rock</t>
  </si>
  <si>
    <t>Winnebago</t>
  </si>
  <si>
    <t>Alamo</t>
  </si>
  <si>
    <t>Acoma</t>
  </si>
  <si>
    <t>Jemez</t>
  </si>
  <si>
    <t>Jicarilla</t>
  </si>
  <si>
    <t>Ramah</t>
  </si>
  <si>
    <t>Santo Domingo</t>
  </si>
  <si>
    <t>Southern Ute</t>
  </si>
  <si>
    <t>Ute Mountain</t>
  </si>
  <si>
    <t>Zuni</t>
  </si>
  <si>
    <t>Ak-Chin</t>
  </si>
  <si>
    <t>Ft. McDowell</t>
  </si>
  <si>
    <t>Hualapai</t>
  </si>
  <si>
    <t>McDermitt</t>
  </si>
  <si>
    <t>Salt River</t>
  </si>
  <si>
    <t>Uintah &amp; Ouray</t>
  </si>
  <si>
    <t>Colville</t>
  </si>
  <si>
    <t>Port Gamble</t>
  </si>
  <si>
    <t>Quinault</t>
  </si>
  <si>
    <t>Shoshone Bannock</t>
  </si>
  <si>
    <t>Spokane Tribe</t>
  </si>
  <si>
    <t>Umatilla</t>
  </si>
  <si>
    <t>Warm Springs</t>
  </si>
  <si>
    <t>White Swan</t>
  </si>
  <si>
    <t>Bois Forte</t>
  </si>
  <si>
    <t>Grand Portage</t>
  </si>
  <si>
    <t>Leech Lake</t>
  </si>
  <si>
    <t>Red Lake</t>
  </si>
  <si>
    <t>White Earth</t>
  </si>
  <si>
    <t>Cherokee Nation</t>
  </si>
  <si>
    <t>Cheyenne and Arapho</t>
  </si>
  <si>
    <t>Chickasaw</t>
  </si>
  <si>
    <t>Creek</t>
  </si>
  <si>
    <t>Tohono O'odham</t>
  </si>
  <si>
    <t>Operating Unit</t>
  </si>
  <si>
    <t>Direct Runs</t>
  </si>
  <si>
    <t>% CHS</t>
  </si>
  <si>
    <t>Total</t>
  </si>
  <si>
    <t>Average</t>
  </si>
  <si>
    <t>.</t>
  </si>
  <si>
    <t xml:space="preserve">    VEHICLE Subtotal</t>
  </si>
  <si>
    <t xml:space="preserve">    SUPPORT Subtotal</t>
  </si>
  <si>
    <t>EMT-B</t>
  </si>
  <si>
    <t>Clerks</t>
  </si>
  <si>
    <t>Supervisor</t>
  </si>
  <si>
    <t>TOTAL</t>
  </si>
  <si>
    <t>23-43 FTE</t>
  </si>
  <si>
    <t>&gt; 43 FTE</t>
  </si>
  <si>
    <t>&lt; 10 FTE</t>
  </si>
  <si>
    <t>SUB_TOTAL</t>
  </si>
  <si>
    <t>MINIMUM</t>
  </si>
  <si>
    <t>SUB-TOTAL</t>
  </si>
  <si>
    <t>Average Annual Salary + Ben. / FTE</t>
  </si>
  <si>
    <t>10-23 FTE</t>
  </si>
  <si>
    <t>RUNS</t>
  </si>
  <si>
    <t>Vehicles</t>
  </si>
  <si>
    <t>% TOTAL RUNS PURCHASED</t>
  </si>
  <si>
    <t>SQ. KILOMETERS SERVED</t>
  </si>
  <si>
    <t>UNIT CONVERSION K to M</t>
  </si>
  <si>
    <t>FTE PER 1,000 SQ KM</t>
  </si>
  <si>
    <t>For SqM &lt; 15,540</t>
  </si>
  <si>
    <t>For SqM &gt; 15,540</t>
  </si>
  <si>
    <t>FTE/1000 SQK</t>
  </si>
  <si>
    <t>ORIGINAL IN SQ MILES</t>
  </si>
  <si>
    <t>Square KILOMETERS</t>
  </si>
  <si>
    <t>SQ KM</t>
  </si>
  <si>
    <t>EMT (SqK)</t>
  </si>
  <si>
    <t>EMT-I/P</t>
  </si>
  <si>
    <t>DATA FILTERS &amp; DEFAULTS</t>
  </si>
  <si>
    <t>FILTERED VALUES</t>
  </si>
  <si>
    <t>INPUT DATA</t>
  </si>
  <si>
    <t xml:space="preserve">Sq Miles </t>
  </si>
  <si>
    <t>SOME INPUT DATA FOR TESTING</t>
  </si>
  <si>
    <t>POPULATION (required)</t>
  </si>
  <si>
    <t>Name (service unit) -&gt;</t>
  </si>
  <si>
    <t>DATA USED FOR PLOTS - NOT PART OF MODEL</t>
  </si>
  <si>
    <t>EMERGENCY MEDICAL SERVICES RRMNA MODEL 7.1</t>
  </si>
  <si>
    <t>7 Factors In EMS Model
Input data for Service Unit</t>
  </si>
  <si>
    <t>Service Unit</t>
  </si>
  <si>
    <t>% Purchase</t>
  </si>
  <si>
    <t>Sq Kilometers</t>
  </si>
  <si>
    <t>DATA RECAP</t>
  </si>
  <si>
    <t>Lease Cost/Vehicle</t>
  </si>
  <si>
    <t>RAW FTE PROJECTIONS</t>
  </si>
  <si>
    <t>Break Levels</t>
  </si>
  <si>
    <t>STAFF BY CATEGORY (ROUNDED)</t>
  </si>
  <si>
    <t>Breakout and Rounding of Staff for this Service Unit</t>
  </si>
  <si>
    <t xml:space="preserve">   I/T EMS SERVICE</t>
  </si>
  <si>
    <t xml:space="preserve">   PURCHASED EMS SERVICE</t>
  </si>
  <si>
    <t>ANNUAL I/T RUNS</t>
  </si>
  <si>
    <t xml:space="preserve">  I/T Subtotal</t>
  </si>
  <si>
    <t>I/T</t>
  </si>
  <si>
    <t>ANNUAL PURCHASED RUNS</t>
  </si>
  <si>
    <t>AVG. PURCHASED $ / RUN</t>
  </si>
  <si>
    <t xml:space="preserve">   PURCHASED Subtotal</t>
  </si>
  <si>
    <t>PURCHASED</t>
  </si>
  <si>
    <t>I/T+Purchased+Lease</t>
  </si>
  <si>
    <t>I/T EMS</t>
  </si>
  <si>
    <t>I/T MULTIPLIER</t>
  </si>
  <si>
    <t>% OF RUNS BY I/T</t>
  </si>
  <si>
    <t>MINIMUM I/T POPULATION</t>
  </si>
  <si>
    <t>I/T Service Threshold</t>
  </si>
  <si>
    <t>PURCHASED EMS</t>
  </si>
  <si>
    <t>% EMS PURCHASED</t>
  </si>
  <si>
    <t>PURCHASED MULTIPLIER</t>
  </si>
  <si>
    <t>CALCULATED PURCHASED %</t>
  </si>
  <si>
    <t>Avg. Cost per Purchased Run</t>
  </si>
  <si>
    <t>I/T FTE</t>
  </si>
  <si>
    <t>I/T Runs (actual Wkld)</t>
  </si>
  <si>
    <t>Purchased Runs (actual Wkld)</t>
  </si>
  <si>
    <t>Purchased Cost/Run</t>
  </si>
  <si>
    <t xml:space="preserve">unspecified </t>
  </si>
  <si>
    <t>I/T Runs</t>
  </si>
  <si>
    <t>Purchase %</t>
  </si>
  <si>
    <t>Total FTE</t>
  </si>
  <si>
    <t>Budget</t>
  </si>
  <si>
    <t>SAMPLE INPUT DATA</t>
  </si>
  <si>
    <t>EMS MODEL 7.1 SAMPLE RESULTS</t>
  </si>
  <si>
    <t>This worksheet of sample results is NOT part of the RRMNA module computations.</t>
  </si>
  <si>
    <t>This Page/Worksheet is NOT an active part of the EMS Module
Sample data used only for testing.</t>
  </si>
  <si>
    <t>EMS MODEL PARAMETERS ARE PRESET</t>
  </si>
  <si>
    <t>Sq Miles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</si>
</sst>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 #,##0.0_);_(* \(#,##0.0\);_(* &quot;-&quot;??_);_(@_)"/>
    <numFmt numFmtId="169" formatCode="_(* #,##0_);_(* \(#,##0\);_(* &quot;-&quot;??_);_(@_)"/>
    <numFmt numFmtId="170" formatCode="0.000"/>
    <numFmt numFmtId="171" formatCode="0.0000"/>
    <numFmt numFmtId="172" formatCode="_(* #,##0.0_);_(* \(#,##0.0\);_(* &quot;-&quot;?_);_(@_)"/>
    <numFmt numFmtId="173" formatCode="_(* #,##0.00_);_(* \(#,##0.00\);_(* &quot;-&quot;?_);_(@_)"/>
    <numFmt numFmtId="174" formatCode="_(* #,##0_);_(* \(#,##0\);_(* &quot;-&quot;?_);_(@_)"/>
    <numFmt numFmtId="175" formatCode="0.00000"/>
    <numFmt numFmtId="176" formatCode="0.000000"/>
    <numFmt numFmtId="177" formatCode="_(&quot;$&quot;* #,##0.000_);_(&quot;$&quot;* \(#,##0.000\);_(&quot;$&quot;* &quot;-&quot;??_);_(@_)"/>
    <numFmt numFmtId="178" formatCode="_(&quot;$&quot;* #,##0.0000_);_(&quot;$&quot;* \(#,##0.0000\);_(&quot;$&quot;* &quot;-&quot;??_);_(@_)"/>
    <numFmt numFmtId="179" formatCode="_(&quot;$&quot;* #,##0.00000_);_(&quot;$&quot;* \(#,##0.00000\);_(&quot;$&quot;* &quot;-&quot;??_);_(@_)"/>
    <numFmt numFmtId="180" formatCode="_(&quot;$&quot;* #,##0.000000_);_(&quot;$&quot;* \(#,##0.000000\);_(&quot;$&quot;* &quot;-&quot;??_);_(@_)"/>
    <numFmt numFmtId="181" formatCode="_(&quot;$&quot;* #,##0.0000000_);_(&quot;$&quot;* \(#,##0.0000000\);_(&quot;$&quot;* &quot;-&quot;??_);_(@_)"/>
    <numFmt numFmtId="182" formatCode="&quot;$&quot;#,##0"/>
  </numFmts>
  <fonts count="44">
    <font>
      <sz val="9"/>
      <name val="Geneva"/>
      <family val="0"/>
    </font>
    <font>
      <b/>
      <sz val="9"/>
      <name val="Geneva"/>
      <family val="0"/>
    </font>
    <font>
      <i/>
      <sz val="9"/>
      <name val="Geneva"/>
      <family val="0"/>
    </font>
    <font>
      <b/>
      <i/>
      <sz val="9"/>
      <name val="Geneva"/>
      <family val="0"/>
    </font>
    <font>
      <sz val="9"/>
      <name val="Arial Black"/>
      <family val="2"/>
    </font>
    <font>
      <sz val="8"/>
      <name val="Tahoma"/>
      <family val="0"/>
    </font>
    <font>
      <b/>
      <sz val="8"/>
      <name val="Tahoma"/>
      <family val="0"/>
    </font>
    <font>
      <sz val="10"/>
      <name val="Arial"/>
      <family val="0"/>
    </font>
    <font>
      <b/>
      <sz val="14"/>
      <name val="Arial"/>
      <family val="2"/>
    </font>
    <font>
      <sz val="10"/>
      <name val="Arial Black"/>
      <family val="2"/>
    </font>
    <font>
      <u val="single"/>
      <sz val="9"/>
      <color indexed="12"/>
      <name val="Geneva"/>
      <family val="0"/>
    </font>
    <font>
      <u val="single"/>
      <sz val="9"/>
      <color indexed="36"/>
      <name val="Geneva"/>
      <family val="0"/>
    </font>
    <font>
      <b/>
      <sz val="9"/>
      <color indexed="10"/>
      <name val="Geneva"/>
      <family val="0"/>
    </font>
    <font>
      <b/>
      <sz val="9"/>
      <color indexed="10"/>
      <name val="Arial Narrow"/>
      <family val="2"/>
    </font>
    <font>
      <b/>
      <sz val="9"/>
      <color indexed="8"/>
      <name val="Geneva"/>
      <family val="0"/>
    </font>
    <font>
      <sz val="9"/>
      <color indexed="8"/>
      <name val="Geneva"/>
      <family val="0"/>
    </font>
    <font>
      <b/>
      <sz val="9"/>
      <color indexed="8"/>
      <name val="Arial Narrow"/>
      <family val="2"/>
    </font>
    <font>
      <sz val="9"/>
      <color indexed="8"/>
      <name val="Arial"/>
      <family val="2"/>
    </font>
    <font>
      <sz val="9"/>
      <color indexed="8"/>
      <name val="Arial Narrow"/>
      <family val="2"/>
    </font>
    <font>
      <sz val="9"/>
      <color indexed="8"/>
      <name val="Arial Black"/>
      <family val="2"/>
    </font>
    <font>
      <sz val="14"/>
      <color indexed="8"/>
      <name val="Arial Black"/>
      <family val="2"/>
    </font>
    <font>
      <b/>
      <sz val="9"/>
      <name val="Arial Narrow"/>
      <family val="2"/>
    </font>
    <font>
      <sz val="11"/>
      <name val="Arial Black"/>
      <family val="2"/>
    </font>
    <font>
      <b/>
      <sz val="10"/>
      <name val="Geneva"/>
      <family val="0"/>
    </font>
    <font>
      <sz val="10"/>
      <name val="Geneva"/>
      <family val="0"/>
    </font>
    <font>
      <sz val="14"/>
      <color indexed="12"/>
      <name val="Arial Black"/>
      <family val="2"/>
    </font>
    <font>
      <sz val="10"/>
      <color indexed="10"/>
      <name val="Arial Black"/>
      <family val="2"/>
    </font>
    <font>
      <b/>
      <sz val="10"/>
      <color indexed="12"/>
      <name val="Geneva"/>
      <family val="0"/>
    </font>
    <font>
      <b/>
      <sz val="10"/>
      <color indexed="10"/>
      <name val="Arial Black"/>
      <family val="2"/>
    </font>
    <font>
      <b/>
      <sz val="11"/>
      <name val="Geneva"/>
      <family val="0"/>
    </font>
    <font>
      <b/>
      <sz val="10"/>
      <color indexed="8"/>
      <name val="Geneva"/>
      <family val="0"/>
    </font>
    <font>
      <b/>
      <u val="single"/>
      <sz val="10"/>
      <name val="Geneva"/>
      <family val="0"/>
    </font>
    <font>
      <sz val="12"/>
      <name val="Arial Black"/>
      <family val="2"/>
    </font>
    <font>
      <b/>
      <sz val="8"/>
      <color indexed="10"/>
      <name val="Tahoma"/>
      <family val="2"/>
    </font>
    <font>
      <sz val="8"/>
      <name val="Arial Black"/>
      <family val="2"/>
    </font>
    <font>
      <b/>
      <sz val="12"/>
      <name val="Geneva"/>
      <family val="0"/>
    </font>
    <font>
      <b/>
      <sz val="16"/>
      <name val="Geneva"/>
      <family val="0"/>
    </font>
    <font>
      <sz val="12"/>
      <name val="Geneva"/>
      <family val="0"/>
    </font>
    <font>
      <b/>
      <sz val="18"/>
      <name val="Arial Black"/>
      <family val="2"/>
    </font>
    <font>
      <sz val="18"/>
      <name val="Arial Black"/>
      <family val="2"/>
    </font>
    <font>
      <sz val="8"/>
      <name val="Geneva"/>
      <family val="0"/>
    </font>
    <font>
      <b/>
      <sz val="10"/>
      <name val="Arial Narrow"/>
      <family val="2"/>
    </font>
    <font>
      <sz val="14"/>
      <name val="Arial Black"/>
      <family val="2"/>
    </font>
    <font>
      <b/>
      <sz val="8"/>
      <name val="Geneva"/>
      <family val="2"/>
    </font>
  </fonts>
  <fills count="12">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50">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medium"/>
      <right style="thin"/>
      <top style="thin"/>
      <bottom>
        <color indexed="63"/>
      </bottom>
    </border>
    <border>
      <left style="medium"/>
      <right style="medium"/>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ouble"/>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31">
    <xf numFmtId="0" fontId="0" fillId="0" borderId="0" xfId="0" applyAlignment="1">
      <alignment/>
    </xf>
    <xf numFmtId="0" fontId="0" fillId="0" borderId="0" xfId="0" applyBorder="1" applyAlignment="1">
      <alignment/>
    </xf>
    <xf numFmtId="169" fontId="0" fillId="0" borderId="0" xfId="0" applyNumberFormat="1" applyAlignment="1">
      <alignment/>
    </xf>
    <xf numFmtId="43" fontId="0" fillId="0" borderId="0" xfId="0" applyNumberFormat="1" applyAlignment="1">
      <alignment/>
    </xf>
    <xf numFmtId="167" fontId="0" fillId="0" borderId="0" xfId="0" applyNumberFormat="1" applyBorder="1" applyAlignment="1">
      <alignment/>
    </xf>
    <xf numFmtId="0" fontId="1" fillId="0" borderId="1" xfId="0" applyFont="1" applyBorder="1" applyAlignment="1">
      <alignment/>
    </xf>
    <xf numFmtId="0" fontId="1" fillId="0" borderId="1" xfId="0" applyFont="1" applyFill="1" applyBorder="1" applyAlignment="1">
      <alignment/>
    </xf>
    <xf numFmtId="0" fontId="0" fillId="0" borderId="0" xfId="0" applyFill="1" applyBorder="1" applyAlignment="1">
      <alignment/>
    </xf>
    <xf numFmtId="169" fontId="0" fillId="2" borderId="1" xfId="15" applyNumberFormat="1" applyFont="1" applyFill="1" applyBorder="1" applyAlignment="1">
      <alignment/>
    </xf>
    <xf numFmtId="169" fontId="0" fillId="2" borderId="2" xfId="15" applyNumberFormat="1" applyFont="1" applyFill="1" applyBorder="1" applyAlignment="1">
      <alignment/>
    </xf>
    <xf numFmtId="0" fontId="4" fillId="2" borderId="3" xfId="0" applyFont="1" applyFill="1" applyBorder="1" applyAlignment="1">
      <alignment horizontal="center"/>
    </xf>
    <xf numFmtId="0" fontId="4" fillId="2" borderId="4" xfId="0" applyFont="1" applyFill="1" applyBorder="1" applyAlignment="1">
      <alignment horizontal="center"/>
    </xf>
    <xf numFmtId="168" fontId="0" fillId="3" borderId="5" xfId="15" applyNumberFormat="1" applyFont="1" applyFill="1" applyBorder="1" applyAlignment="1">
      <alignment/>
    </xf>
    <xf numFmtId="168" fontId="0" fillId="3" borderId="6" xfId="15" applyNumberFormat="1" applyFont="1" applyFill="1" applyBorder="1" applyAlignment="1">
      <alignment/>
    </xf>
    <xf numFmtId="168" fontId="0" fillId="3" borderId="7" xfId="15" applyNumberFormat="1" applyFont="1" applyFill="1" applyBorder="1" applyAlignment="1">
      <alignment/>
    </xf>
    <xf numFmtId="0" fontId="4" fillId="4" borderId="3" xfId="0" applyFont="1" applyFill="1" applyBorder="1" applyAlignment="1">
      <alignment horizontal="center"/>
    </xf>
    <xf numFmtId="0" fontId="4" fillId="4" borderId="4" xfId="0" applyFont="1" applyFill="1" applyBorder="1" applyAlignment="1">
      <alignment horizontal="center"/>
    </xf>
    <xf numFmtId="168" fontId="0" fillId="4" borderId="5" xfId="15" applyNumberFormat="1" applyFont="1" applyFill="1" applyBorder="1" applyAlignment="1">
      <alignment/>
    </xf>
    <xf numFmtId="168" fontId="0" fillId="4" borderId="6" xfId="15" applyNumberFormat="1" applyFont="1" applyFill="1" applyBorder="1" applyAlignment="1">
      <alignment/>
    </xf>
    <xf numFmtId="0" fontId="12" fillId="0" borderId="1" xfId="0" applyFont="1" applyFill="1" applyBorder="1" applyAlignment="1">
      <alignment/>
    </xf>
    <xf numFmtId="0" fontId="15" fillId="0" borderId="5" xfId="0" applyFont="1" applyBorder="1" applyAlignment="1">
      <alignment horizontal="center"/>
    </xf>
    <xf numFmtId="0" fontId="13" fillId="0" borderId="0" xfId="0" applyFont="1" applyFill="1" applyBorder="1" applyAlignment="1">
      <alignment/>
    </xf>
    <xf numFmtId="169" fontId="14" fillId="5" borderId="8" xfId="15" applyNumberFormat="1" applyFont="1" applyFill="1" applyBorder="1" applyAlignment="1">
      <alignment horizontal="center"/>
    </xf>
    <xf numFmtId="9" fontId="14" fillId="5" borderId="8" xfId="21" applyFont="1" applyFill="1" applyBorder="1" applyAlignment="1">
      <alignment horizontal="center"/>
    </xf>
    <xf numFmtId="0" fontId="13" fillId="0" borderId="0" xfId="0" applyFont="1" applyFill="1" applyBorder="1" applyAlignment="1">
      <alignment horizontal="center"/>
    </xf>
    <xf numFmtId="9" fontId="14" fillId="0" borderId="0" xfId="21" applyFont="1" applyFill="1" applyBorder="1" applyAlignment="1">
      <alignment horizontal="center"/>
    </xf>
    <xf numFmtId="169" fontId="14" fillId="0" borderId="0" xfId="15" applyNumberFormat="1" applyFont="1" applyFill="1" applyBorder="1" applyAlignment="1">
      <alignment horizontal="center"/>
    </xf>
    <xf numFmtId="165" fontId="14" fillId="0" borderId="0" xfId="17" applyNumberFormat="1"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center"/>
    </xf>
    <xf numFmtId="0" fontId="15" fillId="0" borderId="5" xfId="0" applyFont="1" applyBorder="1" applyAlignment="1">
      <alignment/>
    </xf>
    <xf numFmtId="0" fontId="0" fillId="6" borderId="0" xfId="0" applyFill="1" applyBorder="1" applyAlignment="1">
      <alignment/>
    </xf>
    <xf numFmtId="0" fontId="15" fillId="6" borderId="0" xfId="0" applyFont="1" applyFill="1" applyBorder="1" applyAlignment="1">
      <alignment/>
    </xf>
    <xf numFmtId="0" fontId="15" fillId="6" borderId="9" xfId="0" applyFont="1" applyFill="1" applyBorder="1" applyAlignment="1">
      <alignment/>
    </xf>
    <xf numFmtId="0" fontId="16" fillId="0" borderId="9" xfId="0" applyFont="1" applyFill="1" applyBorder="1" applyAlignment="1">
      <alignment horizontal="center"/>
    </xf>
    <xf numFmtId="0" fontId="21" fillId="6" borderId="0" xfId="0" applyFont="1" applyFill="1" applyBorder="1" applyAlignment="1">
      <alignment horizontal="center"/>
    </xf>
    <xf numFmtId="0" fontId="0" fillId="0" borderId="10" xfId="0" applyBorder="1" applyAlignment="1">
      <alignment/>
    </xf>
    <xf numFmtId="0" fontId="0" fillId="0" borderId="11" xfId="0" applyBorder="1" applyAlignment="1">
      <alignment/>
    </xf>
    <xf numFmtId="0" fontId="20" fillId="5" borderId="12" xfId="0" applyFont="1" applyFill="1" applyBorder="1" applyAlignment="1">
      <alignment/>
    </xf>
    <xf numFmtId="0" fontId="20" fillId="5" borderId="13" xfId="0" applyFont="1" applyFill="1" applyBorder="1" applyAlignment="1">
      <alignment horizontal="center"/>
    </xf>
    <xf numFmtId="0" fontId="16" fillId="5" borderId="14" xfId="0" applyFont="1" applyFill="1" applyBorder="1" applyAlignment="1">
      <alignment/>
    </xf>
    <xf numFmtId="0" fontId="15" fillId="0" borderId="11" xfId="0" applyFont="1" applyBorder="1" applyAlignment="1">
      <alignment/>
    </xf>
    <xf numFmtId="9" fontId="14" fillId="5" borderId="15" xfId="21" applyFont="1" applyFill="1" applyBorder="1" applyAlignment="1">
      <alignment horizontal="center"/>
    </xf>
    <xf numFmtId="169" fontId="14" fillId="5" borderId="15" xfId="15" applyNumberFormat="1" applyFont="1" applyFill="1" applyBorder="1" applyAlignment="1">
      <alignment horizontal="center"/>
    </xf>
    <xf numFmtId="165" fontId="14" fillId="5" borderId="15" xfId="17" applyNumberFormat="1" applyFont="1" applyFill="1" applyBorder="1" applyAlignment="1">
      <alignment horizontal="center"/>
    </xf>
    <xf numFmtId="0" fontId="17" fillId="0" borderId="10" xfId="0" applyFont="1" applyFill="1" applyBorder="1" applyAlignment="1">
      <alignment/>
    </xf>
    <xf numFmtId="0" fontId="15" fillId="0" borderId="11" xfId="0" applyFont="1" applyBorder="1" applyAlignment="1">
      <alignment horizontal="center"/>
    </xf>
    <xf numFmtId="169" fontId="14" fillId="5" borderId="15" xfId="0" applyNumberFormat="1" applyFont="1" applyFill="1" applyBorder="1" applyAlignment="1">
      <alignment horizontal="center"/>
    </xf>
    <xf numFmtId="165" fontId="14" fillId="5" borderId="16" xfId="17" applyNumberFormat="1" applyFont="1" applyFill="1" applyBorder="1" applyAlignment="1">
      <alignment horizontal="center"/>
    </xf>
    <xf numFmtId="0" fontId="20" fillId="6" borderId="12" xfId="0" applyFont="1" applyFill="1" applyBorder="1" applyAlignment="1">
      <alignment/>
    </xf>
    <xf numFmtId="0" fontId="20" fillId="6" borderId="13" xfId="0" applyFont="1" applyFill="1" applyBorder="1" applyAlignment="1">
      <alignment horizontal="center"/>
    </xf>
    <xf numFmtId="0" fontId="16" fillId="6" borderId="14"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horizontal="center"/>
    </xf>
    <xf numFmtId="0" fontId="19" fillId="6" borderId="17" xfId="0" applyFont="1" applyFill="1" applyBorder="1" applyAlignment="1">
      <alignment/>
    </xf>
    <xf numFmtId="0" fontId="15" fillId="6" borderId="18" xfId="0" applyFont="1" applyFill="1" applyBorder="1" applyAlignment="1">
      <alignment/>
    </xf>
    <xf numFmtId="0" fontId="18" fillId="6" borderId="19" xfId="0" applyFont="1" applyFill="1" applyBorder="1" applyAlignment="1">
      <alignment/>
    </xf>
    <xf numFmtId="9" fontId="14" fillId="6" borderId="20" xfId="21" applyFont="1" applyFill="1" applyBorder="1" applyAlignment="1">
      <alignment horizontal="center"/>
    </xf>
    <xf numFmtId="0" fontId="19" fillId="6" borderId="10" xfId="0" applyFont="1" applyFill="1" applyBorder="1" applyAlignment="1">
      <alignment/>
    </xf>
    <xf numFmtId="0" fontId="0" fillId="6" borderId="11" xfId="0" applyFill="1" applyBorder="1" applyAlignment="1">
      <alignment/>
    </xf>
    <xf numFmtId="0" fontId="18" fillId="6" borderId="10" xfId="0" applyFont="1" applyFill="1" applyBorder="1" applyAlignment="1">
      <alignment/>
    </xf>
    <xf numFmtId="0" fontId="0" fillId="6" borderId="10" xfId="0" applyFill="1" applyBorder="1" applyAlignment="1">
      <alignment/>
    </xf>
    <xf numFmtId="0" fontId="15" fillId="6" borderId="10" xfId="0" applyFont="1" applyFill="1" applyBorder="1" applyAlignment="1">
      <alignment/>
    </xf>
    <xf numFmtId="0" fontId="21" fillId="6" borderId="11" xfId="0" applyFont="1" applyFill="1" applyBorder="1" applyAlignment="1" quotePrefix="1">
      <alignment horizontal="center"/>
    </xf>
    <xf numFmtId="0" fontId="17" fillId="6" borderId="10" xfId="0" applyFont="1" applyFill="1" applyBorder="1" applyAlignment="1">
      <alignment/>
    </xf>
    <xf numFmtId="0" fontId="17" fillId="6" borderId="19" xfId="0" applyFont="1" applyFill="1" applyBorder="1" applyAlignment="1">
      <alignment/>
    </xf>
    <xf numFmtId="0" fontId="15" fillId="6" borderId="11" xfId="0" applyFont="1" applyFill="1" applyBorder="1" applyAlignment="1">
      <alignment/>
    </xf>
    <xf numFmtId="0" fontId="17" fillId="6" borderId="21" xfId="0" applyFont="1" applyFill="1" applyBorder="1" applyAlignment="1">
      <alignment/>
    </xf>
    <xf numFmtId="9" fontId="14" fillId="6" borderId="22" xfId="21" applyFont="1" applyFill="1" applyBorder="1" applyAlignment="1">
      <alignment horizontal="center"/>
    </xf>
    <xf numFmtId="169" fontId="0" fillId="3" borderId="23" xfId="15" applyNumberFormat="1" applyFont="1" applyFill="1" applyBorder="1" applyAlignment="1">
      <alignment/>
    </xf>
    <xf numFmtId="169" fontId="0" fillId="3" borderId="1" xfId="15" applyNumberFormat="1" applyFont="1" applyFill="1" applyBorder="1" applyAlignment="1">
      <alignment/>
    </xf>
    <xf numFmtId="169" fontId="0" fillId="3" borderId="2" xfId="15" applyNumberFormat="1" applyFont="1" applyFill="1" applyBorder="1" applyAlignment="1">
      <alignment/>
    </xf>
    <xf numFmtId="168" fontId="0" fillId="2" borderId="0" xfId="15" applyNumberFormat="1" applyFont="1" applyFill="1" applyBorder="1" applyAlignment="1">
      <alignment/>
    </xf>
    <xf numFmtId="168" fontId="0" fillId="2" borderId="24" xfId="15" applyNumberFormat="1" applyFont="1" applyFill="1" applyBorder="1" applyAlignment="1">
      <alignment/>
    </xf>
    <xf numFmtId="0" fontId="4" fillId="3" borderId="7" xfId="0" applyFont="1" applyFill="1" applyBorder="1" applyAlignment="1">
      <alignment horizontal="center"/>
    </xf>
    <xf numFmtId="169" fontId="0" fillId="4" borderId="23" xfId="15" applyNumberFormat="1" applyFont="1" applyFill="1" applyBorder="1" applyAlignment="1">
      <alignment/>
    </xf>
    <xf numFmtId="168" fontId="0" fillId="4" borderId="7" xfId="15" applyNumberFormat="1" applyFont="1" applyFill="1" applyBorder="1" applyAlignment="1">
      <alignment/>
    </xf>
    <xf numFmtId="169" fontId="0" fillId="4" borderId="1" xfId="15" applyNumberFormat="1" applyFont="1" applyFill="1" applyBorder="1" applyAlignment="1">
      <alignment/>
    </xf>
    <xf numFmtId="169" fontId="0" fillId="4" borderId="2" xfId="15" applyNumberFormat="1" applyFont="1" applyFill="1" applyBorder="1" applyAlignment="1">
      <alignment/>
    </xf>
    <xf numFmtId="9" fontId="14" fillId="6" borderId="11" xfId="21" applyFont="1" applyFill="1" applyBorder="1" applyAlignment="1">
      <alignment horizontal="center"/>
    </xf>
    <xf numFmtId="169" fontId="14" fillId="7" borderId="8" xfId="15" applyNumberFormat="1" applyFont="1" applyFill="1" applyBorder="1" applyAlignment="1">
      <alignment horizontal="center"/>
    </xf>
    <xf numFmtId="0" fontId="14" fillId="7" borderId="15" xfId="0" applyFont="1" applyFill="1" applyBorder="1" applyAlignment="1">
      <alignment/>
    </xf>
    <xf numFmtId="170" fontId="14" fillId="7" borderId="8" xfId="0" applyNumberFormat="1" applyFont="1" applyFill="1" applyBorder="1" applyAlignment="1">
      <alignment/>
    </xf>
    <xf numFmtId="0" fontId="25" fillId="8" borderId="25" xfId="0" applyFont="1" applyFill="1" applyBorder="1" applyAlignment="1" applyProtection="1">
      <alignment horizontal="left"/>
      <protection locked="0"/>
    </xf>
    <xf numFmtId="0" fontId="25" fillId="8" borderId="26" xfId="0" applyFont="1" applyFill="1" applyBorder="1" applyAlignment="1" applyProtection="1">
      <alignment horizontal="left"/>
      <protection locked="0"/>
    </xf>
    <xf numFmtId="0" fontId="25" fillId="8" borderId="27" xfId="0" applyFont="1" applyFill="1" applyBorder="1" applyAlignment="1" applyProtection="1">
      <alignment horizontal="left"/>
      <protection locked="0"/>
    </xf>
    <xf numFmtId="0" fontId="24" fillId="0" borderId="0" xfId="0" applyFont="1" applyBorder="1" applyAlignment="1">
      <alignment/>
    </xf>
    <xf numFmtId="0" fontId="23" fillId="0" borderId="0" xfId="0" applyFont="1" applyFill="1" applyBorder="1" applyAlignment="1">
      <alignment/>
    </xf>
    <xf numFmtId="0" fontId="24" fillId="0" borderId="0" xfId="0" applyFont="1" applyFill="1" applyBorder="1" applyAlignment="1">
      <alignment/>
    </xf>
    <xf numFmtId="0" fontId="23" fillId="0" borderId="0" xfId="0" applyFont="1" applyBorder="1" applyAlignment="1">
      <alignment horizontal="center"/>
    </xf>
    <xf numFmtId="0" fontId="26" fillId="0" borderId="17" xfId="0" applyFont="1" applyFill="1" applyBorder="1" applyAlignment="1">
      <alignment/>
    </xf>
    <xf numFmtId="0" fontId="24" fillId="0" borderId="11" xfId="0" applyFont="1" applyBorder="1" applyAlignment="1">
      <alignment/>
    </xf>
    <xf numFmtId="0" fontId="24" fillId="0" borderId="9" xfId="0" applyFont="1" applyBorder="1" applyAlignment="1">
      <alignment/>
    </xf>
    <xf numFmtId="0" fontId="24" fillId="0" borderId="9" xfId="0" applyFont="1" applyFill="1" applyBorder="1" applyAlignment="1">
      <alignment/>
    </xf>
    <xf numFmtId="0" fontId="23" fillId="0" borderId="10" xfId="0" applyFont="1" applyFill="1" applyBorder="1" applyAlignment="1">
      <alignment/>
    </xf>
    <xf numFmtId="9" fontId="27" fillId="8" borderId="8" xfId="21" applyFont="1" applyFill="1" applyBorder="1" applyAlignment="1">
      <alignment horizontal="center"/>
    </xf>
    <xf numFmtId="165" fontId="23" fillId="0" borderId="11" xfId="17" applyNumberFormat="1" applyFont="1" applyBorder="1" applyAlignment="1">
      <alignment/>
    </xf>
    <xf numFmtId="0" fontId="24" fillId="0" borderId="10" xfId="0" applyFont="1" applyFill="1" applyBorder="1" applyAlignment="1">
      <alignment/>
    </xf>
    <xf numFmtId="0" fontId="23" fillId="0" borderId="1" xfId="0" applyFont="1" applyFill="1" applyBorder="1" applyAlignment="1">
      <alignment/>
    </xf>
    <xf numFmtId="164" fontId="26" fillId="0" borderId="24" xfId="17" applyNumberFormat="1" applyFont="1" applyFill="1" applyBorder="1" applyAlignment="1">
      <alignment/>
    </xf>
    <xf numFmtId="164" fontId="26" fillId="0" borderId="0" xfId="17" applyNumberFormat="1" applyFont="1" applyFill="1" applyBorder="1" applyAlignment="1">
      <alignment horizontal="center"/>
    </xf>
    <xf numFmtId="0" fontId="26" fillId="0" borderId="0" xfId="0" applyFont="1" applyFill="1" applyBorder="1" applyAlignment="1">
      <alignment horizontal="center"/>
    </xf>
    <xf numFmtId="0" fontId="26" fillId="0" borderId="11" xfId="0" applyFont="1" applyFill="1" applyBorder="1" applyAlignment="1">
      <alignment horizontal="center"/>
    </xf>
    <xf numFmtId="0" fontId="23" fillId="0" borderId="9" xfId="0" applyFont="1" applyFill="1" applyBorder="1" applyAlignment="1">
      <alignment/>
    </xf>
    <xf numFmtId="0" fontId="24" fillId="0" borderId="0" xfId="0" applyFont="1" applyBorder="1" applyAlignment="1">
      <alignment horizontal="center"/>
    </xf>
    <xf numFmtId="0" fontId="24" fillId="0" borderId="0" xfId="0" applyFont="1" applyFill="1" applyBorder="1" applyAlignment="1">
      <alignment horizontal="center"/>
    </xf>
    <xf numFmtId="9" fontId="23" fillId="0" borderId="0" xfId="0" applyNumberFormat="1" applyFont="1" applyFill="1" applyBorder="1" applyAlignment="1">
      <alignment horizontal="center"/>
    </xf>
    <xf numFmtId="165" fontId="23" fillId="0" borderId="11" xfId="17" applyNumberFormat="1" applyFont="1" applyFill="1" applyBorder="1" applyAlignment="1">
      <alignment horizontal="center"/>
    </xf>
    <xf numFmtId="168" fontId="23"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Border="1" applyAlignment="1">
      <alignment horizontal="center"/>
    </xf>
    <xf numFmtId="0" fontId="20" fillId="5" borderId="28" xfId="0" applyFont="1" applyFill="1" applyBorder="1" applyAlignment="1">
      <alignment horizontal="center"/>
    </xf>
    <xf numFmtId="169" fontId="14" fillId="5" borderId="3" xfId="15" applyNumberFormat="1" applyFont="1" applyFill="1" applyBorder="1" applyAlignment="1">
      <alignment horizontal="center"/>
    </xf>
    <xf numFmtId="9" fontId="1" fillId="5" borderId="8" xfId="21" applyFont="1" applyFill="1" applyBorder="1" applyAlignment="1">
      <alignment/>
    </xf>
    <xf numFmtId="9" fontId="1" fillId="5" borderId="3" xfId="21" applyFont="1" applyFill="1" applyBorder="1" applyAlignment="1">
      <alignment/>
    </xf>
    <xf numFmtId="169" fontId="1" fillId="5" borderId="3" xfId="15" applyNumberFormat="1" applyFont="1" applyFill="1" applyBorder="1" applyAlignment="1">
      <alignment/>
    </xf>
    <xf numFmtId="165" fontId="14" fillId="5" borderId="3" xfId="17" applyNumberFormat="1" applyFont="1" applyFill="1" applyBorder="1" applyAlignment="1">
      <alignment horizontal="center"/>
    </xf>
    <xf numFmtId="169" fontId="14" fillId="5" borderId="27" xfId="15" applyNumberFormat="1" applyFont="1" applyFill="1" applyBorder="1" applyAlignment="1">
      <alignment horizontal="center"/>
    </xf>
    <xf numFmtId="9" fontId="14" fillId="5" borderId="29" xfId="21" applyFont="1" applyFill="1" applyBorder="1" applyAlignment="1">
      <alignment horizontal="center"/>
    </xf>
    <xf numFmtId="169" fontId="14" fillId="5" borderId="4" xfId="15" applyNumberFormat="1" applyFont="1" applyFill="1" applyBorder="1" applyAlignment="1">
      <alignment horizontal="center"/>
    </xf>
    <xf numFmtId="0" fontId="0" fillId="5" borderId="0" xfId="0" applyFill="1" applyBorder="1" applyAlignment="1">
      <alignment horizontal="center"/>
    </xf>
    <xf numFmtId="0" fontId="0" fillId="0" borderId="0" xfId="0" applyFill="1" applyAlignment="1">
      <alignment/>
    </xf>
    <xf numFmtId="169" fontId="1" fillId="5" borderId="15" xfId="0" applyNumberFormat="1" applyFont="1" applyFill="1" applyBorder="1" applyAlignment="1">
      <alignment/>
    </xf>
    <xf numFmtId="165" fontId="1" fillId="5" borderId="30" xfId="17" applyNumberFormat="1" applyFont="1" applyFill="1" applyBorder="1" applyAlignment="1">
      <alignment/>
    </xf>
    <xf numFmtId="165" fontId="14" fillId="5" borderId="31" xfId="17" applyNumberFormat="1" applyFont="1" applyFill="1" applyBorder="1" applyAlignment="1">
      <alignment horizontal="center"/>
    </xf>
    <xf numFmtId="0" fontId="16" fillId="0" borderId="32" xfId="0" applyFont="1" applyFill="1" applyBorder="1" applyAlignment="1">
      <alignment/>
    </xf>
    <xf numFmtId="0" fontId="16" fillId="0" borderId="7" xfId="0" applyFont="1" applyFill="1" applyBorder="1" applyAlignment="1">
      <alignment horizontal="center"/>
    </xf>
    <xf numFmtId="0" fontId="23" fillId="5" borderId="33" xfId="0" applyFont="1" applyFill="1" applyBorder="1" applyAlignment="1">
      <alignment/>
    </xf>
    <xf numFmtId="0" fontId="0" fillId="5" borderId="26" xfId="0" applyFill="1" applyBorder="1" applyAlignment="1">
      <alignment/>
    </xf>
    <xf numFmtId="169" fontId="0" fillId="5" borderId="0" xfId="0" applyNumberFormat="1" applyFill="1" applyBorder="1" applyAlignment="1">
      <alignment/>
    </xf>
    <xf numFmtId="9" fontId="0" fillId="5" borderId="0" xfId="21" applyFill="1" applyBorder="1" applyAlignment="1">
      <alignment/>
    </xf>
    <xf numFmtId="0" fontId="0" fillId="5" borderId="11" xfId="0" applyFill="1" applyBorder="1" applyAlignment="1">
      <alignment horizontal="center"/>
    </xf>
    <xf numFmtId="0" fontId="29" fillId="0" borderId="0" xfId="0" applyFont="1" applyAlignment="1">
      <alignment/>
    </xf>
    <xf numFmtId="0" fontId="19" fillId="0" borderId="10" xfId="0" applyFont="1" applyFill="1" applyBorder="1" applyAlignment="1">
      <alignment/>
    </xf>
    <xf numFmtId="0" fontId="0" fillId="5" borderId="3" xfId="0" applyFill="1" applyBorder="1" applyAlignment="1">
      <alignment horizontal="center"/>
    </xf>
    <xf numFmtId="0" fontId="0" fillId="5" borderId="29" xfId="0" applyFill="1" applyBorder="1" applyAlignment="1">
      <alignment horizontal="center"/>
    </xf>
    <xf numFmtId="0" fontId="24" fillId="0" borderId="8" xfId="0" applyFont="1" applyBorder="1" applyAlignment="1">
      <alignment horizontal="center" wrapText="1"/>
    </xf>
    <xf numFmtId="0" fontId="24" fillId="0" borderId="0" xfId="0" applyFont="1" applyAlignment="1">
      <alignment/>
    </xf>
    <xf numFmtId="169" fontId="24" fillId="0" borderId="26" xfId="0" applyNumberFormat="1" applyFont="1" applyBorder="1" applyAlignment="1">
      <alignment/>
    </xf>
    <xf numFmtId="0" fontId="30" fillId="0" borderId="8" xfId="0" applyFont="1" applyFill="1" applyBorder="1" applyAlignment="1">
      <alignment horizontal="center" vertical="center" wrapText="1"/>
    </xf>
    <xf numFmtId="169" fontId="24" fillId="0" borderId="0" xfId="15" applyNumberFormat="1" applyFont="1" applyFill="1" applyBorder="1" applyAlignment="1">
      <alignment/>
    </xf>
    <xf numFmtId="0" fontId="24" fillId="0" borderId="5" xfId="0" applyFont="1" applyBorder="1" applyAlignment="1">
      <alignment/>
    </xf>
    <xf numFmtId="0" fontId="24" fillId="0" borderId="23" xfId="0" applyFont="1" applyFill="1" applyBorder="1" applyAlignment="1">
      <alignment/>
    </xf>
    <xf numFmtId="169" fontId="24" fillId="0" borderId="9" xfId="15" applyNumberFormat="1" applyFont="1" applyFill="1" applyBorder="1" applyAlignment="1">
      <alignment/>
    </xf>
    <xf numFmtId="9" fontId="24" fillId="0" borderId="7" xfId="21" applyFont="1" applyFill="1" applyBorder="1" applyAlignment="1">
      <alignment/>
    </xf>
    <xf numFmtId="0" fontId="24" fillId="0" borderId="1" xfId="0" applyFont="1" applyFill="1" applyBorder="1" applyAlignment="1">
      <alignment/>
    </xf>
    <xf numFmtId="9" fontId="24" fillId="0" borderId="5" xfId="21" applyFont="1" applyFill="1" applyBorder="1" applyAlignment="1">
      <alignment/>
    </xf>
    <xf numFmtId="0" fontId="24" fillId="0" borderId="1" xfId="0" applyFont="1" applyFill="1" applyBorder="1" applyAlignment="1">
      <alignment/>
    </xf>
    <xf numFmtId="9" fontId="24" fillId="0" borderId="5" xfId="21" applyFont="1" applyBorder="1" applyAlignment="1">
      <alignment/>
    </xf>
    <xf numFmtId="0" fontId="24" fillId="0" borderId="3" xfId="0" applyFont="1" applyBorder="1" applyAlignment="1">
      <alignment/>
    </xf>
    <xf numFmtId="169" fontId="24" fillId="0" borderId="4" xfId="0" applyNumberFormat="1" applyFont="1" applyBorder="1" applyAlignment="1">
      <alignment/>
    </xf>
    <xf numFmtId="9" fontId="24" fillId="0" borderId="4" xfId="21" applyFont="1" applyBorder="1" applyAlignment="1">
      <alignment/>
    </xf>
    <xf numFmtId="3" fontId="0" fillId="0" borderId="0" xfId="0" applyNumberFormat="1" applyAlignment="1">
      <alignment/>
    </xf>
    <xf numFmtId="6" fontId="0" fillId="0" borderId="0" xfId="0" applyNumberFormat="1" applyAlignment="1">
      <alignment/>
    </xf>
    <xf numFmtId="9" fontId="0" fillId="0" borderId="0" xfId="0" applyNumberFormat="1" applyAlignment="1">
      <alignment/>
    </xf>
    <xf numFmtId="0" fontId="24" fillId="0" borderId="9" xfId="0" applyFont="1" applyBorder="1" applyAlignment="1">
      <alignment horizontal="center"/>
    </xf>
    <xf numFmtId="2" fontId="14" fillId="7" borderId="15" xfId="0" applyNumberFormat="1" applyFont="1" applyFill="1" applyBorder="1" applyAlignment="1">
      <alignment/>
    </xf>
    <xf numFmtId="165" fontId="24" fillId="0" borderId="0" xfId="17" applyNumberFormat="1" applyFont="1" applyBorder="1" applyAlignment="1">
      <alignment/>
    </xf>
    <xf numFmtId="169" fontId="23" fillId="0" borderId="8" xfId="15" applyNumberFormat="1" applyFont="1" applyFill="1" applyBorder="1" applyAlignment="1">
      <alignment/>
    </xf>
    <xf numFmtId="169" fontId="23" fillId="0" borderId="0" xfId="15" applyNumberFormat="1" applyFont="1" applyFill="1" applyBorder="1" applyAlignment="1">
      <alignment/>
    </xf>
    <xf numFmtId="0" fontId="0" fillId="0" borderId="9" xfId="0" applyBorder="1" applyAlignment="1">
      <alignment/>
    </xf>
    <xf numFmtId="165" fontId="24" fillId="0" borderId="9" xfId="17" applyNumberFormat="1" applyFont="1" applyBorder="1" applyAlignment="1">
      <alignment/>
    </xf>
    <xf numFmtId="9" fontId="23" fillId="0" borderId="8" xfId="21" applyFont="1" applyFill="1" applyBorder="1" applyAlignment="1">
      <alignment/>
    </xf>
    <xf numFmtId="169" fontId="23" fillId="0" borderId="8" xfId="15" applyNumberFormat="1" applyFont="1" applyFill="1" applyBorder="1" applyAlignment="1">
      <alignment/>
    </xf>
    <xf numFmtId="169" fontId="23" fillId="0" borderId="34" xfId="15" applyNumberFormat="1" applyFont="1" applyFill="1" applyBorder="1" applyAlignment="1">
      <alignment/>
    </xf>
    <xf numFmtId="169" fontId="23" fillId="0" borderId="34" xfId="15" applyNumberFormat="1" applyFont="1" applyFill="1" applyBorder="1" applyAlignment="1">
      <alignment/>
    </xf>
    <xf numFmtId="0" fontId="23" fillId="6" borderId="35" xfId="0" applyFont="1" applyFill="1" applyBorder="1" applyAlignment="1">
      <alignment horizontal="center" wrapText="1"/>
    </xf>
    <xf numFmtId="0" fontId="23" fillId="6" borderId="32" xfId="0" applyFont="1" applyFill="1" applyBorder="1" applyAlignment="1">
      <alignment horizontal="center" wrapText="1"/>
    </xf>
    <xf numFmtId="0" fontId="23" fillId="6" borderId="35" xfId="0" applyFont="1" applyFill="1" applyBorder="1" applyAlignment="1">
      <alignment horizontal="center"/>
    </xf>
    <xf numFmtId="0" fontId="23" fillId="6" borderId="36" xfId="0" applyFont="1" applyFill="1" applyBorder="1" applyAlignment="1">
      <alignment horizontal="center"/>
    </xf>
    <xf numFmtId="0" fontId="4" fillId="0" borderId="25" xfId="0" applyFont="1" applyFill="1" applyBorder="1" applyAlignment="1">
      <alignment horizontal="center" wrapText="1"/>
    </xf>
    <xf numFmtId="0" fontId="0" fillId="0" borderId="26" xfId="0" applyFont="1" applyBorder="1" applyAlignment="1">
      <alignment wrapText="1"/>
    </xf>
    <xf numFmtId="164" fontId="4" fillId="0" borderId="26" xfId="17" applyNumberFormat="1" applyFont="1" applyFill="1" applyBorder="1" applyAlignment="1">
      <alignment horizontal="center" wrapText="1"/>
    </xf>
    <xf numFmtId="0" fontId="0" fillId="0" borderId="26" xfId="0" applyFont="1" applyBorder="1" applyAlignment="1">
      <alignment/>
    </xf>
    <xf numFmtId="0" fontId="1" fillId="0" borderId="26" xfId="0" applyFont="1" applyFill="1" applyBorder="1" applyAlignment="1">
      <alignment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xf numFmtId="9" fontId="23" fillId="0" borderId="9" xfId="21" applyFont="1" applyFill="1" applyBorder="1" applyAlignment="1">
      <alignment/>
    </xf>
    <xf numFmtId="0" fontId="26" fillId="0" borderId="23" xfId="0" applyFont="1" applyFill="1" applyBorder="1" applyAlignment="1">
      <alignment/>
    </xf>
    <xf numFmtId="165" fontId="24" fillId="0" borderId="7" xfId="0" applyNumberFormat="1" applyFont="1" applyBorder="1" applyAlignment="1">
      <alignment/>
    </xf>
    <xf numFmtId="0" fontId="23" fillId="0" borderId="1" xfId="0" applyFont="1" applyBorder="1" applyAlignment="1">
      <alignment/>
    </xf>
    <xf numFmtId="165" fontId="24" fillId="0" borderId="5" xfId="0" applyNumberFormat="1" applyFont="1" applyBorder="1" applyAlignment="1">
      <alignment/>
    </xf>
    <xf numFmtId="0" fontId="26" fillId="0" borderId="9" xfId="0" applyFont="1" applyFill="1" applyBorder="1" applyAlignment="1">
      <alignment horizontal="center" wrapText="1"/>
    </xf>
    <xf numFmtId="0" fontId="24" fillId="0" borderId="7" xfId="0" applyFont="1" applyBorder="1" applyAlignment="1">
      <alignment/>
    </xf>
    <xf numFmtId="0" fontId="9" fillId="0" borderId="1" xfId="0" applyFont="1" applyFill="1" applyBorder="1" applyAlignment="1">
      <alignment/>
    </xf>
    <xf numFmtId="0" fontId="9" fillId="0" borderId="23" xfId="0" applyFont="1" applyFill="1" applyBorder="1" applyAlignment="1">
      <alignment/>
    </xf>
    <xf numFmtId="0" fontId="34" fillId="0" borderId="24" xfId="0" applyFont="1" applyFill="1" applyBorder="1" applyAlignment="1">
      <alignment horizontal="center" wrapText="1"/>
    </xf>
    <xf numFmtId="0" fontId="34" fillId="0" borderId="0" xfId="0" applyFont="1" applyFill="1" applyBorder="1" applyAlignment="1">
      <alignment horizontal="center" wrapText="1"/>
    </xf>
    <xf numFmtId="0" fontId="34" fillId="0" borderId="0" xfId="0" applyFont="1" applyBorder="1" applyAlignment="1">
      <alignment horizontal="center"/>
    </xf>
    <xf numFmtId="0" fontId="34" fillId="0" borderId="0" xfId="0" applyFont="1" applyBorder="1" applyAlignment="1">
      <alignment/>
    </xf>
    <xf numFmtId="0" fontId="1" fillId="9" borderId="0" xfId="0" applyFont="1" applyFill="1" applyAlignment="1">
      <alignment/>
    </xf>
    <xf numFmtId="0" fontId="35" fillId="9" borderId="0" xfId="0" applyFont="1" applyFill="1" applyAlignment="1">
      <alignment/>
    </xf>
    <xf numFmtId="0" fontId="0" fillId="6" borderId="37" xfId="0" applyFill="1" applyBorder="1" applyAlignment="1">
      <alignment/>
    </xf>
    <xf numFmtId="0" fontId="0" fillId="6" borderId="38" xfId="0" applyFill="1" applyBorder="1" applyAlignment="1">
      <alignment/>
    </xf>
    <xf numFmtId="0" fontId="0" fillId="6" borderId="39" xfId="0" applyFill="1" applyBorder="1" applyAlignment="1">
      <alignment/>
    </xf>
    <xf numFmtId="0" fontId="36" fillId="0" borderId="0" xfId="0" applyFont="1" applyAlignment="1">
      <alignment/>
    </xf>
    <xf numFmtId="0" fontId="24" fillId="0" borderId="8" xfId="0" applyFont="1" applyBorder="1" applyAlignment="1">
      <alignment/>
    </xf>
    <xf numFmtId="0" fontId="23" fillId="0" borderId="10" xfId="0" applyFont="1" applyBorder="1" applyAlignment="1">
      <alignment horizontal="left"/>
    </xf>
    <xf numFmtId="0" fontId="1" fillId="0" borderId="0" xfId="0" applyFont="1" applyAlignment="1">
      <alignment/>
    </xf>
    <xf numFmtId="0" fontId="18" fillId="5" borderId="17" xfId="0" applyFont="1" applyFill="1" applyBorder="1" applyAlignment="1">
      <alignment/>
    </xf>
    <xf numFmtId="0" fontId="18" fillId="5" borderId="35" xfId="0" applyFont="1" applyFill="1" applyBorder="1" applyAlignment="1">
      <alignment/>
    </xf>
    <xf numFmtId="0" fontId="18" fillId="5" borderId="40" xfId="0" applyFont="1" applyFill="1" applyBorder="1" applyAlignment="1">
      <alignment/>
    </xf>
    <xf numFmtId="0" fontId="3" fillId="0" borderId="0" xfId="0" applyFont="1" applyAlignment="1">
      <alignment/>
    </xf>
    <xf numFmtId="169" fontId="0" fillId="0" borderId="7" xfId="15" applyNumberFormat="1" applyBorder="1" applyAlignment="1">
      <alignment horizontal="center"/>
    </xf>
    <xf numFmtId="9" fontId="0" fillId="0" borderId="5" xfId="0" applyNumberFormat="1" applyBorder="1" applyAlignment="1">
      <alignment horizontal="center"/>
    </xf>
    <xf numFmtId="169" fontId="0" fillId="0" borderId="5" xfId="15" applyNumberFormat="1" applyBorder="1" applyAlignment="1">
      <alignment horizontal="center"/>
    </xf>
    <xf numFmtId="165" fontId="0" fillId="0" borderId="5" xfId="17" applyNumberFormat="1" applyBorder="1" applyAlignment="1">
      <alignment horizontal="center"/>
    </xf>
    <xf numFmtId="165" fontId="0" fillId="0" borderId="6" xfId="17" applyNumberFormat="1" applyBorder="1" applyAlignment="1">
      <alignment horizontal="center"/>
    </xf>
    <xf numFmtId="0" fontId="32" fillId="0" borderId="0" xfId="0" applyFont="1" applyAlignment="1">
      <alignment vertical="center"/>
    </xf>
    <xf numFmtId="0" fontId="0" fillId="0" borderId="0" xfId="0" applyAlignment="1">
      <alignment vertical="center"/>
    </xf>
    <xf numFmtId="0" fontId="22" fillId="0" borderId="0" xfId="0" applyFont="1" applyAlignment="1">
      <alignment/>
    </xf>
    <xf numFmtId="169" fontId="27" fillId="8" borderId="8" xfId="15" applyNumberFormat="1" applyFont="1" applyFill="1" applyBorder="1" applyAlignment="1">
      <alignment horizontal="center"/>
    </xf>
    <xf numFmtId="0" fontId="0" fillId="0" borderId="0" xfId="0" applyAlignment="1">
      <alignment wrapText="1"/>
    </xf>
    <xf numFmtId="0" fontId="0" fillId="0" borderId="0" xfId="0" applyFill="1" applyBorder="1" applyAlignment="1">
      <alignment/>
    </xf>
    <xf numFmtId="169" fontId="0" fillId="0" borderId="0" xfId="0" applyNumberFormat="1" applyFill="1" applyBorder="1" applyAlignment="1">
      <alignment/>
    </xf>
    <xf numFmtId="9" fontId="0" fillId="0" borderId="0" xfId="0" applyNumberFormat="1" applyFill="1" applyBorder="1" applyAlignment="1">
      <alignment/>
    </xf>
    <xf numFmtId="165" fontId="27" fillId="8" borderId="8" xfId="17" applyNumberFormat="1" applyFont="1" applyFill="1" applyBorder="1" applyAlignment="1">
      <alignment horizontal="center"/>
    </xf>
    <xf numFmtId="169" fontId="1" fillId="0" borderId="41" xfId="0" applyNumberFormat="1" applyFont="1" applyBorder="1" applyAlignment="1">
      <alignment/>
    </xf>
    <xf numFmtId="169" fontId="0" fillId="0" borderId="0" xfId="15" applyNumberFormat="1" applyFill="1" applyBorder="1" applyAlignment="1">
      <alignment/>
    </xf>
    <xf numFmtId="0" fontId="14" fillId="10" borderId="8" xfId="0" applyFont="1" applyFill="1" applyBorder="1" applyAlignment="1">
      <alignment horizontal="center" wrapText="1"/>
    </xf>
    <xf numFmtId="0" fontId="0" fillId="0" borderId="41" xfId="0" applyFill="1" applyBorder="1" applyAlignment="1">
      <alignment/>
    </xf>
    <xf numFmtId="14" fontId="4" fillId="6" borderId="42" xfId="0" applyNumberFormat="1" applyFont="1" applyFill="1" applyBorder="1" applyAlignment="1">
      <alignment/>
    </xf>
    <xf numFmtId="0" fontId="22" fillId="6" borderId="19" xfId="0" applyFont="1" applyFill="1" applyBorder="1" applyAlignment="1">
      <alignment horizontal="left"/>
    </xf>
    <xf numFmtId="0" fontId="0" fillId="6" borderId="24" xfId="0" applyFill="1" applyBorder="1" applyAlignment="1">
      <alignment/>
    </xf>
    <xf numFmtId="0" fontId="23" fillId="6" borderId="26" xfId="0" applyFont="1" applyFill="1" applyBorder="1" applyAlignment="1">
      <alignment/>
    </xf>
    <xf numFmtId="0" fontId="23" fillId="6" borderId="4" xfId="0" applyFont="1" applyFill="1" applyBorder="1" applyAlignment="1">
      <alignment/>
    </xf>
    <xf numFmtId="0" fontId="0" fillId="6" borderId="26" xfId="0" applyFill="1" applyBorder="1" applyAlignment="1">
      <alignment/>
    </xf>
    <xf numFmtId="0" fontId="23" fillId="6" borderId="26" xfId="0" applyFont="1" applyFill="1" applyBorder="1" applyAlignment="1">
      <alignment horizontal="center"/>
    </xf>
    <xf numFmtId="0" fontId="24" fillId="6" borderId="26" xfId="0" applyFont="1" applyFill="1" applyBorder="1" applyAlignment="1">
      <alignment/>
    </xf>
    <xf numFmtId="165" fontId="23" fillId="6" borderId="26" xfId="0" applyNumberFormat="1" applyFont="1" applyFill="1" applyBorder="1" applyAlignment="1">
      <alignment/>
    </xf>
    <xf numFmtId="165" fontId="23" fillId="6" borderId="4" xfId="17" applyNumberFormat="1" applyFont="1" applyFill="1" applyBorder="1" applyAlignment="1">
      <alignment/>
    </xf>
    <xf numFmtId="164" fontId="28" fillId="6" borderId="26" xfId="17" applyNumberFormat="1" applyFont="1" applyFill="1" applyBorder="1" applyAlignment="1">
      <alignment/>
    </xf>
    <xf numFmtId="169" fontId="23" fillId="6" borderId="26" xfId="15" applyNumberFormat="1" applyFont="1" applyFill="1" applyBorder="1" applyAlignment="1">
      <alignment/>
    </xf>
    <xf numFmtId="0" fontId="42" fillId="6" borderId="43" xfId="0" applyFont="1" applyFill="1" applyBorder="1" applyAlignment="1">
      <alignment/>
    </xf>
    <xf numFmtId="0" fontId="0" fillId="6" borderId="44" xfId="0" applyFont="1" applyFill="1" applyBorder="1" applyAlignment="1">
      <alignment/>
    </xf>
    <xf numFmtId="0" fontId="9" fillId="6" borderId="3" xfId="0" applyFont="1" applyFill="1" applyBorder="1" applyAlignment="1">
      <alignment/>
    </xf>
    <xf numFmtId="164" fontId="9" fillId="6" borderId="3" xfId="17" applyNumberFormat="1" applyFont="1" applyFill="1" applyBorder="1" applyAlignment="1">
      <alignment/>
    </xf>
    <xf numFmtId="0" fontId="9" fillId="0" borderId="17" xfId="0" applyFont="1" applyFill="1" applyBorder="1" applyAlignment="1">
      <alignment/>
    </xf>
    <xf numFmtId="0" fontId="9" fillId="6" borderId="25" xfId="0" applyFont="1" applyFill="1" applyBorder="1" applyAlignment="1">
      <alignment/>
    </xf>
    <xf numFmtId="164" fontId="26" fillId="6" borderId="26" xfId="17" applyNumberFormat="1" applyFont="1" applyFill="1" applyBorder="1" applyAlignment="1">
      <alignment/>
    </xf>
    <xf numFmtId="167" fontId="23" fillId="6" borderId="26" xfId="0" applyNumberFormat="1" applyFont="1" applyFill="1" applyBorder="1" applyAlignment="1">
      <alignment/>
    </xf>
    <xf numFmtId="169" fontId="23" fillId="6" borderId="26" xfId="0" applyNumberFormat="1" applyFont="1" applyFill="1" applyBorder="1" applyAlignment="1">
      <alignment/>
    </xf>
    <xf numFmtId="165" fontId="23" fillId="6" borderId="27" xfId="17" applyNumberFormat="1" applyFont="1" applyFill="1" applyBorder="1" applyAlignment="1">
      <alignment/>
    </xf>
    <xf numFmtId="0" fontId="41" fillId="6" borderId="26" xfId="0" applyFont="1" applyFill="1" applyBorder="1" applyAlignment="1">
      <alignment/>
    </xf>
    <xf numFmtId="168" fontId="23" fillId="6" borderId="26" xfId="0" applyNumberFormat="1" applyFont="1" applyFill="1" applyBorder="1" applyAlignment="1">
      <alignment/>
    </xf>
    <xf numFmtId="9" fontId="23" fillId="6" borderId="26" xfId="0" applyNumberFormat="1" applyFont="1" applyFill="1" applyBorder="1" applyAlignment="1">
      <alignment/>
    </xf>
    <xf numFmtId="0" fontId="9" fillId="6" borderId="40" xfId="0" applyFont="1" applyFill="1" applyBorder="1" applyAlignment="1">
      <alignment/>
    </xf>
    <xf numFmtId="0" fontId="24" fillId="6" borderId="45" xfId="0" applyFont="1" applyFill="1" applyBorder="1" applyAlignment="1">
      <alignment/>
    </xf>
    <xf numFmtId="0" fontId="24" fillId="6" borderId="31" xfId="0" applyFont="1" applyFill="1" applyBorder="1" applyAlignment="1">
      <alignment/>
    </xf>
    <xf numFmtId="167" fontId="23" fillId="6" borderId="45" xfId="0" applyNumberFormat="1" applyFont="1" applyFill="1" applyBorder="1" applyAlignment="1">
      <alignment/>
    </xf>
    <xf numFmtId="0" fontId="23" fillId="6" borderId="45" xfId="0" applyFont="1" applyFill="1" applyBorder="1" applyAlignment="1">
      <alignment/>
    </xf>
    <xf numFmtId="165" fontId="23" fillId="6" borderId="46" xfId="0" applyNumberFormat="1" applyFont="1" applyFill="1" applyBorder="1" applyAlignment="1">
      <alignment/>
    </xf>
    <xf numFmtId="44" fontId="23" fillId="6" borderId="46" xfId="0" applyNumberFormat="1" applyFont="1" applyFill="1" applyBorder="1" applyAlignment="1">
      <alignment/>
    </xf>
    <xf numFmtId="5" fontId="0" fillId="0" borderId="0" xfId="0" applyNumberFormat="1" applyFill="1" applyBorder="1" applyAlignment="1">
      <alignment/>
    </xf>
    <xf numFmtId="5" fontId="1" fillId="0" borderId="41" xfId="0" applyNumberFormat="1" applyFont="1" applyBorder="1" applyAlignment="1">
      <alignment/>
    </xf>
    <xf numFmtId="0" fontId="1" fillId="0" borderId="0" xfId="0" applyFont="1" applyAlignment="1">
      <alignment vertical="center"/>
    </xf>
    <xf numFmtId="169" fontId="14" fillId="9" borderId="8" xfId="15" applyNumberFormat="1" applyFont="1" applyFill="1" applyBorder="1" applyAlignment="1">
      <alignment/>
    </xf>
    <xf numFmtId="0" fontId="14" fillId="9" borderId="8" xfId="0" applyFont="1" applyFill="1" applyBorder="1" applyAlignment="1">
      <alignment horizontal="center"/>
    </xf>
    <xf numFmtId="169" fontId="14" fillId="9" borderId="8" xfId="15" applyNumberFormat="1" applyFont="1" applyFill="1" applyBorder="1" applyAlignment="1">
      <alignment horizontal="center"/>
    </xf>
    <xf numFmtId="2" fontId="14" fillId="9" borderId="8" xfId="0" applyNumberFormat="1" applyFont="1" applyFill="1" applyBorder="1" applyAlignment="1">
      <alignment/>
    </xf>
    <xf numFmtId="0" fontId="14" fillId="9" borderId="15" xfId="0" applyFont="1" applyFill="1" applyBorder="1" applyAlignment="1">
      <alignment/>
    </xf>
    <xf numFmtId="2" fontId="14" fillId="9" borderId="15" xfId="0" applyNumberFormat="1" applyFont="1" applyFill="1" applyBorder="1" applyAlignment="1">
      <alignment/>
    </xf>
    <xf numFmtId="170" fontId="14" fillId="9" borderId="8" xfId="0" applyNumberFormat="1" applyFont="1" applyFill="1" applyBorder="1" applyAlignment="1">
      <alignment/>
    </xf>
    <xf numFmtId="169" fontId="1" fillId="9" borderId="8" xfId="15" applyNumberFormat="1" applyFont="1" applyFill="1" applyBorder="1" applyAlignment="1">
      <alignment horizontal="center"/>
    </xf>
    <xf numFmtId="0" fontId="14" fillId="9" borderId="8" xfId="0" applyFont="1" applyFill="1" applyBorder="1" applyAlignment="1">
      <alignment/>
    </xf>
    <xf numFmtId="165" fontId="14" fillId="9" borderId="8" xfId="17" applyNumberFormat="1" applyFont="1" applyFill="1" applyBorder="1" applyAlignment="1">
      <alignment horizontal="center"/>
    </xf>
    <xf numFmtId="9" fontId="14" fillId="9" borderId="30" xfId="21" applyFont="1" applyFill="1" applyBorder="1" applyAlignment="1">
      <alignment horizontal="center"/>
    </xf>
    <xf numFmtId="0" fontId="19" fillId="6" borderId="23" xfId="0" applyFont="1" applyFill="1" applyBorder="1" applyAlignment="1">
      <alignment/>
    </xf>
    <xf numFmtId="0" fontId="0" fillId="6" borderId="4" xfId="0" applyFill="1" applyBorder="1" applyAlignment="1">
      <alignment/>
    </xf>
    <xf numFmtId="0" fontId="23" fillId="6" borderId="23" xfId="0" applyFont="1" applyFill="1" applyBorder="1" applyAlignment="1">
      <alignment horizontal="right"/>
    </xf>
    <xf numFmtId="0" fontId="31" fillId="6" borderId="7" xfId="0" applyFont="1" applyFill="1" applyBorder="1" applyAlignment="1">
      <alignment horizontal="center"/>
    </xf>
    <xf numFmtId="0" fontId="23" fillId="6" borderId="1" xfId="0" applyFont="1" applyFill="1" applyBorder="1" applyAlignment="1">
      <alignment horizontal="center"/>
    </xf>
    <xf numFmtId="167" fontId="23" fillId="6" borderId="5" xfId="0" applyNumberFormat="1" applyFont="1" applyFill="1" applyBorder="1" applyAlignment="1">
      <alignment/>
    </xf>
    <xf numFmtId="0" fontId="23" fillId="6" borderId="2" xfId="0" applyFont="1" applyFill="1" applyBorder="1" applyAlignment="1">
      <alignment horizontal="center"/>
    </xf>
    <xf numFmtId="167" fontId="23" fillId="6" borderId="6" xfId="0" applyNumberFormat="1" applyFont="1" applyFill="1" applyBorder="1" applyAlignment="1">
      <alignment/>
    </xf>
    <xf numFmtId="0" fontId="23" fillId="6" borderId="3" xfId="0" applyFont="1" applyFill="1" applyBorder="1" applyAlignment="1">
      <alignment horizontal="center"/>
    </xf>
    <xf numFmtId="167" fontId="23" fillId="6" borderId="4" xfId="0" applyNumberFormat="1" applyFont="1" applyFill="1" applyBorder="1" applyAlignment="1">
      <alignment/>
    </xf>
    <xf numFmtId="0" fontId="23" fillId="6" borderId="8" xfId="0" applyFont="1" applyFill="1" applyBorder="1" applyAlignment="1">
      <alignment horizontal="center"/>
    </xf>
    <xf numFmtId="0" fontId="9" fillId="6" borderId="23" xfId="0" applyFont="1" applyFill="1" applyBorder="1" applyAlignment="1">
      <alignment wrapText="1"/>
    </xf>
    <xf numFmtId="0" fontId="23" fillId="6" borderId="8" xfId="0" applyFont="1" applyFill="1" applyBorder="1" applyAlignment="1">
      <alignment horizontal="center" wrapText="1"/>
    </xf>
    <xf numFmtId="0" fontId="23" fillId="6" borderId="7" xfId="0" applyFont="1" applyFill="1" applyBorder="1" applyAlignment="1">
      <alignment horizontal="center" wrapText="1"/>
    </xf>
    <xf numFmtId="0" fontId="23" fillId="6" borderId="7" xfId="0" applyFont="1" applyFill="1" applyBorder="1" applyAlignment="1">
      <alignment horizontal="center"/>
    </xf>
    <xf numFmtId="0" fontId="23" fillId="6" borderId="23" xfId="0" applyFont="1" applyFill="1" applyBorder="1" applyAlignment="1">
      <alignment horizontal="center"/>
    </xf>
    <xf numFmtId="167" fontId="1" fillId="6" borderId="8" xfId="0" applyNumberFormat="1" applyFont="1" applyFill="1" applyBorder="1" applyAlignment="1">
      <alignment horizontal="center"/>
    </xf>
    <xf numFmtId="16" fontId="23" fillId="6" borderId="23" xfId="0" applyNumberFormat="1" applyFont="1" applyFill="1" applyBorder="1" applyAlignment="1">
      <alignment horizontal="center"/>
    </xf>
    <xf numFmtId="0" fontId="0" fillId="6" borderId="2" xfId="0" applyFill="1" applyBorder="1" applyAlignment="1">
      <alignment/>
    </xf>
    <xf numFmtId="167" fontId="0" fillId="6" borderId="8" xfId="0" applyNumberFormat="1" applyFill="1" applyBorder="1" applyAlignment="1">
      <alignment horizontal="center"/>
    </xf>
    <xf numFmtId="0" fontId="16" fillId="10" borderId="8" xfId="0" applyFont="1" applyFill="1" applyBorder="1" applyAlignment="1">
      <alignment horizontal="center" wrapText="1"/>
    </xf>
    <xf numFmtId="0" fontId="16" fillId="11" borderId="8" xfId="0" applyFont="1" applyFill="1" applyBorder="1" applyAlignment="1">
      <alignment horizontal="center" wrapText="1"/>
    </xf>
    <xf numFmtId="182" fontId="23" fillId="9" borderId="8" xfId="17" applyNumberFormat="1" applyFont="1" applyFill="1" applyBorder="1" applyAlignment="1">
      <alignment horizontal="center"/>
    </xf>
    <xf numFmtId="0" fontId="24" fillId="0" borderId="23" xfId="0" applyFont="1" applyBorder="1" applyAlignment="1">
      <alignment horizontal="center"/>
    </xf>
    <xf numFmtId="0" fontId="0" fillId="0" borderId="9" xfId="0" applyBorder="1" applyAlignment="1">
      <alignment/>
    </xf>
    <xf numFmtId="0" fontId="24" fillId="0" borderId="9" xfId="0" applyFont="1" applyBorder="1" applyAlignment="1">
      <alignment horizontal="center"/>
    </xf>
    <xf numFmtId="0" fontId="24" fillId="0" borderId="0" xfId="0" applyFont="1" applyBorder="1" applyAlignment="1">
      <alignment horizontal="center"/>
    </xf>
    <xf numFmtId="0" fontId="0" fillId="0" borderId="0" xfId="0" applyBorder="1" applyAlignment="1">
      <alignment/>
    </xf>
    <xf numFmtId="0" fontId="24" fillId="0" borderId="1" xfId="0" applyFont="1" applyBorder="1" applyAlignment="1">
      <alignment horizontal="center"/>
    </xf>
    <xf numFmtId="0" fontId="22" fillId="6" borderId="3" xfId="0" applyFont="1" applyFill="1" applyBorder="1" applyAlignment="1">
      <alignment horizontal="center" wrapText="1"/>
    </xf>
    <xf numFmtId="0" fontId="22" fillId="6" borderId="26" xfId="0" applyFont="1" applyFill="1" applyBorder="1" applyAlignment="1">
      <alignment horizontal="center" wrapText="1"/>
    </xf>
    <xf numFmtId="0" fontId="22" fillId="6" borderId="4" xfId="0" applyFont="1" applyFill="1" applyBorder="1" applyAlignment="1">
      <alignment horizontal="center" wrapText="1"/>
    </xf>
    <xf numFmtId="0" fontId="2" fillId="0" borderId="1" xfId="0" applyFont="1" applyBorder="1" applyAlignment="1">
      <alignment horizontal="right" wrapText="1"/>
    </xf>
    <xf numFmtId="0" fontId="2" fillId="0" borderId="0" xfId="0" applyFont="1" applyBorder="1" applyAlignment="1">
      <alignment horizontal="right" wrapText="1"/>
    </xf>
    <xf numFmtId="0" fontId="2" fillId="0" borderId="2" xfId="0" applyFont="1" applyBorder="1" applyAlignment="1">
      <alignment horizontal="right" wrapText="1"/>
    </xf>
    <xf numFmtId="0" fontId="2" fillId="0" borderId="24" xfId="0" applyFont="1" applyBorder="1" applyAlignment="1">
      <alignment horizontal="right" wrapText="1"/>
    </xf>
    <xf numFmtId="0" fontId="42" fillId="6" borderId="3" xfId="0" applyFont="1" applyFill="1" applyBorder="1" applyAlignment="1">
      <alignment wrapText="1"/>
    </xf>
    <xf numFmtId="0" fontId="42" fillId="6" borderId="26" xfId="0" applyFont="1" applyFill="1" applyBorder="1" applyAlignment="1">
      <alignment wrapText="1"/>
    </xf>
    <xf numFmtId="0" fontId="42" fillId="6" borderId="4" xfId="0" applyFont="1" applyFill="1" applyBorder="1" applyAlignment="1">
      <alignment wrapText="1"/>
    </xf>
    <xf numFmtId="0" fontId="2" fillId="0" borderId="23" xfId="0" applyFont="1" applyBorder="1" applyAlignment="1">
      <alignment horizontal="right" wrapText="1"/>
    </xf>
    <xf numFmtId="0" fontId="2" fillId="0" borderId="9" xfId="0" applyFont="1" applyBorder="1" applyAlignment="1">
      <alignment horizontal="right" wrapText="1"/>
    </xf>
    <xf numFmtId="182" fontId="23" fillId="9" borderId="30" xfId="17" applyNumberFormat="1" applyFont="1" applyFill="1" applyBorder="1" applyAlignment="1">
      <alignment horizontal="center"/>
    </xf>
    <xf numFmtId="182" fontId="23" fillId="9" borderId="16" xfId="17" applyNumberFormat="1" applyFont="1" applyFill="1" applyBorder="1" applyAlignment="1">
      <alignment horizontal="center"/>
    </xf>
    <xf numFmtId="0" fontId="0" fillId="0" borderId="23"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24" xfId="0" applyBorder="1" applyAlignment="1">
      <alignment vertical="top" wrapText="1"/>
    </xf>
    <xf numFmtId="0" fontId="0" fillId="0" borderId="6" xfId="0" applyBorder="1" applyAlignment="1">
      <alignment vertical="top" wrapText="1"/>
    </xf>
    <xf numFmtId="0" fontId="19" fillId="6" borderId="47"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82" fontId="23" fillId="9" borderId="15" xfId="17" applyNumberFormat="1" applyFont="1" applyFill="1" applyBorder="1" applyAlignment="1">
      <alignment horizontal="center"/>
    </xf>
    <xf numFmtId="0" fontId="37" fillId="0" borderId="24" xfId="0" applyFont="1" applyBorder="1" applyAlignment="1">
      <alignment wrapText="1"/>
    </xf>
    <xf numFmtId="0" fontId="9" fillId="2" borderId="3" xfId="0" applyFont="1" applyFill="1" applyBorder="1" applyAlignment="1">
      <alignment horizontal="center"/>
    </xf>
    <xf numFmtId="0" fontId="9" fillId="2" borderId="26" xfId="0" applyFont="1" applyFill="1" applyBorder="1" applyAlignment="1">
      <alignment horizontal="center"/>
    </xf>
    <xf numFmtId="0" fontId="9" fillId="2" borderId="4" xfId="0" applyFont="1" applyFill="1" applyBorder="1" applyAlignment="1">
      <alignment horizontal="center"/>
    </xf>
    <xf numFmtId="0" fontId="9" fillId="3" borderId="3" xfId="0" applyFont="1" applyFill="1" applyBorder="1" applyAlignment="1">
      <alignment horizontal="center"/>
    </xf>
    <xf numFmtId="0" fontId="9" fillId="3" borderId="26" xfId="0" applyFont="1" applyFill="1" applyBorder="1" applyAlignment="1">
      <alignment horizontal="center"/>
    </xf>
    <xf numFmtId="0" fontId="9" fillId="3"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Plot of EMS FTE Multiplier for POPULATION</a:t>
            </a:r>
          </a:p>
        </c:rich>
      </c:tx>
      <c:layout/>
      <c:spPr>
        <a:noFill/>
        <a:ln>
          <a:noFill/>
        </a:ln>
      </c:spPr>
    </c:title>
    <c:plotArea>
      <c:layout/>
      <c:scatterChart>
        <c:scatterStyle val="smoothMarker"/>
        <c:varyColors val="0"/>
        <c:ser>
          <c:idx val="0"/>
          <c:order val="0"/>
          <c:tx>
            <c:strRef>
              <c:f>'Chart TABLES'!$C$3</c:f>
              <c:strCache>
                <c:ptCount val="1"/>
                <c:pt idx="0">
                  <c:v>FTE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'Chart TABLES'!$B$4:$B$23</c:f>
              <c:numCache>
                <c:ptCount val="20"/>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17500</c:v>
                </c:pt>
                <c:pt idx="17">
                  <c:v>20000</c:v>
                </c:pt>
                <c:pt idx="18">
                  <c:v>22500</c:v>
                </c:pt>
                <c:pt idx="19">
                  <c:v>25000</c:v>
                </c:pt>
              </c:numCache>
            </c:numRef>
          </c:xVal>
          <c:yVal>
            <c:numRef>
              <c:f>'Chart TABLES'!$C$4:$C$23</c:f>
              <c:numCache>
                <c:ptCount val="20"/>
                <c:pt idx="0">
                  <c:v>0</c:v>
                </c:pt>
                <c:pt idx="1">
                  <c:v>1</c:v>
                </c:pt>
                <c:pt idx="2">
                  <c:v>2</c:v>
                </c:pt>
                <c:pt idx="3">
                  <c:v>3</c:v>
                </c:pt>
                <c:pt idx="4">
                  <c:v>3.8</c:v>
                </c:pt>
                <c:pt idx="5">
                  <c:v>4.25</c:v>
                </c:pt>
                <c:pt idx="6">
                  <c:v>4.7</c:v>
                </c:pt>
                <c:pt idx="7">
                  <c:v>5.15</c:v>
                </c:pt>
                <c:pt idx="8">
                  <c:v>5.6</c:v>
                </c:pt>
                <c:pt idx="9">
                  <c:v>6.05</c:v>
                </c:pt>
                <c:pt idx="10">
                  <c:v>6.5</c:v>
                </c:pt>
                <c:pt idx="11">
                  <c:v>6.95</c:v>
                </c:pt>
                <c:pt idx="12">
                  <c:v>7.4</c:v>
                </c:pt>
                <c:pt idx="13">
                  <c:v>7.8500000000000005</c:v>
                </c:pt>
                <c:pt idx="14">
                  <c:v>8.3</c:v>
                </c:pt>
                <c:pt idx="15">
                  <c:v>8.75</c:v>
                </c:pt>
                <c:pt idx="16">
                  <c:v>9.875</c:v>
                </c:pt>
                <c:pt idx="17">
                  <c:v>11</c:v>
                </c:pt>
                <c:pt idx="18">
                  <c:v>12.125</c:v>
                </c:pt>
                <c:pt idx="19">
                  <c:v>13.25</c:v>
                </c:pt>
              </c:numCache>
            </c:numRef>
          </c:yVal>
          <c:smooth val="1"/>
        </c:ser>
        <c:axId val="30512274"/>
        <c:axId val="6175011"/>
      </c:scatterChart>
      <c:valAx>
        <c:axId val="30512274"/>
        <c:scaling>
          <c:orientation val="minMax"/>
          <c:max val="25000"/>
        </c:scaling>
        <c:axPos val="b"/>
        <c:title>
          <c:tx>
            <c:rich>
              <a:bodyPr vert="horz" rot="0" anchor="ctr"/>
              <a:lstStyle/>
              <a:p>
                <a:pPr algn="ctr">
                  <a:defRPr/>
                </a:pPr>
                <a:r>
                  <a:rPr lang="en-US" cap="none" sz="1400" b="1" i="0" u="none" baseline="0"/>
                  <a:t>POPULATION</a:t>
                </a:r>
              </a:p>
            </c:rich>
          </c:tx>
          <c:layout/>
          <c:overlay val="0"/>
          <c:spPr>
            <a:noFill/>
            <a:ln>
              <a:noFill/>
            </a:ln>
          </c:spPr>
        </c:title>
        <c:delete val="0"/>
        <c:numFmt formatCode="General" sourceLinked="1"/>
        <c:majorTickMark val="out"/>
        <c:minorTickMark val="none"/>
        <c:tickLblPos val="nextTo"/>
        <c:crossAx val="6175011"/>
        <c:crosses val="autoZero"/>
        <c:crossBetween val="midCat"/>
        <c:dispUnits/>
      </c:valAx>
      <c:valAx>
        <c:axId val="6175011"/>
        <c:scaling>
          <c:orientation val="minMax"/>
          <c:max val="18"/>
        </c:scaling>
        <c:axPos val="l"/>
        <c:title>
          <c:tx>
            <c:rich>
              <a:bodyPr vert="horz" rot="-5400000" anchor="ctr"/>
              <a:lstStyle/>
              <a:p>
                <a:pPr algn="ctr">
                  <a:defRPr/>
                </a:pPr>
                <a:r>
                  <a:rPr lang="en-US" cap="none" sz="1400" b="1" i="0" u="none" baseline="0"/>
                  <a:t>FTE</a:t>
                </a:r>
              </a:p>
            </c:rich>
          </c:tx>
          <c:layout/>
          <c:overlay val="0"/>
          <c:spPr>
            <a:noFill/>
            <a:ln>
              <a:noFill/>
            </a:ln>
          </c:spPr>
        </c:title>
        <c:delete val="0"/>
        <c:numFmt formatCode="General" sourceLinked="1"/>
        <c:majorTickMark val="out"/>
        <c:minorTickMark val="none"/>
        <c:tickLblPos val="nextTo"/>
        <c:crossAx val="30512274"/>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Plot of EMS FTE Multiplier for SQUARE KILOMETERS </a:t>
            </a:r>
          </a:p>
        </c:rich>
      </c:tx>
      <c:layout/>
      <c:spPr>
        <a:noFill/>
        <a:ln>
          <a:noFill/>
        </a:ln>
      </c:spPr>
    </c:title>
    <c:plotArea>
      <c:layout/>
      <c:scatterChart>
        <c:scatterStyle val="smoothMarker"/>
        <c:varyColors val="0"/>
        <c:ser>
          <c:idx val="0"/>
          <c:order val="0"/>
          <c:tx>
            <c:strRef>
              <c:f>'Chart TABLES'!$D$3</c:f>
              <c:strCache>
                <c:ptCount val="1"/>
                <c:pt idx="0">
                  <c:v>SQ KM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'Chart TABLES'!$D$4:$D$23</c:f>
              <c:numCache>
                <c:ptCount val="20"/>
                <c:pt idx="0">
                  <c:v>0</c:v>
                </c:pt>
                <c:pt idx="1">
                  <c:v>2590</c:v>
                </c:pt>
                <c:pt idx="2">
                  <c:v>5180</c:v>
                </c:pt>
                <c:pt idx="3">
                  <c:v>7770</c:v>
                </c:pt>
                <c:pt idx="4">
                  <c:v>10360</c:v>
                </c:pt>
                <c:pt idx="5">
                  <c:v>12950</c:v>
                </c:pt>
                <c:pt idx="6">
                  <c:v>15540</c:v>
                </c:pt>
                <c:pt idx="7">
                  <c:v>18130</c:v>
                </c:pt>
                <c:pt idx="8">
                  <c:v>20720</c:v>
                </c:pt>
                <c:pt idx="9">
                  <c:v>23310</c:v>
                </c:pt>
                <c:pt idx="10">
                  <c:v>25900</c:v>
                </c:pt>
                <c:pt idx="11">
                  <c:v>28490</c:v>
                </c:pt>
                <c:pt idx="12">
                  <c:v>31080</c:v>
                </c:pt>
                <c:pt idx="13">
                  <c:v>33670</c:v>
                </c:pt>
                <c:pt idx="14">
                  <c:v>36260</c:v>
                </c:pt>
                <c:pt idx="15">
                  <c:v>38850</c:v>
                </c:pt>
                <c:pt idx="16">
                  <c:v>41440</c:v>
                </c:pt>
                <c:pt idx="17">
                  <c:v>44030</c:v>
                </c:pt>
                <c:pt idx="18">
                  <c:v>46620</c:v>
                </c:pt>
                <c:pt idx="19">
                  <c:v>49210</c:v>
                </c:pt>
              </c:numCache>
            </c:numRef>
          </c:xVal>
          <c:yVal>
            <c:numRef>
              <c:f>'Chart TABLES'!$E$4:$E$23</c:f>
              <c:numCache>
                <c:ptCount val="20"/>
                <c:pt idx="0">
                  <c:v>0</c:v>
                </c:pt>
                <c:pt idx="1">
                  <c:v>0.8250000000000001</c:v>
                </c:pt>
                <c:pt idx="2">
                  <c:v>1.6500000000000001</c:v>
                </c:pt>
                <c:pt idx="3">
                  <c:v>2.475</c:v>
                </c:pt>
                <c:pt idx="4">
                  <c:v>3.3000000000000003</c:v>
                </c:pt>
                <c:pt idx="5">
                  <c:v>4.125</c:v>
                </c:pt>
                <c:pt idx="6">
                  <c:v>5.1</c:v>
                </c:pt>
                <c:pt idx="7">
                  <c:v>5.574999999999999</c:v>
                </c:pt>
                <c:pt idx="8">
                  <c:v>6.05</c:v>
                </c:pt>
                <c:pt idx="9">
                  <c:v>6.5249999999999995</c:v>
                </c:pt>
                <c:pt idx="10">
                  <c:v>7</c:v>
                </c:pt>
                <c:pt idx="11">
                  <c:v>7.475</c:v>
                </c:pt>
                <c:pt idx="12">
                  <c:v>7.949999999999999</c:v>
                </c:pt>
                <c:pt idx="13">
                  <c:v>8.425</c:v>
                </c:pt>
                <c:pt idx="14">
                  <c:v>8.899999999999999</c:v>
                </c:pt>
                <c:pt idx="15">
                  <c:v>9.375</c:v>
                </c:pt>
                <c:pt idx="16">
                  <c:v>9.85</c:v>
                </c:pt>
                <c:pt idx="17">
                  <c:v>10.325</c:v>
                </c:pt>
                <c:pt idx="18">
                  <c:v>10.799999999999999</c:v>
                </c:pt>
                <c:pt idx="19">
                  <c:v>11.275</c:v>
                </c:pt>
              </c:numCache>
            </c:numRef>
          </c:yVal>
          <c:smooth val="1"/>
        </c:ser>
        <c:axId val="55575100"/>
        <c:axId val="30413853"/>
      </c:scatterChart>
      <c:valAx>
        <c:axId val="55575100"/>
        <c:scaling>
          <c:orientation val="minMax"/>
          <c:max val="50000"/>
          <c:min val="0"/>
        </c:scaling>
        <c:axPos val="b"/>
        <c:title>
          <c:tx>
            <c:rich>
              <a:bodyPr vert="horz" rot="0" anchor="ctr"/>
              <a:lstStyle/>
              <a:p>
                <a:pPr algn="ctr">
                  <a:defRPr/>
                </a:pPr>
                <a:r>
                  <a:rPr lang="en-US" cap="none" sz="1400" b="1" i="0" u="none" baseline="0"/>
                  <a:t>Square Kilometers</a:t>
                </a:r>
              </a:p>
            </c:rich>
          </c:tx>
          <c:layout/>
          <c:overlay val="0"/>
          <c:spPr>
            <a:noFill/>
            <a:ln>
              <a:noFill/>
            </a:ln>
          </c:spPr>
        </c:title>
        <c:delete val="0"/>
        <c:numFmt formatCode="General" sourceLinked="1"/>
        <c:majorTickMark val="out"/>
        <c:minorTickMark val="none"/>
        <c:tickLblPos val="nextTo"/>
        <c:crossAx val="30413853"/>
        <c:crosses val="autoZero"/>
        <c:crossBetween val="midCat"/>
        <c:dispUnits/>
        <c:majorUnit val="5000"/>
      </c:valAx>
      <c:valAx>
        <c:axId val="30413853"/>
        <c:scaling>
          <c:orientation val="minMax"/>
          <c:max val="18"/>
        </c:scaling>
        <c:axPos val="l"/>
        <c:title>
          <c:tx>
            <c:rich>
              <a:bodyPr vert="horz" rot="-5400000" anchor="ctr"/>
              <a:lstStyle/>
              <a:p>
                <a:pPr algn="ctr">
                  <a:defRPr/>
                </a:pPr>
                <a:r>
                  <a:rPr lang="en-US" cap="none" sz="1400" b="1" i="0" u="none" baseline="0"/>
                  <a:t>FTE</a:t>
                </a:r>
              </a:p>
            </c:rich>
          </c:tx>
          <c:layout/>
          <c:overlay val="0"/>
          <c:spPr>
            <a:noFill/>
            <a:ln>
              <a:noFill/>
            </a:ln>
          </c:spPr>
        </c:title>
        <c:delete val="0"/>
        <c:numFmt formatCode="General" sourceLinked="1"/>
        <c:majorTickMark val="out"/>
        <c:minorTickMark val="none"/>
        <c:tickLblPos val="nextTo"/>
        <c:crossAx val="5557510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Plot of EMS FTE Multiplier for ACTUAL EMS RUNS</a:t>
            </a:r>
          </a:p>
        </c:rich>
      </c:tx>
      <c:layout/>
      <c:spPr>
        <a:noFill/>
        <a:ln>
          <a:noFill/>
        </a:ln>
      </c:spPr>
    </c:title>
    <c:plotArea>
      <c:layout/>
      <c:scatterChart>
        <c:scatterStyle val="smoothMarker"/>
        <c:varyColors val="0"/>
        <c:ser>
          <c:idx val="0"/>
          <c:order val="0"/>
          <c:tx>
            <c:strRef>
              <c:f>'Chart TABLES'!$G$3</c:f>
              <c:strCache>
                <c:ptCount val="1"/>
                <c:pt idx="0">
                  <c:v> FTE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'Chart TABLES'!$F$4:$F$23</c:f>
              <c:numCache>
                <c:ptCount val="20"/>
                <c:pt idx="0">
                  <c:v>0</c:v>
                </c:pt>
                <c:pt idx="1">
                  <c:v>100</c:v>
                </c:pt>
                <c:pt idx="2">
                  <c:v>200</c:v>
                </c:pt>
                <c:pt idx="3">
                  <c:v>300</c:v>
                </c:pt>
                <c:pt idx="4">
                  <c:v>400</c:v>
                </c:pt>
                <c:pt idx="5">
                  <c:v>500</c:v>
                </c:pt>
                <c:pt idx="6">
                  <c:v>750</c:v>
                </c:pt>
                <c:pt idx="7">
                  <c:v>1000</c:v>
                </c:pt>
                <c:pt idx="8">
                  <c:v>1500</c:v>
                </c:pt>
                <c:pt idx="9">
                  <c:v>1750</c:v>
                </c:pt>
                <c:pt idx="10">
                  <c:v>2000</c:v>
                </c:pt>
                <c:pt idx="11">
                  <c:v>2250</c:v>
                </c:pt>
                <c:pt idx="12">
                  <c:v>2500</c:v>
                </c:pt>
                <c:pt idx="13">
                  <c:v>2750</c:v>
                </c:pt>
                <c:pt idx="14">
                  <c:v>3000</c:v>
                </c:pt>
                <c:pt idx="15">
                  <c:v>3250</c:v>
                </c:pt>
                <c:pt idx="16">
                  <c:v>3500</c:v>
                </c:pt>
                <c:pt idx="17">
                  <c:v>4000</c:v>
                </c:pt>
                <c:pt idx="18">
                  <c:v>4500</c:v>
                </c:pt>
                <c:pt idx="19">
                  <c:v>5000</c:v>
                </c:pt>
              </c:numCache>
            </c:numRef>
          </c:xVal>
          <c:yVal>
            <c:numRef>
              <c:f>'Chart TABLES'!$G$4:$G$23</c:f>
              <c:numCache>
                <c:ptCount val="20"/>
                <c:pt idx="0">
                  <c:v>0</c:v>
                </c:pt>
                <c:pt idx="1">
                  <c:v>0.625</c:v>
                </c:pt>
                <c:pt idx="2">
                  <c:v>1.25</c:v>
                </c:pt>
                <c:pt idx="3">
                  <c:v>1.875</c:v>
                </c:pt>
                <c:pt idx="4">
                  <c:v>2.5</c:v>
                </c:pt>
                <c:pt idx="5">
                  <c:v>3.125</c:v>
                </c:pt>
                <c:pt idx="6">
                  <c:v>4.6875</c:v>
                </c:pt>
                <c:pt idx="7">
                  <c:v>6.25</c:v>
                </c:pt>
                <c:pt idx="8">
                  <c:v>8.75</c:v>
                </c:pt>
                <c:pt idx="9">
                  <c:v>9.625</c:v>
                </c:pt>
                <c:pt idx="10">
                  <c:v>10.5</c:v>
                </c:pt>
                <c:pt idx="11">
                  <c:v>11.375</c:v>
                </c:pt>
                <c:pt idx="12">
                  <c:v>12.25</c:v>
                </c:pt>
                <c:pt idx="13">
                  <c:v>13.125</c:v>
                </c:pt>
                <c:pt idx="14">
                  <c:v>14</c:v>
                </c:pt>
                <c:pt idx="15">
                  <c:v>14.875</c:v>
                </c:pt>
                <c:pt idx="16">
                  <c:v>15.75</c:v>
                </c:pt>
                <c:pt idx="17">
                  <c:v>17.5</c:v>
                </c:pt>
                <c:pt idx="18">
                  <c:v>19.25</c:v>
                </c:pt>
                <c:pt idx="19">
                  <c:v>21</c:v>
                </c:pt>
              </c:numCache>
            </c:numRef>
          </c:yVal>
          <c:smooth val="1"/>
        </c:ser>
        <c:axId val="5289222"/>
        <c:axId val="47602999"/>
      </c:scatterChart>
      <c:valAx>
        <c:axId val="5289222"/>
        <c:scaling>
          <c:orientation val="minMax"/>
          <c:max val="5000"/>
          <c:min val="0"/>
        </c:scaling>
        <c:axPos val="b"/>
        <c:title>
          <c:tx>
            <c:rich>
              <a:bodyPr vert="horz" rot="0" anchor="ctr"/>
              <a:lstStyle/>
              <a:p>
                <a:pPr algn="ctr">
                  <a:defRPr/>
                </a:pPr>
                <a:r>
                  <a:rPr lang="en-US" cap="none" sz="1400" b="1" i="0" u="none" baseline="0"/>
                  <a:t>Actual EMS Runs</a:t>
                </a:r>
              </a:p>
            </c:rich>
          </c:tx>
          <c:layout/>
          <c:overlay val="0"/>
          <c:spPr>
            <a:noFill/>
            <a:ln>
              <a:noFill/>
            </a:ln>
          </c:spPr>
        </c:title>
        <c:delete val="0"/>
        <c:numFmt formatCode="General" sourceLinked="1"/>
        <c:majorTickMark val="out"/>
        <c:minorTickMark val="none"/>
        <c:tickLblPos val="nextTo"/>
        <c:crossAx val="47602999"/>
        <c:crosses val="autoZero"/>
        <c:crossBetween val="midCat"/>
        <c:dispUnits/>
        <c:majorUnit val="1000"/>
      </c:valAx>
      <c:valAx>
        <c:axId val="47602999"/>
        <c:scaling>
          <c:orientation val="minMax"/>
          <c:max val="18"/>
        </c:scaling>
        <c:axPos val="l"/>
        <c:title>
          <c:tx>
            <c:rich>
              <a:bodyPr vert="horz" rot="-5400000" anchor="ctr"/>
              <a:lstStyle/>
              <a:p>
                <a:pPr algn="ctr">
                  <a:defRPr/>
                </a:pPr>
                <a:r>
                  <a:rPr lang="en-US" cap="none" sz="1400" b="1" i="0" u="none" baseline="0"/>
                  <a:t>FTE</a:t>
                </a:r>
              </a:p>
            </c:rich>
          </c:tx>
          <c:layout/>
          <c:overlay val="0"/>
          <c:spPr>
            <a:noFill/>
            <a:ln>
              <a:noFill/>
            </a:ln>
          </c:spPr>
        </c:title>
        <c:delete val="0"/>
        <c:numFmt formatCode="General" sourceLinked="1"/>
        <c:majorTickMark val="out"/>
        <c:minorTickMark val="none"/>
        <c:tickLblPos val="nextTo"/>
        <c:crossAx val="528922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headerFooter>
    <oddFooter>&amp;LNote:  Add FTE for Population, Square Miles, and Actual EMS Runs to get TOTAL EMS FTE.</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headerFooter>
    <oddFooter>&amp;LNote:  Add FTE for Population, Square Miles, and Actual EMS Runs to get TOTAL EMS FTE.</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headerFooter>
    <oddFooter>&amp;LNote:  Add FTE for Population, Square Miles, and Actual EMS Runs to get TOTAL EMS FTE.</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cdr:x>
      <cdr:y>0.18525</cdr:y>
    </cdr:from>
    <cdr:to>
      <cdr:x>0.659</cdr:x>
      <cdr:y>0.3235</cdr:y>
    </cdr:to>
    <cdr:sp>
      <cdr:nvSpPr>
        <cdr:cNvPr id="1" name="TextBox 1"/>
        <cdr:cNvSpPr txBox="1">
          <a:spLocks noChangeArrowheads="1"/>
        </cdr:cNvSpPr>
      </cdr:nvSpPr>
      <cdr:spPr>
        <a:xfrm>
          <a:off x="1485900" y="1095375"/>
          <a:ext cx="4219575" cy="819150"/>
        </a:xfrm>
        <a:prstGeom prst="rect">
          <a:avLst/>
        </a:prstGeom>
        <a:noFill/>
        <a:ln w="9525" cmpd="sng">
          <a:noFill/>
        </a:ln>
      </cdr:spPr>
      <cdr:txBody>
        <a:bodyPr vertOverflow="clip" wrap="square"/>
        <a:p>
          <a:pPr algn="l">
            <a:defRPr/>
          </a:pPr>
          <a:r>
            <a:rPr lang="en-US" cap="none" sz="1000" b="0" i="0" u="none" baseline="0"/>
            <a:t>SMALL (&lt;3,250 Users):   1 FTE /1,000 users
LARGE (&gt;3,250 Users):   .45 FTE /1,000 users +  2 FTE</a:t>
          </a:r>
        </a:p>
      </cdr:txBody>
    </cdr:sp>
  </cdr:relSizeAnchor>
  <cdr:relSizeAnchor xmlns:cdr="http://schemas.openxmlformats.org/drawingml/2006/chartDrawing">
    <cdr:from>
      <cdr:x>0.19975</cdr:x>
      <cdr:y>0.5355</cdr:y>
    </cdr:from>
    <cdr:to>
      <cdr:x>0.96475</cdr:x>
      <cdr:y>0.75025</cdr:y>
    </cdr:to>
    <cdr:sp>
      <cdr:nvSpPr>
        <cdr:cNvPr id="2" name="Line 2"/>
        <cdr:cNvSpPr>
          <a:spLocks/>
        </cdr:cNvSpPr>
      </cdr:nvSpPr>
      <cdr:spPr>
        <a:xfrm flipV="1">
          <a:off x="1724025" y="3162300"/>
          <a:ext cx="6619875" cy="12668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0.18175</cdr:x>
      <cdr:y>0.1305</cdr:y>
    </cdr:from>
    <cdr:to>
      <cdr:x>0.773</cdr:x>
      <cdr:y>0.761</cdr:y>
    </cdr:to>
    <cdr:sp>
      <cdr:nvSpPr>
        <cdr:cNvPr id="3" name="Line 4"/>
        <cdr:cNvSpPr>
          <a:spLocks/>
        </cdr:cNvSpPr>
      </cdr:nvSpPr>
      <cdr:spPr>
        <a:xfrm flipV="1">
          <a:off x="1571625" y="771525"/>
          <a:ext cx="5114925" cy="37338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0.208</cdr:y>
    </cdr:from>
    <cdr:to>
      <cdr:x>0.607</cdr:x>
      <cdr:y>0.3465</cdr:y>
    </cdr:to>
    <cdr:sp>
      <cdr:nvSpPr>
        <cdr:cNvPr id="1" name="TextBox 1"/>
        <cdr:cNvSpPr txBox="1">
          <a:spLocks noChangeArrowheads="1"/>
        </cdr:cNvSpPr>
      </cdr:nvSpPr>
      <cdr:spPr>
        <a:xfrm>
          <a:off x="1019175" y="1228725"/>
          <a:ext cx="4229100" cy="819150"/>
        </a:xfrm>
        <a:prstGeom prst="rect">
          <a:avLst/>
        </a:prstGeom>
        <a:noFill/>
        <a:ln w="9525" cmpd="sng">
          <a:noFill/>
        </a:ln>
      </cdr:spPr>
      <cdr:txBody>
        <a:bodyPr vertOverflow="clip" wrap="square"/>
        <a:p>
          <a:pPr algn="l">
            <a:defRPr/>
          </a:pPr>
          <a:r>
            <a:rPr lang="en-US" cap="none" sz="1000" b="0" i="0" u="none" baseline="0"/>
            <a:t>(&lt;15,540 SqMi):   .319 FTE /1,000 sqK
LARGE (&gt;15,540 SqMi):   .183 FTE /1,000 sqmi +  2.25 FTE</a:t>
          </a:r>
        </a:p>
      </cdr:txBody>
    </cdr:sp>
  </cdr:relSizeAnchor>
  <cdr:relSizeAnchor xmlns:cdr="http://schemas.openxmlformats.org/drawingml/2006/chartDrawing">
    <cdr:from>
      <cdr:x>0.36075</cdr:x>
      <cdr:y>0.55</cdr:y>
    </cdr:from>
    <cdr:to>
      <cdr:x>0.97025</cdr:x>
      <cdr:y>0.67575</cdr:y>
    </cdr:to>
    <cdr:sp>
      <cdr:nvSpPr>
        <cdr:cNvPr id="2" name="Line 2"/>
        <cdr:cNvSpPr>
          <a:spLocks/>
        </cdr:cNvSpPr>
      </cdr:nvSpPr>
      <cdr:spPr>
        <a:xfrm flipV="1">
          <a:off x="3114675" y="3248025"/>
          <a:ext cx="5276850" cy="7429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0.36075</cdr:x>
      <cdr:y>0.22725</cdr:y>
    </cdr:from>
    <cdr:to>
      <cdr:x>0.97</cdr:x>
      <cdr:y>0.67575</cdr:y>
    </cdr:to>
    <cdr:sp>
      <cdr:nvSpPr>
        <cdr:cNvPr id="3" name="Line 3"/>
        <cdr:cNvSpPr>
          <a:spLocks/>
        </cdr:cNvSpPr>
      </cdr:nvSpPr>
      <cdr:spPr>
        <a:xfrm flipV="1">
          <a:off x="3114675" y="1343025"/>
          <a:ext cx="527685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0.22075</cdr:y>
    </cdr:from>
    <cdr:to>
      <cdr:x>0.59475</cdr:x>
      <cdr:y>0.357</cdr:y>
    </cdr:to>
    <cdr:sp>
      <cdr:nvSpPr>
        <cdr:cNvPr id="1" name="TextBox 1"/>
        <cdr:cNvSpPr txBox="1">
          <a:spLocks noChangeArrowheads="1"/>
        </cdr:cNvSpPr>
      </cdr:nvSpPr>
      <cdr:spPr>
        <a:xfrm>
          <a:off x="1085850" y="1304925"/>
          <a:ext cx="4067175" cy="809625"/>
        </a:xfrm>
        <a:prstGeom prst="rect">
          <a:avLst/>
        </a:prstGeom>
        <a:noFill/>
        <a:ln w="9525" cmpd="sng">
          <a:noFill/>
        </a:ln>
      </cdr:spPr>
      <cdr:txBody>
        <a:bodyPr vertOverflow="clip" wrap="square"/>
        <a:p>
          <a:pPr algn="l">
            <a:defRPr/>
          </a:pPr>
          <a:r>
            <a:rPr lang="en-US" cap="none" sz="1000" b="0" i="0" u="none" baseline="0"/>
            <a:t>SMALL (&lt;1,250 runs):  6.25 FTE /1,000 runs
LARGE (&gt;1,250 runs):  3.5 FTE /1,000 runs 
                                     +  3.5 FTE</a:t>
          </a:r>
        </a:p>
      </cdr:txBody>
    </cdr:sp>
  </cdr:relSizeAnchor>
  <cdr:relSizeAnchor xmlns:cdr="http://schemas.openxmlformats.org/drawingml/2006/chartDrawing">
    <cdr:from>
      <cdr:x>0.29</cdr:x>
      <cdr:y>0.252</cdr:y>
    </cdr:from>
    <cdr:to>
      <cdr:x>0.97725</cdr:x>
      <cdr:y>0.592</cdr:y>
    </cdr:to>
    <cdr:sp>
      <cdr:nvSpPr>
        <cdr:cNvPr id="2" name="Line 2"/>
        <cdr:cNvSpPr>
          <a:spLocks/>
        </cdr:cNvSpPr>
      </cdr:nvSpPr>
      <cdr:spPr>
        <a:xfrm flipV="1">
          <a:off x="2505075" y="1485900"/>
          <a:ext cx="5953125" cy="20097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0.2775</cdr:x>
      <cdr:y>0.1605</cdr:y>
    </cdr:from>
    <cdr:to>
      <cdr:x>0.62675</cdr:x>
      <cdr:y>0.60325</cdr:y>
    </cdr:to>
    <cdr:sp>
      <cdr:nvSpPr>
        <cdr:cNvPr id="3" name="Line 4"/>
        <cdr:cNvSpPr>
          <a:spLocks/>
        </cdr:cNvSpPr>
      </cdr:nvSpPr>
      <cdr:spPr>
        <a:xfrm flipV="1">
          <a:off x="2400300" y="942975"/>
          <a:ext cx="3019425" cy="26193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36"/>
  <sheetViews>
    <sheetView tabSelected="1" view="pageBreakPreview" zoomScaleSheetLayoutView="100" workbookViewId="0" topLeftCell="B1">
      <selection activeCell="E12" sqref="E12"/>
    </sheetView>
  </sheetViews>
  <sheetFormatPr defaultColWidth="9.00390625" defaultRowHeight="12"/>
  <cols>
    <col min="1" max="1" width="31.875" style="0" customWidth="1"/>
    <col min="2" max="2" width="2.125" style="0" customWidth="1"/>
    <col min="3" max="3" width="12.75390625" style="0" customWidth="1"/>
    <col min="4" max="4" width="13.875" style="0" customWidth="1"/>
    <col min="5" max="5" width="14.375" style="0" customWidth="1"/>
    <col min="6" max="7" width="9.875" style="0" customWidth="1"/>
    <col min="8" max="8" width="2.875" style="0" customWidth="1"/>
    <col min="9" max="9" width="12.625" style="0" customWidth="1"/>
    <col min="10" max="10" width="13.375" style="0" customWidth="1"/>
    <col min="11" max="11" width="3.375" style="0" customWidth="1"/>
    <col min="12" max="12" width="24.75390625" style="0" customWidth="1"/>
    <col min="13" max="13" width="10.875" style="0" customWidth="1"/>
    <col min="14" max="14" width="9.875" style="0" customWidth="1"/>
    <col min="15" max="15" width="2.75390625" style="0" customWidth="1"/>
    <col min="16" max="16" width="21.25390625" style="0" customWidth="1"/>
    <col min="17" max="17" width="12.00390625" style="0" customWidth="1"/>
    <col min="18" max="18" width="10.00390625" style="0" customWidth="1"/>
    <col min="19" max="19" width="15.125" style="0" customWidth="1"/>
    <col min="20" max="21" width="13.625" style="0" customWidth="1"/>
    <col min="22" max="22" width="14.375" style="0" customWidth="1"/>
    <col min="23" max="23" width="13.125" style="0" customWidth="1"/>
  </cols>
  <sheetData>
    <row r="1" spans="1:10" ht="22.5">
      <c r="A1" s="234" t="s">
        <v>164</v>
      </c>
      <c r="B1" s="235"/>
      <c r="C1" s="235"/>
      <c r="D1" s="235"/>
      <c r="E1" s="235"/>
      <c r="F1" s="235"/>
      <c r="G1" s="235"/>
      <c r="H1" s="235"/>
      <c r="I1" s="235"/>
      <c r="J1" s="222">
        <v>36251</v>
      </c>
    </row>
    <row r="2" spans="1:10" ht="22.5" customHeight="1">
      <c r="A2" s="223" t="s">
        <v>162</v>
      </c>
      <c r="B2" s="224"/>
      <c r="C2" s="84" t="s">
        <v>68</v>
      </c>
      <c r="D2" s="85"/>
      <c r="E2" s="85"/>
      <c r="F2" s="85"/>
      <c r="G2" s="85"/>
      <c r="H2" s="85"/>
      <c r="I2" s="85"/>
      <c r="J2" s="86"/>
    </row>
    <row r="3" spans="1:12" ht="31.5" customHeight="1">
      <c r="A3" s="171" t="s">
        <v>165</v>
      </c>
      <c r="B3" s="172"/>
      <c r="C3" s="173" t="s">
        <v>158</v>
      </c>
      <c r="D3" s="173" t="s">
        <v>157</v>
      </c>
      <c r="E3" s="172"/>
      <c r="F3" s="172"/>
      <c r="G3" s="174"/>
      <c r="H3" s="175"/>
      <c r="I3" s="176" t="s">
        <v>30</v>
      </c>
      <c r="J3" s="177" t="s">
        <v>9</v>
      </c>
      <c r="L3" s="199"/>
    </row>
    <row r="4" spans="1:10" ht="9" customHeight="1">
      <c r="A4" s="37"/>
      <c r="B4" s="87"/>
      <c r="C4" s="100"/>
      <c r="D4" s="101"/>
      <c r="E4" s="87"/>
      <c r="F4" s="87"/>
      <c r="G4" s="102"/>
      <c r="H4" s="88"/>
      <c r="I4" s="102"/>
      <c r="J4" s="103"/>
    </row>
    <row r="5" spans="1:10" ht="14.25" customHeight="1">
      <c r="A5" s="198" t="s">
        <v>161</v>
      </c>
      <c r="B5" s="87">
        <v>1</v>
      </c>
      <c r="C5" s="212">
        <v>0</v>
      </c>
      <c r="D5" s="101"/>
      <c r="E5" s="87"/>
      <c r="F5" s="87"/>
      <c r="G5" s="102"/>
      <c r="H5" s="88"/>
      <c r="I5" s="102"/>
      <c r="J5" s="103"/>
    </row>
    <row r="6" spans="1:10" ht="14.25" customHeight="1">
      <c r="A6" s="95" t="s">
        <v>144</v>
      </c>
      <c r="B6" s="87">
        <v>2</v>
      </c>
      <c r="C6" s="96" t="s">
        <v>68</v>
      </c>
      <c r="D6" s="163">
        <f>+PARAMETERS!E15</f>
        <v>1</v>
      </c>
      <c r="E6" s="87"/>
      <c r="F6" s="87"/>
      <c r="G6" s="1"/>
      <c r="H6" s="88"/>
      <c r="I6" s="102"/>
      <c r="J6" s="103"/>
    </row>
    <row r="7" spans="1:10" ht="14.25" customHeight="1">
      <c r="A7" s="95"/>
      <c r="B7" s="87"/>
      <c r="C7" s="178"/>
      <c r="D7" s="178"/>
      <c r="E7" s="87"/>
      <c r="F7" s="87"/>
      <c r="G7" s="187" t="s">
        <v>1</v>
      </c>
      <c r="H7" s="88"/>
      <c r="I7" s="102"/>
      <c r="J7" s="103"/>
    </row>
    <row r="8" spans="1:10" ht="15">
      <c r="A8" s="179"/>
      <c r="B8" s="161"/>
      <c r="C8" s="161"/>
      <c r="D8" s="104"/>
      <c r="E8" s="293" t="s">
        <v>130</v>
      </c>
      <c r="F8" s="292"/>
      <c r="G8" s="156">
        <f>+PARAMETERS!B67</f>
        <v>0</v>
      </c>
      <c r="H8" s="93" t="s">
        <v>6</v>
      </c>
      <c r="I8" s="162">
        <f>+PARAMETERS!B41</f>
        <v>30000</v>
      </c>
      <c r="J8" s="180">
        <f>+G8*I8</f>
        <v>0</v>
      </c>
    </row>
    <row r="9" spans="1:25" ht="15">
      <c r="A9" s="185" t="s">
        <v>175</v>
      </c>
      <c r="B9" s="87"/>
      <c r="C9" s="88"/>
      <c r="D9" s="160"/>
      <c r="E9" s="294" t="s">
        <v>155</v>
      </c>
      <c r="F9" s="295"/>
      <c r="G9" s="105">
        <f>+PARAMETERS!C67</f>
        <v>0</v>
      </c>
      <c r="H9" s="87" t="s">
        <v>6</v>
      </c>
      <c r="I9" s="158">
        <f>+PARAMETERS!B42</f>
        <v>30000</v>
      </c>
      <c r="J9" s="182">
        <f>+G9*I9</f>
        <v>0</v>
      </c>
      <c r="Y9" s="2"/>
    </row>
    <row r="10" spans="1:25" ht="15" customHeight="1">
      <c r="A10" s="181" t="s">
        <v>145</v>
      </c>
      <c r="B10" s="87">
        <v>3</v>
      </c>
      <c r="C10" s="212" t="s">
        <v>199</v>
      </c>
      <c r="D10" s="159">
        <f>+PARAMETERS!E10</f>
        <v>0</v>
      </c>
      <c r="E10" s="296" t="s">
        <v>131</v>
      </c>
      <c r="F10" s="295"/>
      <c r="G10" s="105">
        <f>+PARAMETERS!D67</f>
        <v>0</v>
      </c>
      <c r="H10" s="87" t="s">
        <v>6</v>
      </c>
      <c r="I10" s="158">
        <f>+PARAMETERS!B43</f>
        <v>25000</v>
      </c>
      <c r="J10" s="182">
        <f>+G10*I10</f>
        <v>0</v>
      </c>
      <c r="L10" s="4"/>
      <c r="Y10" s="3"/>
    </row>
    <row r="11" spans="1:25" ht="15" customHeight="1">
      <c r="A11" s="181" t="s">
        <v>177</v>
      </c>
      <c r="B11" s="87">
        <v>4</v>
      </c>
      <c r="C11" s="212" t="s">
        <v>68</v>
      </c>
      <c r="D11" s="165">
        <f>+PARAMETERS!E11</f>
        <v>0</v>
      </c>
      <c r="E11" s="294" t="s">
        <v>132</v>
      </c>
      <c r="F11" s="295"/>
      <c r="G11" s="105">
        <f>+PARAMETERS!E67</f>
        <v>0</v>
      </c>
      <c r="H11" s="87" t="s">
        <v>6</v>
      </c>
      <c r="I11" s="158">
        <f>+PARAMETERS!B44</f>
        <v>40000</v>
      </c>
      <c r="J11" s="182">
        <f>+G11*I11</f>
        <v>0</v>
      </c>
      <c r="L11" s="4"/>
      <c r="Y11" s="3"/>
    </row>
    <row r="12" spans="1:10" ht="15" customHeight="1">
      <c r="A12" s="236" t="s">
        <v>178</v>
      </c>
      <c r="B12" s="225"/>
      <c r="C12" s="225"/>
      <c r="D12" s="226"/>
      <c r="E12" s="237" t="s">
        <v>179</v>
      </c>
      <c r="F12" s="227"/>
      <c r="G12" s="228">
        <f>+PARAMETERS!G67</f>
        <v>0</v>
      </c>
      <c r="H12" s="229" t="s">
        <v>6</v>
      </c>
      <c r="I12" s="230">
        <f>IF(G12&gt;0,J12/G12,0)</f>
        <v>0</v>
      </c>
      <c r="J12" s="231">
        <f>SUM(J8:J11)</f>
        <v>0</v>
      </c>
    </row>
    <row r="13" spans="1:10" ht="14.25" customHeight="1">
      <c r="A13" s="186" t="s">
        <v>176</v>
      </c>
      <c r="B13" s="93"/>
      <c r="C13" s="104"/>
      <c r="D13" s="104"/>
      <c r="E13" s="291"/>
      <c r="F13" s="292"/>
      <c r="G13" s="183"/>
      <c r="H13" s="93"/>
      <c r="I13" s="93"/>
      <c r="J13" s="184"/>
    </row>
    <row r="14" spans="1:10" ht="14.25" customHeight="1">
      <c r="A14" s="181" t="s">
        <v>180</v>
      </c>
      <c r="B14" s="87">
        <v>5</v>
      </c>
      <c r="C14" s="212" t="s">
        <v>68</v>
      </c>
      <c r="D14" s="164">
        <f>+PARAMETERS!E17</f>
        <v>0</v>
      </c>
      <c r="E14" s="87"/>
      <c r="F14" s="87"/>
      <c r="G14" s="87"/>
      <c r="H14" s="87"/>
      <c r="I14" s="87"/>
      <c r="J14" s="142"/>
    </row>
    <row r="15" spans="1:10" ht="14.25" customHeight="1">
      <c r="A15" s="181" t="s">
        <v>181</v>
      </c>
      <c r="B15" s="87">
        <v>6</v>
      </c>
      <c r="C15" s="217" t="s">
        <v>68</v>
      </c>
      <c r="D15" s="166">
        <f>+PARAMETERS!E19</f>
        <v>500</v>
      </c>
      <c r="E15" s="90" t="s">
        <v>0</v>
      </c>
      <c r="F15" s="189" t="s">
        <v>37</v>
      </c>
      <c r="G15" s="188" t="s">
        <v>142</v>
      </c>
      <c r="H15" s="190"/>
      <c r="I15" s="189" t="s">
        <v>3</v>
      </c>
      <c r="J15" s="142"/>
    </row>
    <row r="16" spans="1:10" ht="15" customHeight="1">
      <c r="A16" s="236" t="s">
        <v>182</v>
      </c>
      <c r="B16" s="229"/>
      <c r="C16" s="232"/>
      <c r="D16" s="229"/>
      <c r="E16" s="237" t="s">
        <v>183</v>
      </c>
      <c r="F16" s="233">
        <f>+PARAMETERS!E17</f>
        <v>0</v>
      </c>
      <c r="G16" s="233">
        <f>ROUNDUP(F16,0)</f>
        <v>0</v>
      </c>
      <c r="H16" s="229" t="s">
        <v>6</v>
      </c>
      <c r="I16" s="230">
        <f>+PARAMETERS!E19</f>
        <v>500</v>
      </c>
      <c r="J16" s="231">
        <f>+G16*I16</f>
        <v>0</v>
      </c>
    </row>
    <row r="17" spans="1:10" ht="7.5" customHeight="1">
      <c r="A17" s="91"/>
      <c r="B17" s="93"/>
      <c r="C17" s="104"/>
      <c r="D17" s="94"/>
      <c r="E17" s="87"/>
      <c r="F17" s="87"/>
      <c r="G17" s="87"/>
      <c r="H17" s="87"/>
      <c r="I17" s="87"/>
      <c r="J17" s="92"/>
    </row>
    <row r="18" spans="1:10" ht="14.25" customHeight="1">
      <c r="A18" s="95" t="s">
        <v>42</v>
      </c>
      <c r="B18" s="87">
        <v>7</v>
      </c>
      <c r="C18" s="217" t="s">
        <v>68</v>
      </c>
      <c r="D18" s="166">
        <f>+PARAMETERS!E22</f>
        <v>10000</v>
      </c>
      <c r="E18" s="90"/>
      <c r="F18" s="189" t="s">
        <v>37</v>
      </c>
      <c r="G18" s="188" t="s">
        <v>143</v>
      </c>
      <c r="H18" s="190"/>
      <c r="I18" s="189" t="s">
        <v>5</v>
      </c>
      <c r="J18" s="97"/>
    </row>
    <row r="19" spans="1:10" ht="15" customHeight="1">
      <c r="A19" s="239" t="s">
        <v>128</v>
      </c>
      <c r="B19" s="229"/>
      <c r="C19" s="240"/>
      <c r="D19" s="229"/>
      <c r="E19" s="237" t="s">
        <v>4</v>
      </c>
      <c r="F19" s="241">
        <f>+PARAMETERS!G67/PARAMETERS!H36</f>
        <v>0</v>
      </c>
      <c r="G19" s="242">
        <f>IF(PARAMETERS!E15=1,0,ROUNDUP(IF(+F19&lt;2,2,F19),0))</f>
        <v>0</v>
      </c>
      <c r="H19" s="229" t="s">
        <v>6</v>
      </c>
      <c r="I19" s="242">
        <f>+PARAMETERS!E22</f>
        <v>10000</v>
      </c>
      <c r="J19" s="243">
        <f>+G19*I19</f>
        <v>0</v>
      </c>
    </row>
    <row r="20" spans="1:10" ht="9" customHeight="1">
      <c r="A20" s="238"/>
      <c r="B20" s="93"/>
      <c r="C20" s="94"/>
      <c r="D20" s="93"/>
      <c r="E20" s="87"/>
      <c r="F20" s="87"/>
      <c r="G20" s="87"/>
      <c r="H20" s="87"/>
      <c r="I20" s="87"/>
      <c r="J20" s="92"/>
    </row>
    <row r="21" spans="1:10" ht="15" customHeight="1">
      <c r="A21" s="239" t="s">
        <v>129</v>
      </c>
      <c r="B21" s="229"/>
      <c r="C21" s="240"/>
      <c r="D21" s="229"/>
      <c r="E21" s="237" t="s">
        <v>7</v>
      </c>
      <c r="F21" s="244" t="s">
        <v>184</v>
      </c>
      <c r="G21" s="245"/>
      <c r="H21" s="229" t="s">
        <v>6</v>
      </c>
      <c r="I21" s="246">
        <f>+PARAMETERS!H44</f>
        <v>0.3</v>
      </c>
      <c r="J21" s="243">
        <f>+I21*(J12+J16+J19)</f>
        <v>0</v>
      </c>
    </row>
    <row r="22" spans="1:10" ht="16.5" customHeight="1">
      <c r="A22" s="98"/>
      <c r="B22" s="89"/>
      <c r="C22" s="89"/>
      <c r="D22" s="89"/>
      <c r="E22" s="99"/>
      <c r="F22" s="89"/>
      <c r="G22" s="109" t="s">
        <v>1</v>
      </c>
      <c r="H22" s="106"/>
      <c r="I22" s="107"/>
      <c r="J22" s="108" t="s">
        <v>43</v>
      </c>
    </row>
    <row r="23" spans="1:10" ht="17.25" customHeight="1" thickBot="1">
      <c r="A23" s="247" t="s">
        <v>39</v>
      </c>
      <c r="B23" s="248"/>
      <c r="C23" s="248"/>
      <c r="D23" s="248"/>
      <c r="E23" s="249"/>
      <c r="F23" s="248"/>
      <c r="G23" s="250">
        <f>+PARAMETERS!B58</f>
        <v>0</v>
      </c>
      <c r="H23" s="251"/>
      <c r="I23" s="251"/>
      <c r="J23" s="252">
        <f>SUM(J12:J21)</f>
        <v>0</v>
      </c>
    </row>
    <row r="24" spans="1:10" ht="18.75" customHeight="1" thickBot="1">
      <c r="A24" s="247" t="s">
        <v>40</v>
      </c>
      <c r="B24" s="248"/>
      <c r="C24" s="248"/>
      <c r="D24" s="248"/>
      <c r="E24" s="249"/>
      <c r="F24" s="248"/>
      <c r="G24" s="250" t="e">
        <f>+G23/(C5/1000)</f>
        <v>#DIV/0!</v>
      </c>
      <c r="H24" s="251"/>
      <c r="I24" s="251"/>
      <c r="J24" s="253" t="e">
        <f>+J23/C5</f>
        <v>#DIV/0!</v>
      </c>
    </row>
    <row r="29" ht="12">
      <c r="C29" s="3"/>
    </row>
    <row r="32" ht="13.5" customHeight="1">
      <c r="A32" s="19"/>
    </row>
    <row r="33" ht="12">
      <c r="A33" s="5"/>
    </row>
    <row r="34" ht="12">
      <c r="A34" s="5"/>
    </row>
    <row r="35" ht="12">
      <c r="A35" s="5"/>
    </row>
    <row r="36" ht="12">
      <c r="A36" s="6"/>
    </row>
  </sheetData>
  <sheetProtection/>
  <mergeCells count="5">
    <mergeCell ref="E13:F13"/>
    <mergeCell ref="E8:F8"/>
    <mergeCell ref="E9:F9"/>
    <mergeCell ref="E10:F10"/>
    <mergeCell ref="E11:F11"/>
  </mergeCells>
  <printOptions horizontalCentered="1"/>
  <pageMargins left="0.45" right="0.48" top="1.42" bottom="1" header="0.66" footer="0.5"/>
  <pageSetup horizontalDpi="600" verticalDpi="600" orientation="landscape" scale="110" r:id="rId3"/>
  <headerFooter alignWithMargins="0">
    <oddHeader>&amp;C&amp;"Arial Black,Regular"&amp;12EMS RRMNA MODULE 7.1 RESULTS PAGE&amp;R&amp;D</oddHeader>
  </headerFooter>
  <legacyDrawing r:id="rId2"/>
</worksheet>
</file>

<file path=xl/worksheets/sheet2.xml><?xml version="1.0" encoding="utf-8"?>
<worksheet xmlns="http://schemas.openxmlformats.org/spreadsheetml/2006/main" xmlns:r="http://schemas.openxmlformats.org/officeDocument/2006/relationships">
  <dimension ref="A1:M67"/>
  <sheetViews>
    <sheetView view="pageBreakPreview" zoomScaleSheetLayoutView="100" workbookViewId="0" topLeftCell="A1">
      <selection activeCell="A1" sqref="A1"/>
    </sheetView>
  </sheetViews>
  <sheetFormatPr defaultColWidth="9.00390625" defaultRowHeight="12"/>
  <cols>
    <col min="1" max="1" width="22.00390625" style="0" customWidth="1"/>
    <col min="2" max="2" width="11.375" style="0" customWidth="1"/>
    <col min="3" max="3" width="10.375" style="0" customWidth="1"/>
    <col min="4" max="5" width="10.875" style="0" customWidth="1"/>
    <col min="6" max="6" width="3.00390625" style="0" customWidth="1"/>
    <col min="7" max="7" width="16.75390625" style="0" customWidth="1"/>
    <col min="8" max="8" width="10.75390625" style="0" customWidth="1"/>
    <col min="9" max="9" width="9.625" style="0" customWidth="1"/>
    <col min="11" max="11" width="19.25390625" style="0" customWidth="1"/>
    <col min="12" max="12" width="14.00390625" style="0" customWidth="1"/>
    <col min="13" max="13" width="13.875" style="0" customWidth="1"/>
  </cols>
  <sheetData>
    <row r="1" ht="25.5" customHeight="1">
      <c r="A1" s="211" t="s">
        <v>208</v>
      </c>
    </row>
    <row r="2" ht="9" customHeight="1" thickBot="1">
      <c r="A2" s="133"/>
    </row>
    <row r="3" spans="1:9" ht="22.5">
      <c r="A3" s="39" t="s">
        <v>156</v>
      </c>
      <c r="B3" s="40"/>
      <c r="C3" s="112"/>
      <c r="D3" s="112"/>
      <c r="E3" s="41"/>
      <c r="F3" s="21"/>
      <c r="G3" s="50" t="s">
        <v>69</v>
      </c>
      <c r="H3" s="51"/>
      <c r="I3" s="52"/>
    </row>
    <row r="4" spans="1:9" ht="13.5">
      <c r="A4" s="126" t="s">
        <v>0</v>
      </c>
      <c r="B4" s="127" t="s">
        <v>70</v>
      </c>
      <c r="C4" s="35" t="s">
        <v>78</v>
      </c>
      <c r="D4" s="35" t="s">
        <v>77</v>
      </c>
      <c r="E4" s="54" t="s">
        <v>10</v>
      </c>
      <c r="F4" s="24"/>
      <c r="G4" s="53" t="s">
        <v>0</v>
      </c>
      <c r="H4" s="35"/>
      <c r="I4" s="54"/>
    </row>
    <row r="5" spans="1:9" ht="14.25">
      <c r="A5" s="128" t="str">
        <f>+'Input&amp;Results'!C2</f>
        <v>unspecified</v>
      </c>
      <c r="B5" s="22">
        <f>+'Input&amp;Results'!C5</f>
        <v>0</v>
      </c>
      <c r="C5" s="22">
        <f>IF(B5="unspecified",0,IF(B5&gt;0,B5,0))</f>
        <v>0</v>
      </c>
      <c r="D5" s="113" t="s">
        <v>79</v>
      </c>
      <c r="E5" s="123">
        <f>+C5</f>
        <v>0</v>
      </c>
      <c r="F5" s="7"/>
      <c r="G5" s="55" t="s">
        <v>188</v>
      </c>
      <c r="H5" s="34"/>
      <c r="I5" s="56"/>
    </row>
    <row r="6" spans="1:12" ht="13.5">
      <c r="A6" s="37"/>
      <c r="B6" s="1"/>
      <c r="C6" s="1"/>
      <c r="D6" s="1"/>
      <c r="E6" s="38"/>
      <c r="F6" s="25"/>
      <c r="G6" s="57" t="s">
        <v>189</v>
      </c>
      <c r="H6" s="257">
        <v>3000</v>
      </c>
      <c r="I6" s="58"/>
      <c r="L6" s="153"/>
    </row>
    <row r="7" spans="1:9" ht="14.25">
      <c r="A7" s="134" t="s">
        <v>185</v>
      </c>
      <c r="B7" s="31"/>
      <c r="C7" s="110"/>
      <c r="D7" s="110"/>
      <c r="E7" s="42"/>
      <c r="F7" s="26"/>
      <c r="G7" s="37"/>
      <c r="H7" s="1"/>
      <c r="I7" s="38"/>
    </row>
    <row r="8" spans="1:9" ht="14.25">
      <c r="A8" s="200" t="s">
        <v>186</v>
      </c>
      <c r="B8" s="135" t="s">
        <v>79</v>
      </c>
      <c r="C8" s="129"/>
      <c r="D8" s="118">
        <f>E9*E5</f>
        <v>0</v>
      </c>
      <c r="E8" s="118">
        <f>IF(D8&gt;H6,D8,0)</f>
        <v>0</v>
      </c>
      <c r="F8" s="26"/>
      <c r="G8" s="55" t="s">
        <v>27</v>
      </c>
      <c r="H8" s="34"/>
      <c r="I8" s="56"/>
    </row>
    <row r="9" spans="1:9" ht="13.5">
      <c r="A9" s="200" t="s">
        <v>187</v>
      </c>
      <c r="B9" s="136" t="s">
        <v>79</v>
      </c>
      <c r="C9" s="119">
        <f>1-C15</f>
        <v>0</v>
      </c>
      <c r="D9" s="119">
        <f>1-D15</f>
        <v>0</v>
      </c>
      <c r="E9" s="43">
        <f>1-E15</f>
        <v>0</v>
      </c>
      <c r="F9" s="26"/>
      <c r="G9" s="57" t="s">
        <v>11</v>
      </c>
      <c r="H9" s="258">
        <v>131</v>
      </c>
      <c r="I9" s="58"/>
    </row>
    <row r="10" spans="1:9" ht="13.5">
      <c r="A10" s="200" t="s">
        <v>145</v>
      </c>
      <c r="B10" s="22" t="str">
        <f>+'Input&amp;Results'!C10</f>
        <v>unspecified </v>
      </c>
      <c r="C10" s="113" t="str">
        <f>IF(B10="unspecified",0,IF(B10&gt;0,B10,0))</f>
        <v>unspecified </v>
      </c>
      <c r="D10" s="113">
        <f>+D8/6.6</f>
        <v>0</v>
      </c>
      <c r="E10" s="44">
        <f>IF(E15&gt;0.95,0,IF(C10&gt;0,C10,D10))</f>
        <v>0</v>
      </c>
      <c r="F10" s="27"/>
      <c r="G10" s="37"/>
      <c r="H10" s="1"/>
      <c r="I10" s="38"/>
    </row>
    <row r="11" spans="1:9" ht="14.25">
      <c r="A11" s="200" t="s">
        <v>177</v>
      </c>
      <c r="B11" s="22" t="str">
        <f>+'Input&amp;Results'!C11</f>
        <v>unspecified</v>
      </c>
      <c r="C11" s="113">
        <f>IF(B11="unspecified",0,IF(B11&gt;0,B11,0))</f>
        <v>0</v>
      </c>
      <c r="D11" s="113">
        <f>+D8/1000*H9</f>
        <v>0</v>
      </c>
      <c r="E11" s="44">
        <f>IF(E15=1,0,IF(C11&gt;0,IF(C11&gt;+D11,C11,D11),+D11))</f>
        <v>0</v>
      </c>
      <c r="F11" s="28"/>
      <c r="G11" s="59" t="s">
        <v>19</v>
      </c>
      <c r="H11" s="33"/>
      <c r="I11" s="60"/>
    </row>
    <row r="12" spans="1:12" ht="13.5">
      <c r="A12" s="46" t="s">
        <v>0</v>
      </c>
      <c r="B12" s="20"/>
      <c r="C12" s="111"/>
      <c r="D12" s="111"/>
      <c r="E12" s="47"/>
      <c r="F12" s="28"/>
      <c r="G12" s="61" t="s">
        <v>15</v>
      </c>
      <c r="H12" s="259">
        <v>3250</v>
      </c>
      <c r="I12" s="60"/>
      <c r="L12" s="153"/>
    </row>
    <row r="13" spans="1:9" ht="12">
      <c r="A13" s="46" t="s">
        <v>0</v>
      </c>
      <c r="B13" s="20"/>
      <c r="C13" s="111"/>
      <c r="D13" s="111"/>
      <c r="E13" s="47"/>
      <c r="F13" s="25"/>
      <c r="G13" s="62"/>
      <c r="H13" s="32"/>
      <c r="I13" s="60"/>
    </row>
    <row r="14" spans="1:9" ht="14.25">
      <c r="A14" s="134" t="s">
        <v>190</v>
      </c>
      <c r="B14" s="20"/>
      <c r="C14" s="111"/>
      <c r="D14" s="111"/>
      <c r="E14" s="47"/>
      <c r="F14" s="25"/>
      <c r="G14" s="63"/>
      <c r="H14" s="36" t="s">
        <v>12</v>
      </c>
      <c r="I14" s="64" t="s">
        <v>24</v>
      </c>
    </row>
    <row r="15" spans="1:13" ht="13.5" customHeight="1">
      <c r="A15" s="200" t="s">
        <v>191</v>
      </c>
      <c r="B15" s="23" t="str">
        <f>+'Input&amp;Results'!C6</f>
        <v>unspecified</v>
      </c>
      <c r="C15" s="114">
        <f>IF(B15="unspecified",IF(D18&gt;0,D18,1),IF(B15&gt;=0,B15,1))</f>
        <v>1</v>
      </c>
      <c r="D15" s="115">
        <f>IF((1-C15)*E5&gt;H6,C15,1)</f>
        <v>1</v>
      </c>
      <c r="E15" s="43">
        <f>D15</f>
        <v>1</v>
      </c>
      <c r="F15" s="7"/>
      <c r="G15" s="61" t="s">
        <v>13</v>
      </c>
      <c r="H15" s="260">
        <f>0.4*2.5</f>
        <v>1</v>
      </c>
      <c r="I15" s="261">
        <f>0*'Input&amp;Results'!M37</f>
        <v>0</v>
      </c>
      <c r="K15" s="191" t="s">
        <v>146</v>
      </c>
      <c r="L15" s="191"/>
      <c r="M15" s="192">
        <v>2.59</v>
      </c>
    </row>
    <row r="16" spans="1:9" ht="13.5" customHeight="1" thickBot="1">
      <c r="A16" s="200" t="s">
        <v>192</v>
      </c>
      <c r="B16" s="135" t="s">
        <v>79</v>
      </c>
      <c r="C16" s="129"/>
      <c r="D16" s="120"/>
      <c r="E16" s="48">
        <f>+E5-E8</f>
        <v>0</v>
      </c>
      <c r="F16" s="29"/>
      <c r="G16" s="57" t="s">
        <v>14</v>
      </c>
      <c r="H16" s="260">
        <v>0.45</v>
      </c>
      <c r="I16" s="262">
        <v>2</v>
      </c>
    </row>
    <row r="17" spans="1:13" ht="13.5" customHeight="1" thickBot="1">
      <c r="A17" s="200" t="s">
        <v>180</v>
      </c>
      <c r="B17" s="22" t="str">
        <f>+'Input&amp;Results'!C14</f>
        <v>unspecified</v>
      </c>
      <c r="C17" s="113">
        <f>IF(B17="unspecified",0,IF(B17&gt;0,B17,0))</f>
        <v>0</v>
      </c>
      <c r="D17" s="116">
        <f>+E16/1000*H9</f>
        <v>0</v>
      </c>
      <c r="E17" s="44">
        <f>IF(E15&lt;0.001,0,IF(C17&gt;0,IF(C17&gt;+D17,C17,D17),+D17))</f>
        <v>0</v>
      </c>
      <c r="F17" s="27"/>
      <c r="G17" s="37"/>
      <c r="H17" s="1" t="s">
        <v>127</v>
      </c>
      <c r="I17" s="38"/>
      <c r="K17" s="193"/>
      <c r="L17" s="194" t="s">
        <v>151</v>
      </c>
      <c r="M17" s="195"/>
    </row>
    <row r="18" spans="1:13" ht="14.25">
      <c r="A18" s="201" t="s">
        <v>193</v>
      </c>
      <c r="B18" s="121" t="s">
        <v>79</v>
      </c>
      <c r="C18" s="130">
        <f>+C11+C17</f>
        <v>0</v>
      </c>
      <c r="D18" s="131">
        <f>IF(C18&gt;0,C17/C18,0)</f>
        <v>0</v>
      </c>
      <c r="E18" s="132" t="s">
        <v>79</v>
      </c>
      <c r="F18" s="122"/>
      <c r="G18" s="59" t="s">
        <v>147</v>
      </c>
      <c r="H18" s="33"/>
      <c r="I18" s="67"/>
      <c r="K18" s="59" t="s">
        <v>31</v>
      </c>
      <c r="L18" s="33"/>
      <c r="M18" s="67"/>
    </row>
    <row r="19" spans="1:13" ht="13.5">
      <c r="A19" s="201" t="s">
        <v>194</v>
      </c>
      <c r="B19" s="22" t="str">
        <f>+'Input&amp;Results'!C15</f>
        <v>unspecified</v>
      </c>
      <c r="C19" s="113">
        <f>IF(B19="unspecified",H41,IF(B19&gt;0,B19,H41))</f>
        <v>500</v>
      </c>
      <c r="D19" s="117">
        <f>+H41</f>
        <v>500</v>
      </c>
      <c r="E19" s="45">
        <f>IF(C19&gt;0,IF(C19&lt;1500,C19,H41),H41)</f>
        <v>500</v>
      </c>
      <c r="F19" s="7"/>
      <c r="G19" s="61" t="s">
        <v>15</v>
      </c>
      <c r="H19" s="259">
        <f>+L19*M15</f>
        <v>15540</v>
      </c>
      <c r="I19" s="67"/>
      <c r="K19" s="61" t="s">
        <v>15</v>
      </c>
      <c r="L19" s="81">
        <v>6000</v>
      </c>
      <c r="M19" s="67"/>
    </row>
    <row r="20" spans="1:13" ht="12">
      <c r="A20" s="37"/>
      <c r="B20" s="1"/>
      <c r="C20" s="1"/>
      <c r="D20" s="1"/>
      <c r="E20" s="38"/>
      <c r="F20" s="30"/>
      <c r="G20" s="62"/>
      <c r="H20" s="32"/>
      <c r="I20" s="60"/>
      <c r="K20" s="62"/>
      <c r="L20" s="32"/>
      <c r="M20" s="60"/>
    </row>
    <row r="21" spans="1:13" ht="14.25">
      <c r="A21" s="134" t="s">
        <v>76</v>
      </c>
      <c r="B21" s="1"/>
      <c r="C21" s="111"/>
      <c r="D21" s="111"/>
      <c r="E21" s="47"/>
      <c r="F21" s="29"/>
      <c r="G21" s="63"/>
      <c r="H21" s="36" t="s">
        <v>150</v>
      </c>
      <c r="I21" s="64" t="s">
        <v>25</v>
      </c>
      <c r="K21" s="63"/>
      <c r="L21" s="36" t="s">
        <v>18</v>
      </c>
      <c r="M21" s="64" t="s">
        <v>25</v>
      </c>
    </row>
    <row r="22" spans="1:13" ht="14.25" thickBot="1">
      <c r="A22" s="202" t="str">
        <f>+'Input&amp;Results'!A18</f>
        <v>ANNUAL LEASE $ EACH</v>
      </c>
      <c r="B22" s="124" t="str">
        <f>+'Input&amp;Results'!C18</f>
        <v>unspecified</v>
      </c>
      <c r="C22" s="125">
        <f>IF(B22="unspecified",H38,B22)</f>
        <v>10000</v>
      </c>
      <c r="D22" s="125">
        <f>+H38</f>
        <v>10000</v>
      </c>
      <c r="E22" s="49">
        <f>IF(C22&gt;2000,IF(C22&lt;40000,C22,H38),H38)</f>
        <v>10000</v>
      </c>
      <c r="F22" s="29"/>
      <c r="G22" s="61" t="s">
        <v>148</v>
      </c>
      <c r="H22" s="263">
        <f>+L22/M15</f>
        <v>0.31853281853281856</v>
      </c>
      <c r="I22" s="261">
        <v>0</v>
      </c>
      <c r="K22" s="65" t="s">
        <v>16</v>
      </c>
      <c r="L22" s="83">
        <f>0.33*2.5</f>
        <v>0.8250000000000001</v>
      </c>
      <c r="M22" s="82">
        <v>0</v>
      </c>
    </row>
    <row r="23" spans="6:13" ht="13.5">
      <c r="F23" s="29"/>
      <c r="G23" s="57" t="s">
        <v>149</v>
      </c>
      <c r="H23" s="263">
        <f>+L23/M15</f>
        <v>0.1833976833976834</v>
      </c>
      <c r="I23" s="262">
        <v>2.25</v>
      </c>
      <c r="K23" s="66" t="s">
        <v>17</v>
      </c>
      <c r="L23" s="83">
        <v>0.475</v>
      </c>
      <c r="M23" s="157">
        <v>2.25</v>
      </c>
    </row>
    <row r="24" spans="6:9" ht="12">
      <c r="F24" s="7"/>
      <c r="G24" s="37"/>
      <c r="H24" s="1"/>
      <c r="I24" s="38"/>
    </row>
    <row r="25" spans="1:9" ht="14.25">
      <c r="A25" s="311" t="s">
        <v>80</v>
      </c>
      <c r="B25" s="312"/>
      <c r="C25" s="312"/>
      <c r="D25" s="312"/>
      <c r="E25" s="313"/>
      <c r="F25" s="1"/>
      <c r="G25" s="59" t="s">
        <v>20</v>
      </c>
      <c r="H25" s="33"/>
      <c r="I25" s="67"/>
    </row>
    <row r="26" spans="1:12" ht="13.5">
      <c r="A26" s="314"/>
      <c r="B26" s="315"/>
      <c r="C26" s="315"/>
      <c r="D26" s="315"/>
      <c r="E26" s="316"/>
      <c r="F26" s="1"/>
      <c r="G26" s="61" t="s">
        <v>15</v>
      </c>
      <c r="H26" s="264">
        <v>1250</v>
      </c>
      <c r="I26" s="67"/>
      <c r="L26" s="153"/>
    </row>
    <row r="27" spans="1:9" ht="12">
      <c r="A27" s="314"/>
      <c r="B27" s="315"/>
      <c r="C27" s="315"/>
      <c r="D27" s="315"/>
      <c r="E27" s="316"/>
      <c r="F27" s="1"/>
      <c r="G27" s="62"/>
      <c r="H27" s="32"/>
      <c r="I27" s="60"/>
    </row>
    <row r="28" spans="1:9" ht="13.5">
      <c r="A28" s="314"/>
      <c r="B28" s="315"/>
      <c r="C28" s="315"/>
      <c r="D28" s="315"/>
      <c r="E28" s="316"/>
      <c r="G28" s="63"/>
      <c r="H28" s="36" t="s">
        <v>21</v>
      </c>
      <c r="I28" s="64" t="s">
        <v>25</v>
      </c>
    </row>
    <row r="29" spans="1:13" ht="13.5">
      <c r="A29" s="314"/>
      <c r="B29" s="315"/>
      <c r="C29" s="315"/>
      <c r="D29" s="315"/>
      <c r="E29" s="316"/>
      <c r="G29" s="61" t="s">
        <v>22</v>
      </c>
      <c r="H29" s="265">
        <f>2.5*2.5</f>
        <v>6.25</v>
      </c>
      <c r="I29" s="261">
        <v>0</v>
      </c>
      <c r="M29">
        <f>18000*2.59</f>
        <v>46620</v>
      </c>
    </row>
    <row r="30" spans="1:9" ht="13.5">
      <c r="A30" s="314"/>
      <c r="B30" s="315"/>
      <c r="C30" s="315"/>
      <c r="D30" s="315"/>
      <c r="E30" s="316"/>
      <c r="G30" s="57" t="s">
        <v>23</v>
      </c>
      <c r="H30" s="260">
        <v>3.5</v>
      </c>
      <c r="I30" s="262">
        <v>3.5</v>
      </c>
    </row>
    <row r="31" spans="1:9" ht="12">
      <c r="A31" s="314"/>
      <c r="B31" s="315"/>
      <c r="C31" s="315"/>
      <c r="D31" s="315"/>
      <c r="E31" s="316"/>
      <c r="G31" s="37"/>
      <c r="H31" s="1"/>
      <c r="I31" s="38"/>
    </row>
    <row r="32" spans="1:9" ht="14.25">
      <c r="A32" s="314"/>
      <c r="B32" s="315"/>
      <c r="C32" s="315"/>
      <c r="D32" s="315"/>
      <c r="E32" s="316"/>
      <c r="G32" s="55" t="s">
        <v>195</v>
      </c>
      <c r="H32" s="34"/>
      <c r="I32" s="56"/>
    </row>
    <row r="33" spans="1:12" ht="13.5">
      <c r="A33" s="314"/>
      <c r="B33" s="315"/>
      <c r="C33" s="315"/>
      <c r="D33" s="315"/>
      <c r="E33" s="316"/>
      <c r="G33" s="57" t="s">
        <v>36</v>
      </c>
      <c r="H33" s="258">
        <v>11</v>
      </c>
      <c r="I33" s="58"/>
      <c r="L33" s="154"/>
    </row>
    <row r="34" spans="1:5" ht="12">
      <c r="A34" s="314"/>
      <c r="B34" s="315"/>
      <c r="C34" s="315"/>
      <c r="D34" s="315"/>
      <c r="E34" s="316"/>
    </row>
    <row r="35" spans="1:9" ht="14.25">
      <c r="A35" s="314"/>
      <c r="B35" s="315"/>
      <c r="C35" s="315"/>
      <c r="D35" s="315"/>
      <c r="E35" s="316"/>
      <c r="G35" s="55" t="s">
        <v>26</v>
      </c>
      <c r="H35" s="34"/>
      <c r="I35" s="56"/>
    </row>
    <row r="36" spans="1:9" ht="13.5">
      <c r="A36" s="314"/>
      <c r="B36" s="315"/>
      <c r="C36" s="315"/>
      <c r="D36" s="315"/>
      <c r="E36" s="316"/>
      <c r="G36" s="61" t="s">
        <v>71</v>
      </c>
      <c r="H36" s="258">
        <v>9</v>
      </c>
      <c r="I36" s="80"/>
    </row>
    <row r="37" spans="1:9" ht="13.5">
      <c r="A37" s="317"/>
      <c r="B37" s="318"/>
      <c r="C37" s="318"/>
      <c r="D37" s="318"/>
      <c r="E37" s="319"/>
      <c r="G37" s="61" t="s">
        <v>72</v>
      </c>
      <c r="H37" s="258">
        <v>2</v>
      </c>
      <c r="I37" s="80"/>
    </row>
    <row r="38" spans="7:9" ht="13.5">
      <c r="G38" s="57" t="s">
        <v>73</v>
      </c>
      <c r="H38" s="266">
        <v>10000</v>
      </c>
      <c r="I38" s="58"/>
    </row>
    <row r="39" spans="7:12" ht="14.25" customHeight="1" thickBot="1">
      <c r="G39" s="37"/>
      <c r="H39" s="1"/>
      <c r="I39" s="38"/>
      <c r="L39" s="154"/>
    </row>
    <row r="40" spans="1:9" ht="15.75" customHeight="1">
      <c r="A40" s="320" t="s">
        <v>140</v>
      </c>
      <c r="B40" s="321"/>
      <c r="C40" s="322"/>
      <c r="G40" s="55" t="s">
        <v>74</v>
      </c>
      <c r="H40" s="34"/>
      <c r="I40" s="56"/>
    </row>
    <row r="41" spans="1:9" ht="13.5">
      <c r="A41" s="167" t="s">
        <v>130</v>
      </c>
      <c r="B41" s="290">
        <v>30000</v>
      </c>
      <c r="C41" s="323"/>
      <c r="G41" s="57" t="s">
        <v>75</v>
      </c>
      <c r="H41" s="266">
        <v>500</v>
      </c>
      <c r="I41" s="58"/>
    </row>
    <row r="42" spans="1:12" ht="12.75">
      <c r="A42" s="168" t="s">
        <v>155</v>
      </c>
      <c r="B42" s="290">
        <v>30000</v>
      </c>
      <c r="C42" s="323"/>
      <c r="G42" s="37"/>
      <c r="H42" s="1"/>
      <c r="I42" s="38"/>
      <c r="L42" s="154"/>
    </row>
    <row r="43" spans="1:9" ht="14.25">
      <c r="A43" s="169" t="s">
        <v>131</v>
      </c>
      <c r="B43" s="290">
        <v>25000</v>
      </c>
      <c r="C43" s="323"/>
      <c r="G43" s="55" t="s">
        <v>34</v>
      </c>
      <c r="H43" s="34"/>
      <c r="I43" s="56"/>
    </row>
    <row r="44" spans="1:9" ht="13.5" thickBot="1">
      <c r="A44" s="170" t="s">
        <v>132</v>
      </c>
      <c r="B44" s="309">
        <v>40000</v>
      </c>
      <c r="C44" s="310"/>
      <c r="G44" s="68" t="s">
        <v>35</v>
      </c>
      <c r="H44" s="267">
        <v>0.3</v>
      </c>
      <c r="I44" s="69"/>
    </row>
    <row r="45" ht="12">
      <c r="L45" s="155"/>
    </row>
    <row r="49" s="210" customFormat="1" ht="28.5" customHeight="1">
      <c r="A49" s="209" t="s">
        <v>174</v>
      </c>
    </row>
    <row r="50" spans="1:6" ht="21" customHeight="1">
      <c r="A50" s="304" t="str">
        <f>+'Input&amp;Results'!C2</f>
        <v>unspecified</v>
      </c>
      <c r="B50" s="305"/>
      <c r="C50" s="305"/>
      <c r="D50" s="305"/>
      <c r="E50" s="306"/>
      <c r="F50" t="s">
        <v>166</v>
      </c>
    </row>
    <row r="51" spans="4:7" ht="12">
      <c r="D51" s="203"/>
      <c r="F51" s="203"/>
      <c r="G51" s="203" t="s">
        <v>169</v>
      </c>
    </row>
    <row r="52" spans="1:7" ht="14.25">
      <c r="A52" s="268" t="s">
        <v>171</v>
      </c>
      <c r="B52" s="269"/>
      <c r="D52" s="307" t="s">
        <v>8</v>
      </c>
      <c r="E52" s="308"/>
      <c r="F52" s="308"/>
      <c r="G52" s="204">
        <f>+'Input&amp;Results'!C5</f>
        <v>0</v>
      </c>
    </row>
    <row r="53" spans="1:7" ht="12.75">
      <c r="A53" s="270"/>
      <c r="B53" s="271" t="s">
        <v>38</v>
      </c>
      <c r="D53" s="300" t="s">
        <v>167</v>
      </c>
      <c r="E53" s="301"/>
      <c r="F53" s="301"/>
      <c r="G53" s="205">
        <f>+'Input&amp;Results'!D6</f>
        <v>1</v>
      </c>
    </row>
    <row r="54" spans="1:7" ht="12.75">
      <c r="A54" s="272" t="s">
        <v>28</v>
      </c>
      <c r="B54" s="273">
        <f>IF(PARAMETERS!D8&lt;PARAMETERS!H12,PARAMETERS!D8/1000*PARAMETERS!H15+PARAMETERS!I15,PARAMETERS!D8/1000*PARAMETERS!H16+PARAMETERS!I16)</f>
        <v>0</v>
      </c>
      <c r="D54" s="300" t="s">
        <v>168</v>
      </c>
      <c r="E54" s="301"/>
      <c r="F54" s="301"/>
      <c r="G54" s="206">
        <f>+'Input&amp;Results'!D10</f>
        <v>0</v>
      </c>
    </row>
    <row r="55" spans="1:7" ht="12.75">
      <c r="A55" s="272" t="s">
        <v>154</v>
      </c>
      <c r="B55" s="273">
        <f>IF(PARAMETERS!E10&lt;PARAMETERS!H19,PARAMETERS!E10/1000*PARAMETERS!H22+PARAMETERS!I22,PARAMETERS!E10/1000*PARAMETERS!H23+PARAMETERS!I23)</f>
        <v>0</v>
      </c>
      <c r="D55" s="300" t="s">
        <v>196</v>
      </c>
      <c r="E55" s="301"/>
      <c r="F55" s="301"/>
      <c r="G55" s="206">
        <f>+'Input&amp;Results'!D11</f>
        <v>0</v>
      </c>
    </row>
    <row r="56" spans="1:7" ht="12.75">
      <c r="A56" s="274" t="s">
        <v>29</v>
      </c>
      <c r="B56" s="275">
        <f>IF(PARAMETERS!E11&lt;PARAMETERS!H26,PARAMETERS!E11/1000*PARAMETERS!H29+PARAMETERS!I29,PARAMETERS!E11/1000*PARAMETERS!H30+PARAMETERS!I30)</f>
        <v>0</v>
      </c>
      <c r="D56" s="300" t="s">
        <v>197</v>
      </c>
      <c r="E56" s="301"/>
      <c r="F56" s="301"/>
      <c r="G56" s="206">
        <f>+'Input&amp;Results'!D14</f>
        <v>0</v>
      </c>
    </row>
    <row r="57" spans="1:7" ht="12.75">
      <c r="A57" s="276" t="s">
        <v>137</v>
      </c>
      <c r="B57" s="277">
        <f>SUM(PARAMETERS!B54:B56)</f>
        <v>0</v>
      </c>
      <c r="D57" s="300" t="s">
        <v>198</v>
      </c>
      <c r="E57" s="301"/>
      <c r="F57" s="301"/>
      <c r="G57" s="207">
        <f>+'Input&amp;Results'!D15</f>
        <v>500</v>
      </c>
    </row>
    <row r="58" spans="1:7" ht="12.75">
      <c r="A58" s="278" t="s">
        <v>138</v>
      </c>
      <c r="B58" s="277">
        <f>IF(PARAMETERS!E15=1,0,IF(B57&lt;PARAMETERS!H33,PARAMETERS!H33,PARAMETERS!B57))</f>
        <v>0</v>
      </c>
      <c r="D58" s="302" t="s">
        <v>170</v>
      </c>
      <c r="E58" s="303"/>
      <c r="F58" s="303"/>
      <c r="G58" s="208">
        <f>+'Input&amp;Results'!D18</f>
        <v>10000</v>
      </c>
    </row>
    <row r="60" spans="1:7" ht="21" customHeight="1">
      <c r="A60" s="297" t="s">
        <v>173</v>
      </c>
      <c r="B60" s="298"/>
      <c r="C60" s="298"/>
      <c r="D60" s="298"/>
      <c r="E60" s="298"/>
      <c r="F60" s="298"/>
      <c r="G60" s="299"/>
    </row>
    <row r="61" spans="1:7" ht="25.5" customHeight="1">
      <c r="A61" s="279" t="s">
        <v>172</v>
      </c>
      <c r="B61" s="280" t="s">
        <v>130</v>
      </c>
      <c r="C61" s="281" t="s">
        <v>155</v>
      </c>
      <c r="D61" s="278" t="s">
        <v>131</v>
      </c>
      <c r="E61" s="282" t="s">
        <v>132</v>
      </c>
      <c r="F61" s="282"/>
      <c r="G61" s="282" t="s">
        <v>139</v>
      </c>
    </row>
    <row r="62" spans="1:7" ht="12.75">
      <c r="A62" s="283" t="s">
        <v>136</v>
      </c>
      <c r="B62" s="284">
        <v>0</v>
      </c>
      <c r="C62" s="284">
        <v>0</v>
      </c>
      <c r="D62" s="284">
        <v>0</v>
      </c>
      <c r="E62" s="284">
        <v>0</v>
      </c>
      <c r="F62" s="284"/>
      <c r="G62" s="284">
        <f>SUM(B62:E62)</f>
        <v>0</v>
      </c>
    </row>
    <row r="63" spans="1:7" ht="12.75">
      <c r="A63" s="285" t="s">
        <v>141</v>
      </c>
      <c r="B63" s="284">
        <f>CEILING(IF($B$58&gt;9.9,IF($B$58&lt;23,($B$58-2)*0.5,0),0),0.5)</f>
        <v>0</v>
      </c>
      <c r="C63" s="284">
        <f>CEILING(IF($B$58&gt;9.9,IF($B$58&lt;23,($B$58-2)*0.5,0),0),0.5)</f>
        <v>0</v>
      </c>
      <c r="D63" s="284">
        <f>IF($B$58&gt;9.9,IF($B$58&lt;23,1,0),0)</f>
        <v>0</v>
      </c>
      <c r="E63" s="284">
        <f>IF($B$58&gt;9.9,IF($B$58&lt;23,1,0),0)</f>
        <v>0</v>
      </c>
      <c r="F63" s="284"/>
      <c r="G63" s="284">
        <f>SUM(B63:E63)</f>
        <v>0</v>
      </c>
    </row>
    <row r="64" spans="1:7" ht="12.75">
      <c r="A64" s="272" t="s">
        <v>134</v>
      </c>
      <c r="B64" s="284">
        <f>CEILING(IF($B$58&gt;23,IF($B$58&lt;43,($B$58-4)*0.5,0),0),0.5)</f>
        <v>0</v>
      </c>
      <c r="C64" s="284">
        <f>CEILING(IF($B$58&gt;23,IF($B$58&lt;43,($B$58-4)*0.5,0),0),0.5)</f>
        <v>0</v>
      </c>
      <c r="D64" s="284">
        <f>IF($B$58&gt;23,IF($B$58&lt;43,2,0),0)</f>
        <v>0</v>
      </c>
      <c r="E64" s="284">
        <f>IF($B$58&gt;23,IF($B$58&lt;43,2,0),0)</f>
        <v>0</v>
      </c>
      <c r="F64" s="284"/>
      <c r="G64" s="284">
        <f>SUM(B64:E64)</f>
        <v>0</v>
      </c>
    </row>
    <row r="65" spans="1:7" ht="12.75">
      <c r="A65" s="272" t="s">
        <v>135</v>
      </c>
      <c r="B65" s="284">
        <f>CEILING(IF(B58&gt;43,(B58-6)*0.5,0),0.5)</f>
        <v>0</v>
      </c>
      <c r="C65" s="284">
        <f>CEILING(IF($B$58&gt;43,($B$58-6)*0.5,0),0.5)</f>
        <v>0</v>
      </c>
      <c r="D65" s="284">
        <f>IF($B$58&gt;43,3,0)</f>
        <v>0</v>
      </c>
      <c r="E65" s="284">
        <f>IF($B$58&gt;43,3,0)</f>
        <v>0</v>
      </c>
      <c r="F65" s="284"/>
      <c r="G65" s="284">
        <f>SUM(B65:E65)</f>
        <v>0</v>
      </c>
    </row>
    <row r="66" spans="1:7" ht="12">
      <c r="A66" s="286"/>
      <c r="B66" s="287"/>
      <c r="C66" s="287"/>
      <c r="D66" s="287"/>
      <c r="E66" s="287"/>
      <c r="F66" s="287"/>
      <c r="G66" s="284"/>
    </row>
    <row r="67" spans="1:7" ht="12.75">
      <c r="A67" s="283" t="s">
        <v>133</v>
      </c>
      <c r="B67" s="284">
        <f>SUM(B62:B66)</f>
        <v>0</v>
      </c>
      <c r="C67" s="284">
        <f>SUM(C62:C66)</f>
        <v>0</v>
      </c>
      <c r="D67" s="284">
        <f>SUM(D62:D66)</f>
        <v>0</v>
      </c>
      <c r="E67" s="284">
        <f>SUM(E62:E66)</f>
        <v>0</v>
      </c>
      <c r="F67" s="284"/>
      <c r="G67" s="284">
        <f>SUM(B67:E67)</f>
        <v>0</v>
      </c>
    </row>
  </sheetData>
  <mergeCells count="15">
    <mergeCell ref="B44:C44"/>
    <mergeCell ref="A25:E37"/>
    <mergeCell ref="A40:C40"/>
    <mergeCell ref="B41:C41"/>
    <mergeCell ref="B42:C42"/>
    <mergeCell ref="B43:C43"/>
    <mergeCell ref="A50:E50"/>
    <mergeCell ref="D52:F52"/>
    <mergeCell ref="D53:F53"/>
    <mergeCell ref="D54:F54"/>
    <mergeCell ref="A60:G60"/>
    <mergeCell ref="D55:F55"/>
    <mergeCell ref="D56:F56"/>
    <mergeCell ref="D57:F57"/>
    <mergeCell ref="D58:F58"/>
  </mergeCells>
  <printOptions/>
  <pageMargins left="0.5" right="0.5" top="0.81" bottom="1" header="0.5" footer="0.5"/>
  <pageSetup horizontalDpi="600" verticalDpi="600" orientation="portrait" r:id="rId3"/>
  <headerFooter alignWithMargins="0">
    <oddHeader>&amp;C&amp;"Arial Black,Regular"&amp;12EMS RRMNA MODULE 7.1 PARAMETERS &amp;R&amp;D</oddHeader>
  </headerFooter>
  <legacyDrawing r:id="rId2"/>
</worksheet>
</file>

<file path=xl/worksheets/sheet3.xml><?xml version="1.0" encoding="utf-8"?>
<worksheet xmlns="http://schemas.openxmlformats.org/spreadsheetml/2006/main" xmlns:r="http://schemas.openxmlformats.org/officeDocument/2006/relationships">
  <dimension ref="B1:L23"/>
  <sheetViews>
    <sheetView workbookViewId="0" topLeftCell="A1">
      <selection activeCell="C25" sqref="C25"/>
    </sheetView>
  </sheetViews>
  <sheetFormatPr defaultColWidth="9.00390625" defaultRowHeight="12"/>
  <cols>
    <col min="1" max="1" width="4.25390625" style="0" customWidth="1"/>
    <col min="2" max="2" width="12.25390625" style="0" customWidth="1"/>
    <col min="3" max="3" width="9.25390625" style="0" customWidth="1"/>
    <col min="4" max="4" width="12.75390625" style="0" customWidth="1"/>
    <col min="5" max="5" width="9.625" style="0" customWidth="1"/>
    <col min="6" max="6" width="11.625" style="0" customWidth="1"/>
  </cols>
  <sheetData>
    <row r="1" ht="12">
      <c r="D1" s="199" t="s">
        <v>163</v>
      </c>
    </row>
    <row r="3" spans="2:12" ht="14.25">
      <c r="B3" s="10" t="s">
        <v>8</v>
      </c>
      <c r="C3" s="11" t="s">
        <v>1</v>
      </c>
      <c r="D3" s="75" t="s">
        <v>153</v>
      </c>
      <c r="E3" s="75" t="s">
        <v>1</v>
      </c>
      <c r="F3" s="15" t="s">
        <v>2</v>
      </c>
      <c r="G3" s="16" t="s">
        <v>33</v>
      </c>
      <c r="L3" s="75" t="s">
        <v>32</v>
      </c>
    </row>
    <row r="4" spans="2:12" ht="12">
      <c r="B4" s="8">
        <v>0</v>
      </c>
      <c r="C4" s="73">
        <f>IF(B4&lt;PARAMETERS!$H$12,B4/1000*PARAMETERS!$H$15+PARAMETERS!$I$15,B4/1000*PARAMETERS!$H$16+PARAMETERS!$I$16)</f>
        <v>0</v>
      </c>
      <c r="D4" s="70">
        <v>0</v>
      </c>
      <c r="E4" s="14">
        <f>IF(D4&lt;PARAMETERS!$H$19,D4/1000*PARAMETERS!$H$22+PARAMETERS!$I$22,D4/1000*PARAMETERS!$H$23+PARAMETERS!$I$23)</f>
        <v>0</v>
      </c>
      <c r="F4" s="76">
        <v>0</v>
      </c>
      <c r="G4" s="77">
        <f>IF(F4&lt;PARAMETERS!$H$26,F4/1000*PARAMETERS!$H$29+PARAMETERS!$I$29,F4/1000*PARAMETERS!$H$30+PARAMETERS!$I$30)</f>
        <v>0</v>
      </c>
      <c r="L4" s="70">
        <v>0</v>
      </c>
    </row>
    <row r="5" spans="2:12" ht="12">
      <c r="B5" s="8">
        <v>1000</v>
      </c>
      <c r="C5" s="73">
        <f>IF(B5&lt;PARAMETERS!$H$12,B5/1000*PARAMETERS!$H$15+PARAMETERS!$I$15,B5/1000*PARAMETERS!$H$16+PARAMETERS!$I$16)</f>
        <v>1</v>
      </c>
      <c r="D5" s="71">
        <f>+L5*2.59</f>
        <v>2590</v>
      </c>
      <c r="E5" s="12">
        <f>IF(D5&lt;PARAMETERS!$H$19,D5/1000*PARAMETERS!$H$22+PARAMETERS!$I$22,D5/1000*PARAMETERS!$H$23+PARAMETERS!$I$23)</f>
        <v>0.8250000000000001</v>
      </c>
      <c r="F5" s="78">
        <v>100</v>
      </c>
      <c r="G5" s="17">
        <f>IF(F5&lt;PARAMETERS!$H$26,F5/1000*PARAMETERS!$H$29+PARAMETERS!$I$29,F5/1000*PARAMETERS!$H$30+PARAMETERS!$I$30)</f>
        <v>0.625</v>
      </c>
      <c r="L5" s="71">
        <v>1000</v>
      </c>
    </row>
    <row r="6" spans="2:12" ht="12">
      <c r="B6" s="8">
        <v>2000</v>
      </c>
      <c r="C6" s="73">
        <f>IF(B6&lt;PARAMETERS!$H$12,B6/1000*PARAMETERS!$H$15+PARAMETERS!$I$15,B6/1000*PARAMETERS!$H$16+PARAMETERS!$I$16)</f>
        <v>2</v>
      </c>
      <c r="D6" s="71">
        <f>+L6*2.59</f>
        <v>5180</v>
      </c>
      <c r="E6" s="12">
        <f>IF(D6&lt;PARAMETERS!$H$19,D6/1000*PARAMETERS!$H$22+PARAMETERS!$I$22,D6/1000*PARAMETERS!$H$23+PARAMETERS!$I$23)</f>
        <v>1.6500000000000001</v>
      </c>
      <c r="F6" s="78">
        <v>200</v>
      </c>
      <c r="G6" s="17">
        <f>IF(F6&lt;PARAMETERS!$H$26,F6/1000*PARAMETERS!$H$29+PARAMETERS!$I$29,F6/1000*PARAMETERS!$H$30+PARAMETERS!$I$30)</f>
        <v>1.25</v>
      </c>
      <c r="L6" s="71">
        <v>2000</v>
      </c>
    </row>
    <row r="7" spans="2:12" ht="12">
      <c r="B7" s="8">
        <v>3000</v>
      </c>
      <c r="C7" s="73">
        <f>IF(B7&lt;PARAMETERS!$H$12,B7/1000*PARAMETERS!$H$15+PARAMETERS!$I$15,B7/1000*PARAMETERS!$H$16+PARAMETERS!$I$16)</f>
        <v>3</v>
      </c>
      <c r="D7" s="71">
        <f aca="true" t="shared" si="0" ref="D7:D23">+L7*2.59</f>
        <v>7770</v>
      </c>
      <c r="E7" s="12">
        <f>IF(D7&lt;PARAMETERS!$H$19,D7/1000*PARAMETERS!$H$22+PARAMETERS!$I$22,D7/1000*PARAMETERS!$H$23+PARAMETERS!$I$23)</f>
        <v>2.475</v>
      </c>
      <c r="F7" s="78">
        <v>300</v>
      </c>
      <c r="G7" s="17">
        <f>IF(F7&lt;PARAMETERS!$H$26,F7/1000*PARAMETERS!$H$29+PARAMETERS!$I$29,F7/1000*PARAMETERS!$H$30+PARAMETERS!$I$30)</f>
        <v>1.875</v>
      </c>
      <c r="L7" s="71">
        <v>3000</v>
      </c>
    </row>
    <row r="8" spans="2:12" ht="12">
      <c r="B8" s="8">
        <v>4000</v>
      </c>
      <c r="C8" s="73">
        <f>IF(B8&lt;PARAMETERS!$H$12,B8/1000*PARAMETERS!$H$15+PARAMETERS!$I$15,B8/1000*PARAMETERS!$H$16+PARAMETERS!$I$16)</f>
        <v>3.8</v>
      </c>
      <c r="D8" s="71">
        <f t="shared" si="0"/>
        <v>10360</v>
      </c>
      <c r="E8" s="12">
        <f>IF(D8&lt;PARAMETERS!$H$19,D8/1000*PARAMETERS!$H$22+PARAMETERS!$I$22,D8/1000*PARAMETERS!$H$23+PARAMETERS!$I$23)</f>
        <v>3.3000000000000003</v>
      </c>
      <c r="F8" s="78">
        <v>400</v>
      </c>
      <c r="G8" s="17">
        <f>IF(F8&lt;PARAMETERS!$H$26,F8/1000*PARAMETERS!$H$29+PARAMETERS!$I$29,F8/1000*PARAMETERS!$H$30+PARAMETERS!$I$30)</f>
        <v>2.5</v>
      </c>
      <c r="L8" s="71">
        <v>4000</v>
      </c>
    </row>
    <row r="9" spans="2:12" ht="12">
      <c r="B9" s="8">
        <v>5000</v>
      </c>
      <c r="C9" s="73">
        <f>IF(B9&lt;PARAMETERS!$H$12,B9/1000*PARAMETERS!$H$15+PARAMETERS!$I$15,B9/1000*PARAMETERS!$H$16+PARAMETERS!$I$16)</f>
        <v>4.25</v>
      </c>
      <c r="D9" s="71">
        <f t="shared" si="0"/>
        <v>12950</v>
      </c>
      <c r="E9" s="12">
        <f>IF(D9&lt;PARAMETERS!$H$19,D9/1000*PARAMETERS!$H$22+PARAMETERS!$I$22,D9/1000*PARAMETERS!$H$23+PARAMETERS!$I$23)</f>
        <v>4.125</v>
      </c>
      <c r="F9" s="78">
        <v>500</v>
      </c>
      <c r="G9" s="17">
        <f>IF(F9&lt;PARAMETERS!$H$26,F9/1000*PARAMETERS!$H$29+PARAMETERS!$I$29,F9/1000*PARAMETERS!$H$30+PARAMETERS!$I$30)</f>
        <v>3.125</v>
      </c>
      <c r="L9" s="71">
        <v>5000</v>
      </c>
    </row>
    <row r="10" spans="2:12" ht="12">
      <c r="B10" s="8">
        <v>6000</v>
      </c>
      <c r="C10" s="73">
        <f>IF(B10&lt;PARAMETERS!$H$12,B10/1000*PARAMETERS!$H$15+PARAMETERS!$I$15,B10/1000*PARAMETERS!$H$16+PARAMETERS!$I$16)</f>
        <v>4.7</v>
      </c>
      <c r="D10" s="71">
        <f t="shared" si="0"/>
        <v>15540</v>
      </c>
      <c r="E10" s="12">
        <f>IF(D10&lt;PARAMETERS!$H$19,D10/1000*PARAMETERS!$H$22+PARAMETERS!$I$22,D10/1000*PARAMETERS!$H$23+PARAMETERS!$I$23)</f>
        <v>5.1</v>
      </c>
      <c r="F10" s="78">
        <v>750</v>
      </c>
      <c r="G10" s="17">
        <f>IF(F10&lt;PARAMETERS!$H$26,F10/1000*PARAMETERS!$H$29+PARAMETERS!$I$29,F10/1000*PARAMETERS!$H$30+PARAMETERS!$I$30)</f>
        <v>4.6875</v>
      </c>
      <c r="L10" s="71">
        <v>6000</v>
      </c>
    </row>
    <row r="11" spans="2:12" ht="12">
      <c r="B11" s="8">
        <v>7000</v>
      </c>
      <c r="C11" s="73">
        <f>IF(B11&lt;PARAMETERS!$H$12,B11/1000*PARAMETERS!$H$15+PARAMETERS!$I$15,B11/1000*PARAMETERS!$H$16+PARAMETERS!$I$16)</f>
        <v>5.15</v>
      </c>
      <c r="D11" s="71">
        <f t="shared" si="0"/>
        <v>18130</v>
      </c>
      <c r="E11" s="12">
        <f>IF(D11&lt;PARAMETERS!$H$19,D11/1000*PARAMETERS!$H$22+PARAMETERS!$I$22,D11/1000*PARAMETERS!$H$23+PARAMETERS!$I$23)</f>
        <v>5.574999999999999</v>
      </c>
      <c r="F11" s="78">
        <v>1000</v>
      </c>
      <c r="G11" s="17">
        <f>IF(F11&lt;PARAMETERS!$H$26,F11/1000*PARAMETERS!$H$29+PARAMETERS!$I$29,F11/1000*PARAMETERS!$H$30+PARAMETERS!$I$30)</f>
        <v>6.25</v>
      </c>
      <c r="L11" s="71">
        <v>7000</v>
      </c>
    </row>
    <row r="12" spans="2:12" ht="12">
      <c r="B12" s="8">
        <v>8000</v>
      </c>
      <c r="C12" s="73">
        <f>IF(B12&lt;PARAMETERS!$H$12,B12/1000*PARAMETERS!$H$15+PARAMETERS!$I$15,B12/1000*PARAMETERS!$H$16+PARAMETERS!$I$16)</f>
        <v>5.6</v>
      </c>
      <c r="D12" s="71">
        <f t="shared" si="0"/>
        <v>20720</v>
      </c>
      <c r="E12" s="12">
        <f>IF(D12&lt;PARAMETERS!$H$19,D12/1000*PARAMETERS!$H$22+PARAMETERS!$I$22,D12/1000*PARAMETERS!$H$23+PARAMETERS!$I$23)</f>
        <v>6.05</v>
      </c>
      <c r="F12" s="78">
        <v>1500</v>
      </c>
      <c r="G12" s="17">
        <f>IF(F12&lt;PARAMETERS!$H$26,F12/1000*PARAMETERS!$H$29+PARAMETERS!$I$29,F12/1000*PARAMETERS!$H$30+PARAMETERS!$I$30)</f>
        <v>8.75</v>
      </c>
      <c r="L12" s="71">
        <v>8000</v>
      </c>
    </row>
    <row r="13" spans="2:12" ht="12">
      <c r="B13" s="8">
        <v>9000</v>
      </c>
      <c r="C13" s="73">
        <f>IF(B13&lt;PARAMETERS!$H$12,B13/1000*PARAMETERS!$H$15+PARAMETERS!$I$15,B13/1000*PARAMETERS!$H$16+PARAMETERS!$I$16)</f>
        <v>6.05</v>
      </c>
      <c r="D13" s="71">
        <f t="shared" si="0"/>
        <v>23310</v>
      </c>
      <c r="E13" s="12">
        <f>IF(D13&lt;PARAMETERS!$H$19,D13/1000*PARAMETERS!$H$22+PARAMETERS!$I$22,D13/1000*PARAMETERS!$H$23+PARAMETERS!$I$23)</f>
        <v>6.5249999999999995</v>
      </c>
      <c r="F13" s="78">
        <v>1750</v>
      </c>
      <c r="G13" s="17">
        <f>IF(F13&lt;PARAMETERS!$H$26,F13/1000*PARAMETERS!$H$29+PARAMETERS!$I$29,F13/1000*PARAMETERS!$H$30+PARAMETERS!$I$30)</f>
        <v>9.625</v>
      </c>
      <c r="L13" s="71">
        <v>9000</v>
      </c>
    </row>
    <row r="14" spans="2:12" ht="12">
      <c r="B14" s="8">
        <v>10000</v>
      </c>
      <c r="C14" s="73">
        <f>IF(B14&lt;PARAMETERS!$H$12,B14/1000*PARAMETERS!$H$15+PARAMETERS!$I$15,B14/1000*PARAMETERS!$H$16+PARAMETERS!$I$16)</f>
        <v>6.5</v>
      </c>
      <c r="D14" s="71">
        <f t="shared" si="0"/>
        <v>25900</v>
      </c>
      <c r="E14" s="12">
        <f>IF(D14&lt;PARAMETERS!$H$19,D14/1000*PARAMETERS!$H$22+PARAMETERS!$I$22,D14/1000*PARAMETERS!$H$23+PARAMETERS!$I$23)</f>
        <v>7</v>
      </c>
      <c r="F14" s="78">
        <v>2000</v>
      </c>
      <c r="G14" s="17">
        <f>IF(F14&lt;PARAMETERS!$H$26,F14/1000*PARAMETERS!$H$29+PARAMETERS!$I$29,F14/1000*PARAMETERS!$H$30+PARAMETERS!$I$30)</f>
        <v>10.5</v>
      </c>
      <c r="L14" s="71">
        <v>10000</v>
      </c>
    </row>
    <row r="15" spans="2:12" ht="12">
      <c r="B15" s="8">
        <v>11000</v>
      </c>
      <c r="C15" s="73">
        <f>IF(B15&lt;PARAMETERS!$H$12,B15/1000*PARAMETERS!$H$15+PARAMETERS!$I$15,B15/1000*PARAMETERS!$H$16+PARAMETERS!$I$16)</f>
        <v>6.95</v>
      </c>
      <c r="D15" s="71">
        <f t="shared" si="0"/>
        <v>28490</v>
      </c>
      <c r="E15" s="12">
        <f>IF(D15&lt;PARAMETERS!$H$19,D15/1000*PARAMETERS!$H$22+PARAMETERS!$I$22,D15/1000*PARAMETERS!$H$23+PARAMETERS!$I$23)</f>
        <v>7.475</v>
      </c>
      <c r="F15" s="78">
        <v>2250</v>
      </c>
      <c r="G15" s="17">
        <f>IF(F15&lt;PARAMETERS!$H$26,F15/1000*PARAMETERS!$H$29+PARAMETERS!$I$29,F15/1000*PARAMETERS!$H$30+PARAMETERS!$I$30)</f>
        <v>11.375</v>
      </c>
      <c r="L15" s="71">
        <v>11000</v>
      </c>
    </row>
    <row r="16" spans="2:12" ht="12">
      <c r="B16" s="8">
        <v>12000</v>
      </c>
      <c r="C16" s="73">
        <f>IF(B16&lt;PARAMETERS!$H$12,B16/1000*PARAMETERS!$H$15+PARAMETERS!$I$15,B16/1000*PARAMETERS!$H$16+PARAMETERS!$I$16)</f>
        <v>7.4</v>
      </c>
      <c r="D16" s="71">
        <f t="shared" si="0"/>
        <v>31080</v>
      </c>
      <c r="E16" s="12">
        <f>IF(D16&lt;PARAMETERS!$H$19,D16/1000*PARAMETERS!$H$22+PARAMETERS!$I$22,D16/1000*PARAMETERS!$H$23+PARAMETERS!$I$23)</f>
        <v>7.949999999999999</v>
      </c>
      <c r="F16" s="78">
        <v>2500</v>
      </c>
      <c r="G16" s="17">
        <f>IF(F16&lt;PARAMETERS!$H$26,F16/1000*PARAMETERS!$H$29+PARAMETERS!$I$29,F16/1000*PARAMETERS!$H$30+PARAMETERS!$I$30)</f>
        <v>12.25</v>
      </c>
      <c r="L16" s="71">
        <v>12000</v>
      </c>
    </row>
    <row r="17" spans="2:12" ht="12">
      <c r="B17" s="8">
        <v>13000</v>
      </c>
      <c r="C17" s="73">
        <f>IF(B17&lt;PARAMETERS!$H$12,B17/1000*PARAMETERS!$H$15+PARAMETERS!$I$15,B17/1000*PARAMETERS!$H$16+PARAMETERS!$I$16)</f>
        <v>7.8500000000000005</v>
      </c>
      <c r="D17" s="71">
        <f t="shared" si="0"/>
        <v>33670</v>
      </c>
      <c r="E17" s="12">
        <f>IF(D17&lt;PARAMETERS!$H$19,D17/1000*PARAMETERS!$H$22+PARAMETERS!$I$22,D17/1000*PARAMETERS!$H$23+PARAMETERS!$I$23)</f>
        <v>8.425</v>
      </c>
      <c r="F17" s="78">
        <v>2750</v>
      </c>
      <c r="G17" s="17">
        <f>IF(F17&lt;PARAMETERS!$H$26,F17/1000*PARAMETERS!$H$29+PARAMETERS!$I$29,F17/1000*PARAMETERS!$H$30+PARAMETERS!$I$30)</f>
        <v>13.125</v>
      </c>
      <c r="L17" s="71">
        <v>13000</v>
      </c>
    </row>
    <row r="18" spans="2:12" ht="12">
      <c r="B18" s="8">
        <v>14000</v>
      </c>
      <c r="C18" s="73">
        <f>IF(B18&lt;PARAMETERS!$H$12,B18/1000*PARAMETERS!$H$15+PARAMETERS!$I$15,B18/1000*PARAMETERS!$H$16+PARAMETERS!$I$16)</f>
        <v>8.3</v>
      </c>
      <c r="D18" s="71">
        <f t="shared" si="0"/>
        <v>36260</v>
      </c>
      <c r="E18" s="12">
        <f>IF(D18&lt;PARAMETERS!$H$19,D18/1000*PARAMETERS!$H$22+PARAMETERS!$I$22,D18/1000*PARAMETERS!$H$23+PARAMETERS!$I$23)</f>
        <v>8.899999999999999</v>
      </c>
      <c r="F18" s="78">
        <v>3000</v>
      </c>
      <c r="G18" s="17">
        <f>IF(F18&lt;PARAMETERS!$H$26,F18/1000*PARAMETERS!$H$29+PARAMETERS!$I$29,F18/1000*PARAMETERS!$H$30+PARAMETERS!$I$30)</f>
        <v>14</v>
      </c>
      <c r="L18" s="71">
        <v>14000</v>
      </c>
    </row>
    <row r="19" spans="2:12" ht="12">
      <c r="B19" s="8">
        <v>15000</v>
      </c>
      <c r="C19" s="73">
        <f>IF(B19&lt;PARAMETERS!$H$12,B19/1000*PARAMETERS!$H$15+PARAMETERS!$I$15,B19/1000*PARAMETERS!$H$16+PARAMETERS!$I$16)</f>
        <v>8.75</v>
      </c>
      <c r="D19" s="71">
        <f t="shared" si="0"/>
        <v>38850</v>
      </c>
      <c r="E19" s="12">
        <f>IF(D19&lt;PARAMETERS!$H$19,D19/1000*PARAMETERS!$H$22+PARAMETERS!$I$22,D19/1000*PARAMETERS!$H$23+PARAMETERS!$I$23)</f>
        <v>9.375</v>
      </c>
      <c r="F19" s="78">
        <v>3250</v>
      </c>
      <c r="G19" s="17">
        <f>IF(F19&lt;PARAMETERS!$H$26,F19/1000*PARAMETERS!$H$29+PARAMETERS!$I$29,F19/1000*PARAMETERS!$H$30+PARAMETERS!$I$30)</f>
        <v>14.875</v>
      </c>
      <c r="L19" s="71">
        <v>15000</v>
      </c>
    </row>
    <row r="20" spans="2:12" ht="12">
      <c r="B20" s="8">
        <v>17500</v>
      </c>
      <c r="C20" s="73">
        <f>IF(B20&lt;PARAMETERS!$H$12,B20/1000*PARAMETERS!$H$15+PARAMETERS!$I$15,B20/1000*PARAMETERS!$H$16+PARAMETERS!$I$16)</f>
        <v>9.875</v>
      </c>
      <c r="D20" s="71">
        <f t="shared" si="0"/>
        <v>41440</v>
      </c>
      <c r="E20" s="12">
        <f>IF(D20&lt;PARAMETERS!$H$19,D20/1000*PARAMETERS!$H$22+PARAMETERS!$I$22,D20/1000*PARAMETERS!$H$23+PARAMETERS!$I$23)</f>
        <v>9.85</v>
      </c>
      <c r="F20" s="78">
        <v>3500</v>
      </c>
      <c r="G20" s="17">
        <f>IF(F20&lt;PARAMETERS!$H$26,F20/1000*PARAMETERS!$H$29+PARAMETERS!$I$29,F20/1000*PARAMETERS!$H$30+PARAMETERS!$I$30)</f>
        <v>15.75</v>
      </c>
      <c r="L20" s="71">
        <v>16000</v>
      </c>
    </row>
    <row r="21" spans="2:12" ht="12">
      <c r="B21" s="8">
        <v>20000</v>
      </c>
      <c r="C21" s="73">
        <f>IF(B21&lt;PARAMETERS!$H$12,B21/1000*PARAMETERS!$H$15+PARAMETERS!$I$15,B21/1000*PARAMETERS!$H$16+PARAMETERS!$I$16)</f>
        <v>11</v>
      </c>
      <c r="D21" s="71">
        <f t="shared" si="0"/>
        <v>44030</v>
      </c>
      <c r="E21" s="12">
        <f>IF(D21&lt;PARAMETERS!$H$19,D21/1000*PARAMETERS!$H$22+PARAMETERS!$I$22,D21/1000*PARAMETERS!$H$23+PARAMETERS!$I$23)</f>
        <v>10.325</v>
      </c>
      <c r="F21" s="78">
        <v>4000</v>
      </c>
      <c r="G21" s="17">
        <f>IF(F21&lt;PARAMETERS!$H$26,F21/1000*PARAMETERS!$H$29+PARAMETERS!$I$29,F21/1000*PARAMETERS!$H$30+PARAMETERS!$I$30)</f>
        <v>17.5</v>
      </c>
      <c r="L21" s="71">
        <v>17000</v>
      </c>
    </row>
    <row r="22" spans="2:12" ht="12">
      <c r="B22" s="8">
        <v>22500</v>
      </c>
      <c r="C22" s="73">
        <f>IF(B22&lt;PARAMETERS!$H$12,B22/1000*PARAMETERS!$H$15+PARAMETERS!$I$15,B22/1000*PARAMETERS!$H$16+PARAMETERS!$I$16)</f>
        <v>12.125</v>
      </c>
      <c r="D22" s="71">
        <f t="shared" si="0"/>
        <v>46620</v>
      </c>
      <c r="E22" s="12">
        <f>IF(D22&lt;PARAMETERS!$H$19,D22/1000*PARAMETERS!$H$22+PARAMETERS!$I$22,D22/1000*PARAMETERS!$H$23+PARAMETERS!$I$23)</f>
        <v>10.799999999999999</v>
      </c>
      <c r="F22" s="78">
        <v>4500</v>
      </c>
      <c r="G22" s="17">
        <f>IF(F22&lt;PARAMETERS!$H$26,F22/1000*PARAMETERS!$H$29+PARAMETERS!$I$29,F22/1000*PARAMETERS!$H$30+PARAMETERS!$I$30)</f>
        <v>19.25</v>
      </c>
      <c r="L22" s="71">
        <v>18000</v>
      </c>
    </row>
    <row r="23" spans="2:12" ht="12">
      <c r="B23" s="9">
        <v>25000</v>
      </c>
      <c r="C23" s="74">
        <f>IF(B23&lt;PARAMETERS!$H$12,B23/1000*PARAMETERS!$H$15+PARAMETERS!$I$15,B23/1000*PARAMETERS!$H$16+PARAMETERS!$I$16)</f>
        <v>13.25</v>
      </c>
      <c r="D23" s="71">
        <f t="shared" si="0"/>
        <v>49210</v>
      </c>
      <c r="E23" s="13">
        <f>IF(D23&lt;PARAMETERS!$H$19,D23/1000*PARAMETERS!$H$22+PARAMETERS!$I$22,D23/1000*PARAMETERS!$H$23+PARAMETERS!$I$23)</f>
        <v>11.275</v>
      </c>
      <c r="F23" s="79">
        <v>5000</v>
      </c>
      <c r="G23" s="18">
        <f>IF(F23&lt;PARAMETERS!$H$26,F23/1000*PARAMETERS!$H$29+PARAMETERS!$I$29,F23/1000*PARAMETERS!$H$30+PARAMETERS!$I$30)</f>
        <v>21</v>
      </c>
      <c r="L23" s="72">
        <v>19000</v>
      </c>
    </row>
  </sheetData>
  <printOptions horizontalCentered="1"/>
  <pageMargins left="0.5" right="0.75" top="1.85" bottom="1" header="0.5" footer="0.5"/>
  <pageSetup horizontalDpi="600" verticalDpi="600" orientation="portrait" scale="155" r:id="rId1"/>
  <headerFooter alignWithMargins="0">
    <oddHeader>&amp;C&amp;"Arial Black,Regular"&amp;14EMS RRMNA MODULE
STAFF LOOKUP TABLES&amp;R&amp;D</oddHeader>
  </headerFooter>
</worksheet>
</file>

<file path=xl/worksheets/sheet4.xml><?xml version="1.0" encoding="utf-8"?>
<worksheet xmlns="http://schemas.openxmlformats.org/spreadsheetml/2006/main" xmlns:r="http://schemas.openxmlformats.org/officeDocument/2006/relationships">
  <sheetPr>
    <outlinePr summaryBelow="0"/>
  </sheetPr>
  <dimension ref="A1:E147"/>
  <sheetViews>
    <sheetView showGridLines="0" view="pageBreakPreview" zoomScale="75" zoomScaleSheetLayoutView="75" workbookViewId="0" topLeftCell="A1">
      <selection activeCell="A1" sqref="A1"/>
    </sheetView>
  </sheetViews>
  <sheetFormatPr defaultColWidth="9.00390625" defaultRowHeight="12"/>
  <cols>
    <col min="1" max="1" width="27.375" style="138" customWidth="1"/>
    <col min="2" max="2" width="13.25390625" style="138" customWidth="1"/>
    <col min="3" max="3" width="11.625" style="138" customWidth="1"/>
    <col min="4" max="4" width="9.375" style="138" customWidth="1"/>
    <col min="5" max="5" width="9.125" style="138" customWidth="1"/>
    <col min="6" max="6" width="16.625" style="138" customWidth="1"/>
    <col min="7" max="57" width="18.75390625" style="138" customWidth="1"/>
    <col min="58" max="16384" width="9.125" style="138" customWidth="1"/>
  </cols>
  <sheetData>
    <row r="1" ht="29.25" customHeight="1">
      <c r="A1" s="196" t="s">
        <v>160</v>
      </c>
    </row>
    <row r="2" spans="1:5" ht="30.75" customHeight="1">
      <c r="A2" s="324" t="s">
        <v>207</v>
      </c>
      <c r="B2" s="324"/>
      <c r="C2" s="324"/>
      <c r="D2" s="324"/>
      <c r="E2" s="324"/>
    </row>
    <row r="3" spans="1:5" s="137" customFormat="1" ht="42" customHeight="1">
      <c r="A3" s="140" t="s">
        <v>122</v>
      </c>
      <c r="B3" s="140" t="s">
        <v>8</v>
      </c>
      <c r="C3" s="140" t="s">
        <v>152</v>
      </c>
      <c r="D3" s="140" t="s">
        <v>123</v>
      </c>
      <c r="E3" s="140" t="s">
        <v>124</v>
      </c>
    </row>
    <row r="4" spans="1:5" ht="16.5" customHeight="1">
      <c r="A4" s="143" t="s">
        <v>41</v>
      </c>
      <c r="B4" s="144">
        <v>1312</v>
      </c>
      <c r="C4" s="144">
        <f aca="true" t="shared" si="0" ref="C4:C35">+C79*2.59</f>
        <v>2861.95</v>
      </c>
      <c r="D4" s="144">
        <v>100</v>
      </c>
      <c r="E4" s="145">
        <v>0</v>
      </c>
    </row>
    <row r="5" spans="1:5" ht="16.5" customHeight="1">
      <c r="A5" s="146" t="s">
        <v>52</v>
      </c>
      <c r="B5" s="141">
        <v>13128</v>
      </c>
      <c r="C5" s="141">
        <f t="shared" si="0"/>
        <v>20831.37</v>
      </c>
      <c r="D5" s="141">
        <v>4860</v>
      </c>
      <c r="E5" s="147">
        <v>0</v>
      </c>
    </row>
    <row r="6" spans="1:5" ht="16.5" customHeight="1">
      <c r="A6" s="146" t="s">
        <v>53</v>
      </c>
      <c r="B6" s="141">
        <v>22577</v>
      </c>
      <c r="C6" s="141">
        <f t="shared" si="0"/>
        <v>31846.64</v>
      </c>
      <c r="D6" s="141">
        <v>6021</v>
      </c>
      <c r="E6" s="147">
        <v>0</v>
      </c>
    </row>
    <row r="7" spans="1:5" ht="16.5" customHeight="1">
      <c r="A7" s="146" t="s">
        <v>54</v>
      </c>
      <c r="B7" s="141">
        <v>1546</v>
      </c>
      <c r="C7" s="141">
        <f t="shared" si="0"/>
        <v>1616.1599999999999</v>
      </c>
      <c r="D7" s="141">
        <v>145</v>
      </c>
      <c r="E7" s="147">
        <v>0</v>
      </c>
    </row>
    <row r="8" spans="1:5" ht="16.5" customHeight="1">
      <c r="A8" s="146" t="s">
        <v>55</v>
      </c>
      <c r="B8" s="141">
        <v>6850</v>
      </c>
      <c r="C8" s="141">
        <f t="shared" si="0"/>
        <v>5801.599999999999</v>
      </c>
      <c r="D8" s="141">
        <v>1422</v>
      </c>
      <c r="E8" s="147">
        <v>0</v>
      </c>
    </row>
    <row r="9" spans="1:5" ht="16.5" customHeight="1">
      <c r="A9" s="146" t="s">
        <v>56</v>
      </c>
      <c r="B9" s="141">
        <v>14945</v>
      </c>
      <c r="C9" s="141">
        <f t="shared" si="0"/>
        <v>6736.589999999999</v>
      </c>
      <c r="D9" s="141">
        <v>3900</v>
      </c>
      <c r="E9" s="147">
        <v>0</v>
      </c>
    </row>
    <row r="10" spans="1:5" ht="16.5" customHeight="1">
      <c r="A10" s="146" t="s">
        <v>57</v>
      </c>
      <c r="B10" s="141">
        <v>11779</v>
      </c>
      <c r="C10" s="141">
        <f t="shared" si="0"/>
        <v>7283.08</v>
      </c>
      <c r="D10" s="141">
        <v>4850</v>
      </c>
      <c r="E10" s="147">
        <v>0</v>
      </c>
    </row>
    <row r="11" spans="1:5" ht="16.5" customHeight="1">
      <c r="A11" s="146" t="s">
        <v>58</v>
      </c>
      <c r="B11" s="141">
        <v>1038</v>
      </c>
      <c r="C11" s="141">
        <f t="shared" si="0"/>
        <v>1554</v>
      </c>
      <c r="D11" s="141">
        <v>162</v>
      </c>
      <c r="E11" s="147">
        <v>0</v>
      </c>
    </row>
    <row r="12" spans="1:5" ht="16.5" customHeight="1">
      <c r="A12" s="146" t="s">
        <v>59</v>
      </c>
      <c r="B12" s="141">
        <v>19677</v>
      </c>
      <c r="C12" s="141">
        <f t="shared" si="0"/>
        <v>1504.79</v>
      </c>
      <c r="D12" s="141">
        <v>7300</v>
      </c>
      <c r="E12" s="147">
        <v>0</v>
      </c>
    </row>
    <row r="13" spans="1:5" ht="16.5" customHeight="1">
      <c r="A13" s="146" t="s">
        <v>60</v>
      </c>
      <c r="B13" s="141">
        <v>1477</v>
      </c>
      <c r="C13" s="141">
        <f t="shared" si="0"/>
        <v>3822.8399999999997</v>
      </c>
      <c r="D13" s="141">
        <v>604</v>
      </c>
      <c r="E13" s="147">
        <v>0</v>
      </c>
    </row>
    <row r="14" spans="1:5" ht="16.5" customHeight="1">
      <c r="A14" s="146" t="s">
        <v>61</v>
      </c>
      <c r="B14" s="141">
        <v>6769</v>
      </c>
      <c r="C14" s="141">
        <f t="shared" si="0"/>
        <v>927.2199999999999</v>
      </c>
      <c r="D14" s="141">
        <v>3895</v>
      </c>
      <c r="E14" s="147">
        <v>0</v>
      </c>
    </row>
    <row r="15" spans="1:5" ht="16.5" customHeight="1">
      <c r="A15" s="146" t="s">
        <v>62</v>
      </c>
      <c r="B15" s="141">
        <v>1849</v>
      </c>
      <c r="C15" s="141">
        <f t="shared" si="0"/>
        <v>4504.009999999999</v>
      </c>
      <c r="D15" s="141">
        <v>190</v>
      </c>
      <c r="E15" s="147">
        <v>0</v>
      </c>
    </row>
    <row r="16" spans="1:5" ht="16.5" customHeight="1">
      <c r="A16" s="146" t="s">
        <v>63</v>
      </c>
      <c r="B16" s="141">
        <v>5302</v>
      </c>
      <c r="C16" s="141">
        <f t="shared" si="0"/>
        <v>4900.28</v>
      </c>
      <c r="D16" s="141">
        <v>1200</v>
      </c>
      <c r="E16" s="147">
        <v>0</v>
      </c>
    </row>
    <row r="17" spans="1:5" ht="16.5" customHeight="1">
      <c r="A17" s="146" t="s">
        <v>64</v>
      </c>
      <c r="B17" s="141">
        <v>4755</v>
      </c>
      <c r="C17" s="141">
        <f t="shared" si="0"/>
        <v>914.27</v>
      </c>
      <c r="D17" s="141">
        <v>1200</v>
      </c>
      <c r="E17" s="147">
        <v>0</v>
      </c>
    </row>
    <row r="18" spans="1:5" ht="16.5" customHeight="1">
      <c r="A18" s="146" t="s">
        <v>65</v>
      </c>
      <c r="B18" s="141">
        <v>11459</v>
      </c>
      <c r="C18" s="141">
        <f t="shared" si="0"/>
        <v>7518.7699999999995</v>
      </c>
      <c r="D18" s="141">
        <v>3069</v>
      </c>
      <c r="E18" s="147">
        <v>0</v>
      </c>
    </row>
    <row r="19" spans="1:5" ht="16.5" customHeight="1">
      <c r="A19" s="146" t="s">
        <v>66</v>
      </c>
      <c r="B19" s="141">
        <v>3551</v>
      </c>
      <c r="C19" s="141">
        <f t="shared" si="0"/>
        <v>854.6999999999999</v>
      </c>
      <c r="D19" s="141">
        <v>1004</v>
      </c>
      <c r="E19" s="147">
        <v>0</v>
      </c>
    </row>
    <row r="20" spans="1:5" ht="16.5" customHeight="1">
      <c r="A20" s="146" t="s">
        <v>67</v>
      </c>
      <c r="B20" s="141">
        <v>4478</v>
      </c>
      <c r="C20" s="141">
        <f t="shared" si="0"/>
        <v>2732.45</v>
      </c>
      <c r="D20" s="141">
        <v>1200</v>
      </c>
      <c r="E20" s="147">
        <v>0</v>
      </c>
    </row>
    <row r="21" spans="1:5" ht="16.5" customHeight="1">
      <c r="A21" s="146" t="s">
        <v>45</v>
      </c>
      <c r="B21" s="141">
        <v>37918</v>
      </c>
      <c r="C21" s="141">
        <f t="shared" si="0"/>
        <v>8344.98</v>
      </c>
      <c r="D21" s="141">
        <v>2588</v>
      </c>
      <c r="E21" s="147">
        <v>0.2</v>
      </c>
    </row>
    <row r="22" spans="1:5" ht="16.5" customHeight="1">
      <c r="A22" s="146" t="s">
        <v>46</v>
      </c>
      <c r="B22" s="141">
        <v>22298</v>
      </c>
      <c r="C22" s="141">
        <f t="shared" si="0"/>
        <v>7132.86</v>
      </c>
      <c r="D22" s="141">
        <v>904</v>
      </c>
      <c r="E22" s="147">
        <v>0.29</v>
      </c>
    </row>
    <row r="23" spans="1:5" ht="16.5" customHeight="1">
      <c r="A23" s="146" t="s">
        <v>47</v>
      </c>
      <c r="B23" s="141">
        <v>31018</v>
      </c>
      <c r="C23" s="141">
        <f t="shared" si="0"/>
        <v>6689.969999999999</v>
      </c>
      <c r="D23" s="141">
        <v>1843</v>
      </c>
      <c r="E23" s="147">
        <v>0.3</v>
      </c>
    </row>
    <row r="24" spans="1:5" ht="16.5" customHeight="1">
      <c r="A24" s="146" t="s">
        <v>48</v>
      </c>
      <c r="B24" s="141">
        <v>44451</v>
      </c>
      <c r="C24" s="141">
        <f t="shared" si="0"/>
        <v>6715.87</v>
      </c>
      <c r="D24" s="141">
        <v>1055</v>
      </c>
      <c r="E24" s="147">
        <v>0.34</v>
      </c>
    </row>
    <row r="25" spans="1:5" ht="16.5" customHeight="1">
      <c r="A25" s="146" t="s">
        <v>49</v>
      </c>
      <c r="B25" s="141">
        <v>20465</v>
      </c>
      <c r="C25" s="141">
        <f t="shared" si="0"/>
        <v>9974.09</v>
      </c>
      <c r="D25" s="141">
        <v>1940</v>
      </c>
      <c r="E25" s="147">
        <v>0.19</v>
      </c>
    </row>
    <row r="26" spans="1:5" ht="16.5" customHeight="1">
      <c r="A26" s="146" t="s">
        <v>50</v>
      </c>
      <c r="B26" s="141">
        <v>52225</v>
      </c>
      <c r="C26" s="141">
        <f t="shared" si="0"/>
        <v>13587.14</v>
      </c>
      <c r="D26" s="141">
        <v>2510</v>
      </c>
      <c r="E26" s="147">
        <v>0.19</v>
      </c>
    </row>
    <row r="27" spans="1:5" ht="16.5" customHeight="1">
      <c r="A27" s="146" t="s">
        <v>44</v>
      </c>
      <c r="B27" s="141">
        <v>29037</v>
      </c>
      <c r="C27" s="141">
        <f t="shared" si="0"/>
        <v>9873.08</v>
      </c>
      <c r="D27" s="141">
        <v>2588</v>
      </c>
      <c r="E27" s="147">
        <v>0.2</v>
      </c>
    </row>
    <row r="28" spans="1:5" ht="16.5" customHeight="1">
      <c r="A28" s="146" t="s">
        <v>51</v>
      </c>
      <c r="B28" s="141">
        <v>15970</v>
      </c>
      <c r="C28" s="141">
        <f t="shared" si="0"/>
        <v>5646.2</v>
      </c>
      <c r="D28" s="141">
        <v>992</v>
      </c>
      <c r="E28" s="147">
        <v>0.25</v>
      </c>
    </row>
    <row r="29" spans="1:5" ht="16.5" customHeight="1">
      <c r="A29" s="146" t="s">
        <v>81</v>
      </c>
      <c r="B29" s="141">
        <v>7027</v>
      </c>
      <c r="C29" s="141">
        <f t="shared" si="0"/>
        <v>1828.54</v>
      </c>
      <c r="D29" s="141">
        <v>3069</v>
      </c>
      <c r="E29" s="147">
        <v>0</v>
      </c>
    </row>
    <row r="30" spans="1:5" ht="16.5" customHeight="1">
      <c r="A30" s="146" t="s">
        <v>82</v>
      </c>
      <c r="B30" s="141">
        <v>13156</v>
      </c>
      <c r="C30" s="141">
        <f t="shared" si="0"/>
        <v>2429.42</v>
      </c>
      <c r="D30" s="141">
        <v>1189</v>
      </c>
      <c r="E30" s="147">
        <v>0</v>
      </c>
    </row>
    <row r="31" spans="1:5" ht="16.5" customHeight="1">
      <c r="A31" s="146" t="s">
        <v>83</v>
      </c>
      <c r="B31" s="141">
        <v>3684</v>
      </c>
      <c r="C31" s="141">
        <f t="shared" si="0"/>
        <v>11173.26</v>
      </c>
      <c r="D31" s="141">
        <v>1229</v>
      </c>
      <c r="E31" s="147">
        <v>0</v>
      </c>
    </row>
    <row r="32" spans="1:5" ht="16.5" customHeight="1">
      <c r="A32" s="146" t="s">
        <v>84</v>
      </c>
      <c r="B32" s="141">
        <v>2020</v>
      </c>
      <c r="C32" s="141">
        <f t="shared" si="0"/>
        <v>8054.9</v>
      </c>
      <c r="D32" s="141">
        <v>504</v>
      </c>
      <c r="E32" s="147">
        <v>0</v>
      </c>
    </row>
    <row r="33" spans="1:5" ht="16.5" customHeight="1">
      <c r="A33" s="146" t="s">
        <v>85</v>
      </c>
      <c r="B33" s="141">
        <v>3607</v>
      </c>
      <c r="C33" s="141">
        <f t="shared" si="0"/>
        <v>6718.46</v>
      </c>
      <c r="D33" s="141">
        <v>550</v>
      </c>
      <c r="E33" s="147">
        <v>0</v>
      </c>
    </row>
    <row r="34" spans="1:5" ht="16.5" customHeight="1">
      <c r="A34" s="146" t="s">
        <v>86</v>
      </c>
      <c r="B34" s="141">
        <v>4973</v>
      </c>
      <c r="C34" s="141">
        <f t="shared" si="0"/>
        <v>11090.38</v>
      </c>
      <c r="D34" s="141">
        <v>700</v>
      </c>
      <c r="E34" s="147">
        <v>0</v>
      </c>
    </row>
    <row r="35" spans="1:5" ht="16.5" customHeight="1">
      <c r="A35" s="146" t="s">
        <v>87</v>
      </c>
      <c r="B35" s="141">
        <v>9431</v>
      </c>
      <c r="C35" s="141">
        <f t="shared" si="0"/>
        <v>36348.06</v>
      </c>
      <c r="D35" s="141">
        <v>1500</v>
      </c>
      <c r="E35" s="147">
        <v>0</v>
      </c>
    </row>
    <row r="36" spans="1:5" ht="16.5" customHeight="1">
      <c r="A36" s="146" t="s">
        <v>88</v>
      </c>
      <c r="B36" s="141">
        <v>4005</v>
      </c>
      <c r="C36" s="141">
        <f aca="true" t="shared" si="1" ref="C36:C67">+C111*2.59</f>
        <v>10372.949999999999</v>
      </c>
      <c r="D36" s="141">
        <v>350</v>
      </c>
      <c r="E36" s="147">
        <v>0</v>
      </c>
    </row>
    <row r="37" spans="1:5" ht="16.5" customHeight="1">
      <c r="A37" s="146" t="s">
        <v>89</v>
      </c>
      <c r="B37" s="141">
        <v>2019</v>
      </c>
      <c r="C37" s="141">
        <f t="shared" si="1"/>
        <v>256.40999999999997</v>
      </c>
      <c r="D37" s="141">
        <v>938</v>
      </c>
      <c r="E37" s="147">
        <v>0</v>
      </c>
    </row>
    <row r="38" spans="1:5" ht="16.5" customHeight="1">
      <c r="A38" s="146" t="s">
        <v>90</v>
      </c>
      <c r="B38" s="141">
        <v>3287</v>
      </c>
      <c r="C38" s="141">
        <f t="shared" si="1"/>
        <v>999.7399999999999</v>
      </c>
      <c r="D38" s="141">
        <v>612</v>
      </c>
      <c r="E38" s="147">
        <v>0</v>
      </c>
    </row>
    <row r="39" spans="1:5" ht="16.5" customHeight="1">
      <c r="A39" s="146" t="s">
        <v>91</v>
      </c>
      <c r="B39" s="141">
        <v>2736</v>
      </c>
      <c r="C39" s="141">
        <f t="shared" si="1"/>
        <v>360.01</v>
      </c>
      <c r="D39" s="141">
        <v>402</v>
      </c>
      <c r="E39" s="147">
        <v>0</v>
      </c>
    </row>
    <row r="40" spans="1:5" ht="16.5" customHeight="1">
      <c r="A40" s="146" t="s">
        <v>92</v>
      </c>
      <c r="B40" s="141">
        <v>3697</v>
      </c>
      <c r="C40" s="141">
        <f t="shared" si="1"/>
        <v>3004.3999999999996</v>
      </c>
      <c r="D40" s="141">
        <v>1300</v>
      </c>
      <c r="E40" s="147">
        <v>0</v>
      </c>
    </row>
    <row r="41" spans="1:5" ht="16.5" customHeight="1">
      <c r="A41" s="146" t="s">
        <v>93</v>
      </c>
      <c r="B41" s="141">
        <v>2865</v>
      </c>
      <c r="C41" s="141">
        <f t="shared" si="1"/>
        <v>595.6999999999999</v>
      </c>
      <c r="D41" s="141">
        <v>481</v>
      </c>
      <c r="E41" s="147">
        <v>0</v>
      </c>
    </row>
    <row r="42" spans="1:5" ht="16.5" customHeight="1">
      <c r="A42" s="146" t="s">
        <v>94</v>
      </c>
      <c r="B42" s="141">
        <v>3570</v>
      </c>
      <c r="C42" s="141">
        <f t="shared" si="1"/>
        <v>279.71999999999997</v>
      </c>
      <c r="D42" s="141">
        <v>289</v>
      </c>
      <c r="E42" s="147">
        <v>0</v>
      </c>
    </row>
    <row r="43" spans="1:5" ht="16.5" customHeight="1">
      <c r="A43" s="146" t="s">
        <v>95</v>
      </c>
      <c r="B43" s="141">
        <v>1186</v>
      </c>
      <c r="C43" s="141">
        <f t="shared" si="1"/>
        <v>1243.1999999999998</v>
      </c>
      <c r="D43" s="141">
        <v>460</v>
      </c>
      <c r="E43" s="147">
        <v>0</v>
      </c>
    </row>
    <row r="44" spans="1:5" ht="16.5" customHeight="1">
      <c r="A44" s="146" t="s">
        <v>96</v>
      </c>
      <c r="B44" s="141">
        <v>1686</v>
      </c>
      <c r="C44" s="141">
        <f t="shared" si="1"/>
        <v>2411.29</v>
      </c>
      <c r="D44" s="141">
        <v>350</v>
      </c>
      <c r="E44" s="147">
        <v>0</v>
      </c>
    </row>
    <row r="45" spans="1:5" ht="16.5" customHeight="1">
      <c r="A45" s="146" t="s">
        <v>97</v>
      </c>
      <c r="B45" s="141">
        <v>7714</v>
      </c>
      <c r="C45" s="141">
        <f t="shared" si="1"/>
        <v>1647.24</v>
      </c>
      <c r="D45" s="141">
        <v>1514</v>
      </c>
      <c r="E45" s="147">
        <v>0</v>
      </c>
    </row>
    <row r="46" spans="1:5" ht="16.5" customHeight="1">
      <c r="A46" s="146" t="s">
        <v>98</v>
      </c>
      <c r="B46" s="141">
        <v>558</v>
      </c>
      <c r="C46" s="141">
        <f t="shared" si="1"/>
        <v>88.06</v>
      </c>
      <c r="D46" s="141">
        <v>873</v>
      </c>
      <c r="E46" s="147">
        <v>0</v>
      </c>
    </row>
    <row r="47" spans="1:5" ht="16.5" customHeight="1">
      <c r="A47" s="146" t="s">
        <v>99</v>
      </c>
      <c r="B47" s="141">
        <v>945</v>
      </c>
      <c r="C47" s="141">
        <f t="shared" si="1"/>
        <v>98.41999999999999</v>
      </c>
      <c r="D47" s="141">
        <v>880</v>
      </c>
      <c r="E47" s="147">
        <v>0</v>
      </c>
    </row>
    <row r="48" spans="1:5" ht="16.5" customHeight="1">
      <c r="A48" s="146" t="s">
        <v>100</v>
      </c>
      <c r="B48" s="141">
        <v>1908</v>
      </c>
      <c r="C48" s="141">
        <f t="shared" si="1"/>
        <v>4045.58</v>
      </c>
      <c r="D48" s="141">
        <v>1225</v>
      </c>
      <c r="E48" s="147">
        <v>0</v>
      </c>
    </row>
    <row r="49" spans="1:5" ht="16.5" customHeight="1">
      <c r="A49" s="146" t="s">
        <v>101</v>
      </c>
      <c r="B49" s="141">
        <v>620</v>
      </c>
      <c r="C49" s="141">
        <f t="shared" si="1"/>
        <v>4662</v>
      </c>
      <c r="D49" s="141">
        <v>300</v>
      </c>
      <c r="E49" s="147">
        <v>0</v>
      </c>
    </row>
    <row r="50" spans="1:5" ht="16.5" customHeight="1">
      <c r="A50" s="146" t="s">
        <v>102</v>
      </c>
      <c r="B50" s="141">
        <v>5360</v>
      </c>
      <c r="C50" s="141">
        <f t="shared" si="1"/>
        <v>209.79</v>
      </c>
      <c r="D50" s="141">
        <v>2969</v>
      </c>
      <c r="E50" s="147">
        <v>0</v>
      </c>
    </row>
    <row r="51" spans="1:5" ht="16.5" customHeight="1">
      <c r="A51" s="146" t="s">
        <v>103</v>
      </c>
      <c r="B51" s="141">
        <v>4493</v>
      </c>
      <c r="C51" s="141">
        <f t="shared" si="1"/>
        <v>4079.25</v>
      </c>
      <c r="D51" s="141">
        <v>700</v>
      </c>
      <c r="E51" s="147">
        <v>0</v>
      </c>
    </row>
    <row r="52" spans="1:5" ht="16.5" customHeight="1">
      <c r="A52" s="146" t="s">
        <v>104</v>
      </c>
      <c r="B52" s="141">
        <v>7201</v>
      </c>
      <c r="C52" s="141">
        <f t="shared" si="1"/>
        <v>50981.56</v>
      </c>
      <c r="D52" s="141">
        <v>995</v>
      </c>
      <c r="E52" s="147">
        <v>0</v>
      </c>
    </row>
    <row r="53" spans="1:5" ht="16.5" customHeight="1">
      <c r="A53" s="146" t="s">
        <v>105</v>
      </c>
      <c r="B53" s="141">
        <v>893</v>
      </c>
      <c r="C53" s="141">
        <f t="shared" si="1"/>
        <v>1025.6399999999999</v>
      </c>
      <c r="D53" s="141">
        <v>121</v>
      </c>
      <c r="E53" s="147">
        <v>0</v>
      </c>
    </row>
    <row r="54" spans="1:5" ht="16.5" customHeight="1">
      <c r="A54" s="146" t="s">
        <v>106</v>
      </c>
      <c r="B54" s="141">
        <v>3337</v>
      </c>
      <c r="C54" s="141">
        <f t="shared" si="1"/>
        <v>9663.289999999999</v>
      </c>
      <c r="D54" s="141">
        <v>229</v>
      </c>
      <c r="E54" s="147">
        <v>0</v>
      </c>
    </row>
    <row r="55" spans="1:5" ht="16.5" customHeight="1">
      <c r="A55" s="146" t="s">
        <v>107</v>
      </c>
      <c r="B55" s="141">
        <v>5918</v>
      </c>
      <c r="C55" s="141">
        <f t="shared" si="1"/>
        <v>28344.96</v>
      </c>
      <c r="D55" s="141">
        <v>896</v>
      </c>
      <c r="E55" s="147">
        <v>0</v>
      </c>
    </row>
    <row r="56" spans="1:5" ht="16.5" customHeight="1">
      <c r="A56" s="146" t="s">
        <v>108</v>
      </c>
      <c r="B56" s="141">
        <v>2602</v>
      </c>
      <c r="C56" s="141">
        <f t="shared" si="1"/>
        <v>18111.87</v>
      </c>
      <c r="D56" s="141">
        <v>308</v>
      </c>
      <c r="E56" s="147">
        <v>0</v>
      </c>
    </row>
    <row r="57" spans="1:5" ht="16.5" customHeight="1">
      <c r="A57" s="146" t="s">
        <v>109</v>
      </c>
      <c r="B57" s="141">
        <v>2805</v>
      </c>
      <c r="C57" s="141">
        <f t="shared" si="1"/>
        <v>13602.679999999998</v>
      </c>
      <c r="D57" s="141">
        <v>467</v>
      </c>
      <c r="E57" s="147">
        <v>0</v>
      </c>
    </row>
    <row r="58" spans="1:5" ht="16.5" customHeight="1">
      <c r="A58" s="146" t="s">
        <v>110</v>
      </c>
      <c r="B58" s="141">
        <v>5075</v>
      </c>
      <c r="C58" s="141">
        <f t="shared" si="1"/>
        <v>24620.539999999997</v>
      </c>
      <c r="D58" s="141">
        <v>1685</v>
      </c>
      <c r="E58" s="147">
        <v>0</v>
      </c>
    </row>
    <row r="59" spans="1:5" ht="16.5" customHeight="1">
      <c r="A59" s="146" t="s">
        <v>111</v>
      </c>
      <c r="B59" s="141">
        <v>11718</v>
      </c>
      <c r="C59" s="141">
        <f t="shared" si="1"/>
        <v>11126.64</v>
      </c>
      <c r="D59" s="141">
        <v>4362</v>
      </c>
      <c r="E59" s="147">
        <v>0</v>
      </c>
    </row>
    <row r="60" spans="1:5" ht="16.5" customHeight="1">
      <c r="A60" s="146" t="s">
        <v>112</v>
      </c>
      <c r="B60" s="141">
        <v>1115</v>
      </c>
      <c r="C60" s="141">
        <f t="shared" si="1"/>
        <v>34452.18</v>
      </c>
      <c r="D60" s="141">
        <v>55</v>
      </c>
      <c r="E60" s="147">
        <v>0</v>
      </c>
    </row>
    <row r="61" spans="1:5" ht="16.5" customHeight="1">
      <c r="A61" s="146" t="s">
        <v>113</v>
      </c>
      <c r="B61" s="141">
        <v>447</v>
      </c>
      <c r="C61" s="141">
        <f t="shared" si="1"/>
        <v>3758.0899999999997</v>
      </c>
      <c r="D61" s="141">
        <v>130</v>
      </c>
      <c r="E61" s="147">
        <v>0</v>
      </c>
    </row>
    <row r="62" spans="1:5" ht="16.5" customHeight="1">
      <c r="A62" s="146" t="s">
        <v>114</v>
      </c>
      <c r="B62" s="141">
        <v>8728</v>
      </c>
      <c r="C62" s="141">
        <f t="shared" si="1"/>
        <v>21004.899999999998</v>
      </c>
      <c r="D62" s="141">
        <v>985</v>
      </c>
      <c r="E62" s="147">
        <v>0</v>
      </c>
    </row>
    <row r="63" spans="1:5" ht="16.5" customHeight="1">
      <c r="A63" s="146" t="s">
        <v>115</v>
      </c>
      <c r="B63" s="141">
        <v>6848</v>
      </c>
      <c r="C63" s="141">
        <f t="shared" si="1"/>
        <v>36055.39</v>
      </c>
      <c r="D63" s="141">
        <v>1560</v>
      </c>
      <c r="E63" s="147">
        <v>0</v>
      </c>
    </row>
    <row r="64" spans="1:5" ht="16.5" customHeight="1">
      <c r="A64" s="146" t="s">
        <v>116</v>
      </c>
      <c r="B64" s="141">
        <v>7332</v>
      </c>
      <c r="C64" s="141">
        <f t="shared" si="1"/>
        <v>14781.13</v>
      </c>
      <c r="D64" s="141">
        <v>330</v>
      </c>
      <c r="E64" s="147">
        <v>0</v>
      </c>
    </row>
    <row r="65" spans="1:5" ht="16.5" customHeight="1">
      <c r="A65" s="146" t="s">
        <v>117</v>
      </c>
      <c r="B65" s="141">
        <v>18890</v>
      </c>
      <c r="C65" s="141">
        <f t="shared" si="1"/>
        <v>8850.029999999999</v>
      </c>
      <c r="D65" s="141">
        <v>3154</v>
      </c>
      <c r="E65" s="147">
        <v>0</v>
      </c>
    </row>
    <row r="66" spans="1:5" ht="16.5" customHeight="1">
      <c r="A66" s="146" t="s">
        <v>118</v>
      </c>
      <c r="B66" s="141">
        <v>11439</v>
      </c>
      <c r="C66" s="141">
        <f t="shared" si="1"/>
        <v>53667.39</v>
      </c>
      <c r="D66" s="141">
        <v>505</v>
      </c>
      <c r="E66" s="147">
        <v>0</v>
      </c>
    </row>
    <row r="67" spans="1:5" ht="16.5" customHeight="1">
      <c r="A67" s="146" t="s">
        <v>119</v>
      </c>
      <c r="B67" s="141">
        <v>25008</v>
      </c>
      <c r="C67" s="141">
        <f t="shared" si="1"/>
        <v>16342.9</v>
      </c>
      <c r="D67" s="141">
        <v>923</v>
      </c>
      <c r="E67" s="147">
        <v>0</v>
      </c>
    </row>
    <row r="68" spans="1:5" ht="16.5" customHeight="1">
      <c r="A68" s="146" t="s">
        <v>120</v>
      </c>
      <c r="B68" s="141">
        <v>31165</v>
      </c>
      <c r="C68" s="141">
        <f>+C143*2.59</f>
        <v>19748.75</v>
      </c>
      <c r="D68" s="141">
        <v>1783</v>
      </c>
      <c r="E68" s="147">
        <v>0</v>
      </c>
    </row>
    <row r="69" spans="1:5" ht="16.5" customHeight="1">
      <c r="A69" s="146" t="s">
        <v>121</v>
      </c>
      <c r="B69" s="141">
        <v>18768</v>
      </c>
      <c r="C69" s="141">
        <f>+C144*2.59</f>
        <v>12302.5</v>
      </c>
      <c r="D69" s="141">
        <v>2000</v>
      </c>
      <c r="E69" s="147">
        <v>0</v>
      </c>
    </row>
    <row r="70" spans="1:5" ht="16.5" customHeight="1">
      <c r="A70" s="148"/>
      <c r="B70" s="87"/>
      <c r="C70" s="87"/>
      <c r="D70" s="87"/>
      <c r="E70" s="149"/>
    </row>
    <row r="71" spans="1:5" ht="16.5" customHeight="1">
      <c r="A71" s="150" t="s">
        <v>125</v>
      </c>
      <c r="B71" s="139">
        <f>SUM(B4:B69)</f>
        <v>645710</v>
      </c>
      <c r="C71" s="139">
        <f>SUM(C4:C69)</f>
        <v>664612.13</v>
      </c>
      <c r="D71" s="139">
        <f>SUM(D4:D69)</f>
        <v>98414</v>
      </c>
      <c r="E71" s="151"/>
    </row>
    <row r="72" spans="1:5" ht="16.5" customHeight="1">
      <c r="A72" s="150" t="s">
        <v>126</v>
      </c>
      <c r="B72" s="139">
        <f>AVERAGE(B4:B69)</f>
        <v>9783.484848484848</v>
      </c>
      <c r="C72" s="139">
        <f>AVERAGE(C4:C69)</f>
        <v>10069.880757575758</v>
      </c>
      <c r="D72" s="139">
        <f>AVERAGE(D4:D69)</f>
        <v>1491.121212121212</v>
      </c>
      <c r="E72" s="152">
        <f>AVERAGE(E4:E69)</f>
        <v>0.029696969696969697</v>
      </c>
    </row>
    <row r="78" ht="25.5" customHeight="1">
      <c r="C78" s="197" t="s">
        <v>159</v>
      </c>
    </row>
    <row r="79" ht="12.75">
      <c r="C79" s="144">
        <v>1105</v>
      </c>
    </row>
    <row r="80" ht="12.75">
      <c r="C80" s="141">
        <v>8043</v>
      </c>
    </row>
    <row r="81" ht="12.75">
      <c r="C81" s="141">
        <v>12296</v>
      </c>
    </row>
    <row r="82" ht="12.75">
      <c r="C82" s="141">
        <v>624</v>
      </c>
    </row>
    <row r="83" ht="12.75">
      <c r="C83" s="141">
        <v>2240</v>
      </c>
    </row>
    <row r="84" ht="12.75">
      <c r="C84" s="141">
        <v>2601</v>
      </c>
    </row>
    <row r="85" ht="12.75">
      <c r="C85" s="141">
        <v>2812</v>
      </c>
    </row>
    <row r="86" ht="12.75">
      <c r="C86" s="141">
        <v>600</v>
      </c>
    </row>
    <row r="87" ht="12.75">
      <c r="C87" s="141">
        <v>581</v>
      </c>
    </row>
    <row r="88" ht="12.75">
      <c r="C88" s="141">
        <v>1476</v>
      </c>
    </row>
    <row r="89" ht="12.75">
      <c r="C89" s="141">
        <v>358</v>
      </c>
    </row>
    <row r="90" ht="12.75">
      <c r="C90" s="141">
        <v>1739</v>
      </c>
    </row>
    <row r="91" ht="12.75">
      <c r="C91" s="141">
        <v>1892</v>
      </c>
    </row>
    <row r="92" ht="12.75">
      <c r="C92" s="141">
        <v>353</v>
      </c>
    </row>
    <row r="93" ht="12.75">
      <c r="C93" s="141">
        <v>2903</v>
      </c>
    </row>
    <row r="94" ht="12.75">
      <c r="C94" s="141">
        <v>330</v>
      </c>
    </row>
    <row r="95" ht="12.75">
      <c r="C95" s="141">
        <v>1055</v>
      </c>
    </row>
    <row r="96" ht="12.75">
      <c r="C96" s="141">
        <v>3222</v>
      </c>
    </row>
    <row r="97" ht="12.75">
      <c r="C97" s="141">
        <v>2754</v>
      </c>
    </row>
    <row r="98" ht="12.75">
      <c r="C98" s="141">
        <v>2583</v>
      </c>
    </row>
    <row r="99" ht="12.75">
      <c r="C99" s="141">
        <v>2593</v>
      </c>
    </row>
    <row r="100" ht="12.75">
      <c r="C100" s="141">
        <v>3851</v>
      </c>
    </row>
    <row r="101" ht="12.75">
      <c r="C101" s="141">
        <v>5246</v>
      </c>
    </row>
    <row r="102" ht="12.75">
      <c r="C102" s="141">
        <v>3812</v>
      </c>
    </row>
    <row r="103" ht="12.75">
      <c r="C103" s="141">
        <v>2180</v>
      </c>
    </row>
    <row r="104" ht="12.75">
      <c r="C104" s="141">
        <v>706</v>
      </c>
    </row>
    <row r="105" ht="12.75">
      <c r="C105" s="141">
        <v>938</v>
      </c>
    </row>
    <row r="106" ht="12.75">
      <c r="C106" s="141">
        <v>4314</v>
      </c>
    </row>
    <row r="107" ht="12.75">
      <c r="C107" s="141">
        <v>3110</v>
      </c>
    </row>
    <row r="108" ht="12.75">
      <c r="C108" s="141">
        <v>2594</v>
      </c>
    </row>
    <row r="109" ht="12.75">
      <c r="C109" s="141">
        <v>4282</v>
      </c>
    </row>
    <row r="110" ht="12.75">
      <c r="C110" s="141">
        <v>14034</v>
      </c>
    </row>
    <row r="111" ht="12.75">
      <c r="C111" s="141">
        <v>4005</v>
      </c>
    </row>
    <row r="112" ht="12.75">
      <c r="C112" s="141">
        <v>99</v>
      </c>
    </row>
    <row r="113" ht="12.75">
      <c r="C113" s="141">
        <v>386</v>
      </c>
    </row>
    <row r="114" ht="12.75">
      <c r="C114" s="141">
        <v>139</v>
      </c>
    </row>
    <row r="115" ht="12.75">
      <c r="C115" s="141">
        <v>1160</v>
      </c>
    </row>
    <row r="116" ht="12.75">
      <c r="C116" s="141">
        <v>230</v>
      </c>
    </row>
    <row r="117" ht="12.75">
      <c r="C117" s="141">
        <v>108</v>
      </c>
    </row>
    <row r="118" ht="12.75">
      <c r="C118" s="141">
        <v>480</v>
      </c>
    </row>
    <row r="119" ht="12.75">
      <c r="C119" s="141">
        <v>931</v>
      </c>
    </row>
    <row r="120" ht="12.75">
      <c r="C120" s="141">
        <v>636</v>
      </c>
    </row>
    <row r="121" ht="12.75">
      <c r="C121" s="141">
        <v>34</v>
      </c>
    </row>
    <row r="122" ht="12.75">
      <c r="C122" s="141">
        <v>38</v>
      </c>
    </row>
    <row r="123" ht="12.75">
      <c r="C123" s="141">
        <v>1562</v>
      </c>
    </row>
    <row r="124" ht="12.75">
      <c r="C124" s="141">
        <v>1800</v>
      </c>
    </row>
    <row r="125" ht="12.75">
      <c r="C125" s="141">
        <v>81</v>
      </c>
    </row>
    <row r="126" ht="12.75">
      <c r="C126" s="141">
        <v>1575</v>
      </c>
    </row>
    <row r="127" ht="12.75">
      <c r="C127" s="141">
        <v>19684</v>
      </c>
    </row>
    <row r="128" ht="12.75">
      <c r="C128" s="141">
        <v>396</v>
      </c>
    </row>
    <row r="129" ht="12.75">
      <c r="C129" s="141">
        <v>3731</v>
      </c>
    </row>
    <row r="130" ht="12.75">
      <c r="C130" s="141">
        <v>10944</v>
      </c>
    </row>
    <row r="131" ht="12.75">
      <c r="C131" s="141">
        <v>6993</v>
      </c>
    </row>
    <row r="132" ht="12.75">
      <c r="C132" s="141">
        <v>5252</v>
      </c>
    </row>
    <row r="133" ht="12.75">
      <c r="C133" s="141">
        <v>9506</v>
      </c>
    </row>
    <row r="134" ht="12.75">
      <c r="C134" s="141">
        <v>4296</v>
      </c>
    </row>
    <row r="135" ht="12.75">
      <c r="C135" s="141">
        <v>13302</v>
      </c>
    </row>
    <row r="136" ht="12.75">
      <c r="C136" s="141">
        <v>1451</v>
      </c>
    </row>
    <row r="137" ht="12.75">
      <c r="C137" s="141">
        <v>8110</v>
      </c>
    </row>
    <row r="138" ht="12.75">
      <c r="C138" s="141">
        <v>13921</v>
      </c>
    </row>
    <row r="139" ht="12.75">
      <c r="C139" s="141">
        <v>5707</v>
      </c>
    </row>
    <row r="140" ht="12.75">
      <c r="C140" s="141">
        <v>3417</v>
      </c>
    </row>
    <row r="141" ht="12.75">
      <c r="C141" s="141">
        <v>20721</v>
      </c>
    </row>
    <row r="142" ht="12.75">
      <c r="C142" s="141">
        <v>6310</v>
      </c>
    </row>
    <row r="143" ht="12.75">
      <c r="C143" s="141">
        <v>7625</v>
      </c>
    </row>
    <row r="144" ht="12.75">
      <c r="C144" s="141">
        <v>4750</v>
      </c>
    </row>
    <row r="145" ht="12.75">
      <c r="C145" s="87"/>
    </row>
    <row r="146" ht="12.75">
      <c r="C146" s="139">
        <f>SUM(C79:C144)</f>
        <v>256607</v>
      </c>
    </row>
    <row r="147" ht="12.75">
      <c r="C147" s="139">
        <f>AVERAGE(C79:C144)</f>
        <v>3887.9848484848485</v>
      </c>
    </row>
  </sheetData>
  <mergeCells count="1">
    <mergeCell ref="A2:E2"/>
  </mergeCells>
  <printOptions/>
  <pageMargins left="0.5" right="0.5" top="0.96" bottom="0.75" header="0.5" footer="0.5"/>
  <pageSetup horizontalDpi="300" verticalDpi="300" orientation="portrait" r:id="rId1"/>
  <headerFooter alignWithMargins="0">
    <oddHeader>&amp;C&amp;"Arial Black,Italic"&amp;12This Page/Worksheet is NOT a active part of the EMS Module</oddHeader>
    <oddFooter>&amp;C&amp;P of &amp;N &amp;D</oddFooter>
  </headerFooter>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M70"/>
  <sheetViews>
    <sheetView showGridLines="0" view="pageBreakPreview" zoomScaleSheetLayoutView="100" workbookViewId="0" topLeftCell="B1">
      <selection activeCell="C3" sqref="C3"/>
    </sheetView>
  </sheetViews>
  <sheetFormatPr defaultColWidth="9.00390625" defaultRowHeight="12"/>
  <cols>
    <col min="2" max="2" width="17.125" style="0" customWidth="1"/>
    <col min="3" max="3" width="10.125" style="0" customWidth="1"/>
    <col min="4" max="5" width="10.25390625" style="0" customWidth="1"/>
    <col min="6" max="6" width="8.875" style="0" customWidth="1"/>
    <col min="7" max="7" width="8.00390625" style="0" customWidth="1"/>
    <col min="8" max="8" width="9.25390625" style="0" customWidth="1"/>
    <col min="9" max="9" width="7.25390625" style="0" customWidth="1"/>
    <col min="10" max="10" width="6.25390625" style="0" customWidth="1"/>
    <col min="11" max="11" width="6.625" style="0" customWidth="1"/>
    <col min="12" max="12" width="6.875" style="0" customWidth="1"/>
    <col min="13" max="13" width="14.75390625" style="0" customWidth="1"/>
    <col min="14" max="66" width="19.125" style="0" bestFit="1" customWidth="1"/>
  </cols>
  <sheetData>
    <row r="1" ht="19.5" customHeight="1">
      <c r="B1" s="256" t="s">
        <v>206</v>
      </c>
    </row>
    <row r="2" spans="2:13" ht="15">
      <c r="B2" s="325" t="s">
        <v>204</v>
      </c>
      <c r="C2" s="326"/>
      <c r="D2" s="326"/>
      <c r="E2" s="326"/>
      <c r="F2" s="327"/>
      <c r="G2" s="328" t="s">
        <v>205</v>
      </c>
      <c r="H2" s="329"/>
      <c r="I2" s="329"/>
      <c r="J2" s="329"/>
      <c r="K2" s="329"/>
      <c r="L2" s="329"/>
      <c r="M2" s="330"/>
    </row>
    <row r="3" spans="2:13" s="213" customFormat="1" ht="27.75" customHeight="1">
      <c r="B3" s="289" t="s">
        <v>166</v>
      </c>
      <c r="C3" s="289" t="s">
        <v>209</v>
      </c>
      <c r="D3" s="289" t="s">
        <v>200</v>
      </c>
      <c r="E3" s="289" t="s">
        <v>8</v>
      </c>
      <c r="F3" s="289" t="s">
        <v>201</v>
      </c>
      <c r="G3" s="288" t="s">
        <v>130</v>
      </c>
      <c r="H3" s="288" t="s">
        <v>155</v>
      </c>
      <c r="I3" s="288" t="s">
        <v>131</v>
      </c>
      <c r="J3" s="288" t="s">
        <v>132</v>
      </c>
      <c r="K3" s="288" t="s">
        <v>202</v>
      </c>
      <c r="L3" s="288" t="s">
        <v>143</v>
      </c>
      <c r="M3" s="220" t="s">
        <v>203</v>
      </c>
    </row>
    <row r="4" spans="2:13" ht="12">
      <c r="B4" s="214" t="s">
        <v>41</v>
      </c>
      <c r="C4" s="219">
        <v>1105</v>
      </c>
      <c r="D4" s="219">
        <v>100</v>
      </c>
      <c r="E4" s="219">
        <v>1312</v>
      </c>
      <c r="F4" s="216">
        <v>1</v>
      </c>
      <c r="G4" s="214">
        <v>0</v>
      </c>
      <c r="H4" s="214">
        <v>0</v>
      </c>
      <c r="I4" s="214">
        <v>0</v>
      </c>
      <c r="J4" s="214">
        <v>0</v>
      </c>
      <c r="K4" s="214">
        <v>0</v>
      </c>
      <c r="L4" s="215">
        <v>0</v>
      </c>
      <c r="M4" s="254">
        <v>111800</v>
      </c>
    </row>
    <row r="5" spans="2:13" ht="12">
      <c r="B5" s="214" t="s">
        <v>52</v>
      </c>
      <c r="C5" s="219">
        <v>8043</v>
      </c>
      <c r="D5" s="219">
        <v>4860</v>
      </c>
      <c r="E5" s="219">
        <v>13128</v>
      </c>
      <c r="F5" s="216">
        <v>0</v>
      </c>
      <c r="G5" s="214">
        <v>13.5</v>
      </c>
      <c r="H5" s="214">
        <v>13.5</v>
      </c>
      <c r="I5" s="214">
        <v>2</v>
      </c>
      <c r="J5" s="214">
        <v>2</v>
      </c>
      <c r="K5" s="214">
        <v>31</v>
      </c>
      <c r="L5" s="215">
        <v>4</v>
      </c>
      <c r="M5" s="254">
        <v>1274000</v>
      </c>
    </row>
    <row r="6" spans="2:13" ht="12">
      <c r="B6" s="214" t="s">
        <v>53</v>
      </c>
      <c r="C6" s="219">
        <v>12296</v>
      </c>
      <c r="D6" s="219">
        <v>6021</v>
      </c>
      <c r="E6" s="219">
        <v>22577</v>
      </c>
      <c r="F6" s="216">
        <v>0</v>
      </c>
      <c r="G6" s="214">
        <v>18.5</v>
      </c>
      <c r="H6" s="214">
        <v>18.5</v>
      </c>
      <c r="I6" s="214">
        <v>2</v>
      </c>
      <c r="J6" s="214">
        <v>2</v>
      </c>
      <c r="K6" s="214">
        <v>41</v>
      </c>
      <c r="L6" s="215">
        <v>5</v>
      </c>
      <c r="M6" s="254">
        <v>1677000</v>
      </c>
    </row>
    <row r="7" spans="2:13" ht="12">
      <c r="B7" s="214" t="s">
        <v>54</v>
      </c>
      <c r="C7" s="219">
        <v>624</v>
      </c>
      <c r="D7" s="219">
        <v>145</v>
      </c>
      <c r="E7" s="219">
        <v>1546</v>
      </c>
      <c r="F7" s="216">
        <v>1</v>
      </c>
      <c r="G7" s="214">
        <v>0</v>
      </c>
      <c r="H7" s="214">
        <v>0</v>
      </c>
      <c r="I7" s="214">
        <v>0</v>
      </c>
      <c r="J7" s="214">
        <v>0</v>
      </c>
      <c r="K7" s="214">
        <v>0</v>
      </c>
      <c r="L7" s="215">
        <v>0</v>
      </c>
      <c r="M7" s="254">
        <v>131950</v>
      </c>
    </row>
    <row r="8" spans="2:13" ht="12">
      <c r="B8" s="214" t="s">
        <v>55</v>
      </c>
      <c r="C8" s="219">
        <v>2240</v>
      </c>
      <c r="D8" s="219">
        <v>1422</v>
      </c>
      <c r="E8" s="219">
        <v>6850</v>
      </c>
      <c r="F8" s="216">
        <v>0</v>
      </c>
      <c r="G8" s="214">
        <v>6.5</v>
      </c>
      <c r="H8" s="214">
        <v>6.5</v>
      </c>
      <c r="I8" s="214">
        <v>1</v>
      </c>
      <c r="J8" s="214">
        <v>1</v>
      </c>
      <c r="K8" s="214">
        <v>15</v>
      </c>
      <c r="L8" s="215">
        <v>2</v>
      </c>
      <c r="M8" s="254">
        <v>617500</v>
      </c>
    </row>
    <row r="9" spans="2:13" ht="12">
      <c r="B9" s="214" t="s">
        <v>56</v>
      </c>
      <c r="C9" s="219">
        <v>2601</v>
      </c>
      <c r="D9" s="219">
        <v>3900</v>
      </c>
      <c r="E9" s="219">
        <v>14945</v>
      </c>
      <c r="F9" s="216">
        <v>0</v>
      </c>
      <c r="G9" s="214">
        <v>11.5</v>
      </c>
      <c r="H9" s="214">
        <v>11.5</v>
      </c>
      <c r="I9" s="214">
        <v>2</v>
      </c>
      <c r="J9" s="214">
        <v>2</v>
      </c>
      <c r="K9" s="214">
        <v>27</v>
      </c>
      <c r="L9" s="215">
        <v>3</v>
      </c>
      <c r="M9" s="254">
        <v>1105000</v>
      </c>
    </row>
    <row r="10" spans="2:13" ht="12">
      <c r="B10" s="214" t="s">
        <v>57</v>
      </c>
      <c r="C10" s="219">
        <v>2812</v>
      </c>
      <c r="D10" s="219">
        <v>4850</v>
      </c>
      <c r="E10" s="219">
        <v>11779</v>
      </c>
      <c r="F10" s="216">
        <v>0</v>
      </c>
      <c r="G10" s="214">
        <v>12.5</v>
      </c>
      <c r="H10" s="214">
        <v>12.5</v>
      </c>
      <c r="I10" s="214">
        <v>2</v>
      </c>
      <c r="J10" s="214">
        <v>2</v>
      </c>
      <c r="K10" s="214">
        <v>29</v>
      </c>
      <c r="L10" s="215">
        <v>4</v>
      </c>
      <c r="M10" s="254">
        <v>1196000</v>
      </c>
    </row>
    <row r="11" spans="2:13" ht="12">
      <c r="B11" s="214" t="s">
        <v>58</v>
      </c>
      <c r="C11" s="219">
        <v>600</v>
      </c>
      <c r="D11" s="219">
        <v>162</v>
      </c>
      <c r="E11" s="219">
        <v>1038</v>
      </c>
      <c r="F11" s="216">
        <v>1</v>
      </c>
      <c r="G11" s="214">
        <v>0</v>
      </c>
      <c r="H11" s="214">
        <v>0</v>
      </c>
      <c r="I11" s="214">
        <v>0</v>
      </c>
      <c r="J11" s="214">
        <v>0</v>
      </c>
      <c r="K11" s="214">
        <v>0</v>
      </c>
      <c r="L11" s="215">
        <v>0</v>
      </c>
      <c r="M11" s="254">
        <v>88400</v>
      </c>
    </row>
    <row r="12" spans="2:13" ht="12">
      <c r="B12" s="214" t="s">
        <v>59</v>
      </c>
      <c r="C12" s="219">
        <v>581</v>
      </c>
      <c r="D12" s="219">
        <v>7300</v>
      </c>
      <c r="E12" s="219">
        <v>19677</v>
      </c>
      <c r="F12" s="216">
        <v>0</v>
      </c>
      <c r="G12" s="214">
        <v>18.5</v>
      </c>
      <c r="H12" s="214">
        <v>18.5</v>
      </c>
      <c r="I12" s="214">
        <v>2</v>
      </c>
      <c r="J12" s="214">
        <v>2</v>
      </c>
      <c r="K12" s="214">
        <v>41</v>
      </c>
      <c r="L12" s="215">
        <v>5</v>
      </c>
      <c r="M12" s="254">
        <v>1677000</v>
      </c>
    </row>
    <row r="13" spans="2:13" ht="12">
      <c r="B13" s="214" t="s">
        <v>60</v>
      </c>
      <c r="C13" s="219">
        <v>1476</v>
      </c>
      <c r="D13" s="219">
        <v>604</v>
      </c>
      <c r="E13" s="219">
        <v>1477</v>
      </c>
      <c r="F13" s="216">
        <v>1</v>
      </c>
      <c r="G13" s="214">
        <v>0</v>
      </c>
      <c r="H13" s="214">
        <v>0</v>
      </c>
      <c r="I13" s="214">
        <v>0</v>
      </c>
      <c r="J13" s="214">
        <v>0</v>
      </c>
      <c r="K13" s="214">
        <v>0</v>
      </c>
      <c r="L13" s="215">
        <v>0</v>
      </c>
      <c r="M13" s="254">
        <v>126100</v>
      </c>
    </row>
    <row r="14" spans="2:13" ht="12">
      <c r="B14" s="214" t="s">
        <v>61</v>
      </c>
      <c r="C14" s="219">
        <v>358</v>
      </c>
      <c r="D14" s="219">
        <v>3895</v>
      </c>
      <c r="E14" s="219">
        <v>6769</v>
      </c>
      <c r="F14" s="216">
        <v>0</v>
      </c>
      <c r="G14" s="214">
        <v>10.5</v>
      </c>
      <c r="H14" s="214">
        <v>10.5</v>
      </c>
      <c r="I14" s="214">
        <v>1</v>
      </c>
      <c r="J14" s="214">
        <v>1</v>
      </c>
      <c r="K14" s="214">
        <v>23</v>
      </c>
      <c r="L14" s="215">
        <v>3</v>
      </c>
      <c r="M14" s="254">
        <v>942500</v>
      </c>
    </row>
    <row r="15" spans="2:13" ht="12">
      <c r="B15" s="214" t="s">
        <v>62</v>
      </c>
      <c r="C15" s="219">
        <v>1739</v>
      </c>
      <c r="D15" s="219">
        <v>190</v>
      </c>
      <c r="E15" s="219">
        <v>1849</v>
      </c>
      <c r="F15" s="216">
        <v>1</v>
      </c>
      <c r="G15" s="214">
        <v>0</v>
      </c>
      <c r="H15" s="214">
        <v>0</v>
      </c>
      <c r="I15" s="214">
        <v>0</v>
      </c>
      <c r="J15" s="214">
        <v>0</v>
      </c>
      <c r="K15" s="214">
        <v>0</v>
      </c>
      <c r="L15" s="215">
        <v>0</v>
      </c>
      <c r="M15" s="254">
        <v>157950</v>
      </c>
    </row>
    <row r="16" spans="2:13" ht="12">
      <c r="B16" s="214" t="s">
        <v>63</v>
      </c>
      <c r="C16" s="219">
        <v>1892</v>
      </c>
      <c r="D16" s="219">
        <v>1200</v>
      </c>
      <c r="E16" s="219">
        <v>5302</v>
      </c>
      <c r="F16" s="216">
        <v>0</v>
      </c>
      <c r="G16" s="214">
        <v>5.5</v>
      </c>
      <c r="H16" s="214">
        <v>5.5</v>
      </c>
      <c r="I16" s="214">
        <v>1</v>
      </c>
      <c r="J16" s="214">
        <v>1</v>
      </c>
      <c r="K16" s="214">
        <v>13</v>
      </c>
      <c r="L16" s="215">
        <v>2</v>
      </c>
      <c r="M16" s="254">
        <v>539500</v>
      </c>
    </row>
    <row r="17" spans="2:13" ht="12">
      <c r="B17" s="214" t="s">
        <v>64</v>
      </c>
      <c r="C17" s="219">
        <v>353</v>
      </c>
      <c r="D17" s="219">
        <v>1200</v>
      </c>
      <c r="E17" s="219">
        <v>4755</v>
      </c>
      <c r="F17" s="216">
        <v>0</v>
      </c>
      <c r="G17" s="214">
        <v>5</v>
      </c>
      <c r="H17" s="214">
        <v>5</v>
      </c>
      <c r="I17" s="214">
        <v>1</v>
      </c>
      <c r="J17" s="214">
        <v>1</v>
      </c>
      <c r="K17" s="214">
        <v>12</v>
      </c>
      <c r="L17" s="215">
        <v>2</v>
      </c>
      <c r="M17" s="254">
        <v>500500</v>
      </c>
    </row>
    <row r="18" spans="2:13" ht="12">
      <c r="B18" s="214" t="s">
        <v>65</v>
      </c>
      <c r="C18" s="219">
        <v>2903</v>
      </c>
      <c r="D18" s="219">
        <v>3069</v>
      </c>
      <c r="E18" s="219">
        <v>11459</v>
      </c>
      <c r="F18" s="216">
        <v>0</v>
      </c>
      <c r="G18" s="214">
        <v>10.5</v>
      </c>
      <c r="H18" s="214">
        <v>10.5</v>
      </c>
      <c r="I18" s="214">
        <v>1</v>
      </c>
      <c r="J18" s="214">
        <v>1</v>
      </c>
      <c r="K18" s="214">
        <v>23</v>
      </c>
      <c r="L18" s="215">
        <v>3</v>
      </c>
      <c r="M18" s="254">
        <v>942500</v>
      </c>
    </row>
    <row r="19" spans="2:13" ht="12">
      <c r="B19" s="214" t="s">
        <v>66</v>
      </c>
      <c r="C19" s="219">
        <v>330</v>
      </c>
      <c r="D19" s="219">
        <v>1004</v>
      </c>
      <c r="E19" s="219">
        <v>3551</v>
      </c>
      <c r="F19" s="216">
        <v>0</v>
      </c>
      <c r="G19" s="214">
        <v>4.5</v>
      </c>
      <c r="H19" s="214">
        <v>4.5</v>
      </c>
      <c r="I19" s="214">
        <v>1</v>
      </c>
      <c r="J19" s="214">
        <v>1</v>
      </c>
      <c r="K19" s="214">
        <v>11</v>
      </c>
      <c r="L19" s="215">
        <v>2</v>
      </c>
      <c r="M19" s="254">
        <v>461500</v>
      </c>
    </row>
    <row r="20" spans="2:13" ht="12">
      <c r="B20" s="214" t="s">
        <v>67</v>
      </c>
      <c r="C20" s="219">
        <v>1055</v>
      </c>
      <c r="D20" s="219">
        <v>1200</v>
      </c>
      <c r="E20" s="219">
        <v>4478</v>
      </c>
      <c r="F20" s="216">
        <v>0</v>
      </c>
      <c r="G20" s="214">
        <v>5</v>
      </c>
      <c r="H20" s="214">
        <v>5</v>
      </c>
      <c r="I20" s="214">
        <v>1</v>
      </c>
      <c r="J20" s="214">
        <v>1</v>
      </c>
      <c r="K20" s="214">
        <v>12</v>
      </c>
      <c r="L20" s="215">
        <v>2</v>
      </c>
      <c r="M20" s="254">
        <v>500500</v>
      </c>
    </row>
    <row r="21" spans="2:13" ht="12">
      <c r="B21" s="214" t="s">
        <v>45</v>
      </c>
      <c r="C21" s="219">
        <v>3222</v>
      </c>
      <c r="D21" s="219">
        <v>2588</v>
      </c>
      <c r="E21" s="219">
        <v>37918</v>
      </c>
      <c r="F21" s="216">
        <v>0.2</v>
      </c>
      <c r="G21" s="214">
        <v>15.5</v>
      </c>
      <c r="H21" s="214">
        <v>15.5</v>
      </c>
      <c r="I21" s="214">
        <v>2</v>
      </c>
      <c r="J21" s="214">
        <v>2</v>
      </c>
      <c r="K21" s="214">
        <v>35</v>
      </c>
      <c r="L21" s="215">
        <v>4</v>
      </c>
      <c r="M21" s="254">
        <v>2076100</v>
      </c>
    </row>
    <row r="22" spans="2:13" ht="12">
      <c r="B22" s="214" t="s">
        <v>46</v>
      </c>
      <c r="C22" s="219">
        <v>2754</v>
      </c>
      <c r="D22" s="219">
        <v>904</v>
      </c>
      <c r="E22" s="219">
        <v>22298</v>
      </c>
      <c r="F22" s="216">
        <v>0.29</v>
      </c>
      <c r="G22" s="214">
        <v>9.5</v>
      </c>
      <c r="H22" s="214">
        <v>9.5</v>
      </c>
      <c r="I22" s="214">
        <v>1</v>
      </c>
      <c r="J22" s="214">
        <v>1</v>
      </c>
      <c r="K22" s="214">
        <v>21</v>
      </c>
      <c r="L22" s="215">
        <v>3</v>
      </c>
      <c r="M22" s="254">
        <v>1415700</v>
      </c>
    </row>
    <row r="23" spans="2:13" ht="12">
      <c r="B23" s="214" t="s">
        <v>47</v>
      </c>
      <c r="C23" s="219">
        <v>2583</v>
      </c>
      <c r="D23" s="219">
        <v>1843</v>
      </c>
      <c r="E23" s="219">
        <v>31018</v>
      </c>
      <c r="F23" s="216">
        <v>0.3</v>
      </c>
      <c r="G23" s="214">
        <v>11.5</v>
      </c>
      <c r="H23" s="214">
        <v>11.5</v>
      </c>
      <c r="I23" s="214">
        <v>2</v>
      </c>
      <c r="J23" s="214">
        <v>2</v>
      </c>
      <c r="K23" s="214">
        <v>27</v>
      </c>
      <c r="L23" s="215">
        <v>3</v>
      </c>
      <c r="M23" s="254">
        <v>1898000</v>
      </c>
    </row>
    <row r="24" spans="2:13" ht="12">
      <c r="B24" s="214" t="s">
        <v>48</v>
      </c>
      <c r="C24" s="219">
        <v>2593</v>
      </c>
      <c r="D24" s="219">
        <v>1055</v>
      </c>
      <c r="E24" s="219">
        <v>44451</v>
      </c>
      <c r="F24" s="216">
        <v>0.34</v>
      </c>
      <c r="G24" s="214">
        <v>14.5</v>
      </c>
      <c r="H24" s="214">
        <v>14.5</v>
      </c>
      <c r="I24" s="214">
        <v>2</v>
      </c>
      <c r="J24" s="214">
        <v>2</v>
      </c>
      <c r="K24" s="214">
        <v>33</v>
      </c>
      <c r="L24" s="215">
        <v>4</v>
      </c>
      <c r="M24" s="254">
        <v>2639000</v>
      </c>
    </row>
    <row r="25" spans="2:13" ht="12">
      <c r="B25" s="214" t="s">
        <v>49</v>
      </c>
      <c r="C25" s="219">
        <v>3851</v>
      </c>
      <c r="D25" s="219">
        <v>1940</v>
      </c>
      <c r="E25" s="219">
        <v>20465</v>
      </c>
      <c r="F25" s="216">
        <v>0.19</v>
      </c>
      <c r="G25" s="214">
        <v>10</v>
      </c>
      <c r="H25" s="214">
        <v>10</v>
      </c>
      <c r="I25" s="214">
        <v>1</v>
      </c>
      <c r="J25" s="214">
        <v>1</v>
      </c>
      <c r="K25" s="214">
        <v>22</v>
      </c>
      <c r="L25" s="215">
        <v>3</v>
      </c>
      <c r="M25" s="254">
        <v>1235000</v>
      </c>
    </row>
    <row r="26" spans="2:13" ht="12">
      <c r="B26" s="214" t="s">
        <v>50</v>
      </c>
      <c r="C26" s="219">
        <v>5246</v>
      </c>
      <c r="D26" s="219">
        <v>2510</v>
      </c>
      <c r="E26" s="219">
        <v>52225</v>
      </c>
      <c r="F26" s="216">
        <v>0.19</v>
      </c>
      <c r="G26" s="214">
        <v>20</v>
      </c>
      <c r="H26" s="214">
        <v>20</v>
      </c>
      <c r="I26" s="214">
        <v>3</v>
      </c>
      <c r="J26" s="214">
        <v>3</v>
      </c>
      <c r="K26" s="214">
        <v>46</v>
      </c>
      <c r="L26" s="215">
        <v>6</v>
      </c>
      <c r="M26" s="254">
        <v>2736500</v>
      </c>
    </row>
    <row r="27" spans="2:13" ht="12">
      <c r="B27" s="214" t="s">
        <v>44</v>
      </c>
      <c r="C27" s="219">
        <v>3812</v>
      </c>
      <c r="D27" s="219">
        <v>2588</v>
      </c>
      <c r="E27" s="219">
        <v>29037</v>
      </c>
      <c r="F27" s="216">
        <v>0.2</v>
      </c>
      <c r="G27" s="214">
        <v>12</v>
      </c>
      <c r="H27" s="214">
        <v>12</v>
      </c>
      <c r="I27" s="214">
        <v>2</v>
      </c>
      <c r="J27" s="214">
        <v>2</v>
      </c>
      <c r="K27" s="214">
        <v>28</v>
      </c>
      <c r="L27" s="215">
        <v>4</v>
      </c>
      <c r="M27" s="254">
        <v>1651650</v>
      </c>
    </row>
    <row r="28" spans="2:13" ht="12">
      <c r="B28" s="214" t="s">
        <v>51</v>
      </c>
      <c r="C28" s="219">
        <v>2180</v>
      </c>
      <c r="D28" s="219">
        <v>992</v>
      </c>
      <c r="E28" s="219">
        <v>15970</v>
      </c>
      <c r="F28" s="216">
        <v>0.25</v>
      </c>
      <c r="G28" s="214">
        <v>8</v>
      </c>
      <c r="H28" s="214">
        <v>8</v>
      </c>
      <c r="I28" s="214">
        <v>1</v>
      </c>
      <c r="J28" s="214">
        <v>1</v>
      </c>
      <c r="K28" s="214">
        <v>18</v>
      </c>
      <c r="L28" s="215">
        <v>2</v>
      </c>
      <c r="M28" s="254">
        <v>1075100</v>
      </c>
    </row>
    <row r="29" spans="2:13" ht="12">
      <c r="B29" s="214" t="s">
        <v>81</v>
      </c>
      <c r="C29" s="219">
        <v>706</v>
      </c>
      <c r="D29" s="219">
        <v>3069</v>
      </c>
      <c r="E29" s="219">
        <v>7027</v>
      </c>
      <c r="F29" s="216">
        <v>0</v>
      </c>
      <c r="G29" s="214">
        <v>9</v>
      </c>
      <c r="H29" s="214">
        <v>9</v>
      </c>
      <c r="I29" s="214">
        <v>1</v>
      </c>
      <c r="J29" s="214">
        <v>1</v>
      </c>
      <c r="K29" s="214">
        <v>20</v>
      </c>
      <c r="L29" s="215">
        <v>3</v>
      </c>
      <c r="M29" s="254">
        <v>825500</v>
      </c>
    </row>
    <row r="30" spans="2:13" ht="12">
      <c r="B30" s="214" t="s">
        <v>82</v>
      </c>
      <c r="C30" s="219">
        <v>938</v>
      </c>
      <c r="D30" s="219">
        <v>1189</v>
      </c>
      <c r="E30" s="219">
        <v>13156</v>
      </c>
      <c r="F30" s="216">
        <v>0</v>
      </c>
      <c r="G30" s="214">
        <v>8</v>
      </c>
      <c r="H30" s="214">
        <v>8</v>
      </c>
      <c r="I30" s="214">
        <v>1</v>
      </c>
      <c r="J30" s="214">
        <v>1</v>
      </c>
      <c r="K30" s="214">
        <v>18</v>
      </c>
      <c r="L30" s="215">
        <v>2</v>
      </c>
      <c r="M30" s="254">
        <v>734500</v>
      </c>
    </row>
    <row r="31" spans="2:13" ht="12">
      <c r="B31" s="214" t="s">
        <v>83</v>
      </c>
      <c r="C31" s="219">
        <v>4314</v>
      </c>
      <c r="D31" s="219">
        <v>1229</v>
      </c>
      <c r="E31" s="219">
        <v>3684</v>
      </c>
      <c r="F31" s="216">
        <v>0</v>
      </c>
      <c r="G31" s="214">
        <v>5.5</v>
      </c>
      <c r="H31" s="214">
        <v>5.5</v>
      </c>
      <c r="I31" s="214">
        <v>1</v>
      </c>
      <c r="J31" s="214">
        <v>1</v>
      </c>
      <c r="K31" s="214">
        <v>13</v>
      </c>
      <c r="L31" s="215">
        <v>2</v>
      </c>
      <c r="M31" s="254">
        <v>539500</v>
      </c>
    </row>
    <row r="32" spans="2:13" ht="12">
      <c r="B32" s="214" t="s">
        <v>84</v>
      </c>
      <c r="C32" s="219">
        <v>3110</v>
      </c>
      <c r="D32" s="219">
        <v>504</v>
      </c>
      <c r="E32" s="219">
        <v>2020</v>
      </c>
      <c r="F32" s="216">
        <v>1</v>
      </c>
      <c r="G32" s="214">
        <v>0</v>
      </c>
      <c r="H32" s="214">
        <v>0</v>
      </c>
      <c r="I32" s="214">
        <v>0</v>
      </c>
      <c r="J32" s="214">
        <v>0</v>
      </c>
      <c r="K32" s="214">
        <v>0</v>
      </c>
      <c r="L32" s="215">
        <v>0</v>
      </c>
      <c r="M32" s="254">
        <v>172250</v>
      </c>
    </row>
    <row r="33" spans="2:13" ht="12">
      <c r="B33" s="214" t="s">
        <v>85</v>
      </c>
      <c r="C33" s="219">
        <v>2594</v>
      </c>
      <c r="D33" s="219">
        <v>550</v>
      </c>
      <c r="E33" s="219">
        <v>3607</v>
      </c>
      <c r="F33" s="216">
        <v>0</v>
      </c>
      <c r="G33" s="214">
        <v>4.5</v>
      </c>
      <c r="H33" s="214">
        <v>4.5</v>
      </c>
      <c r="I33" s="214">
        <v>1</v>
      </c>
      <c r="J33" s="214">
        <v>1</v>
      </c>
      <c r="K33" s="214">
        <v>11</v>
      </c>
      <c r="L33" s="215">
        <v>2</v>
      </c>
      <c r="M33" s="254">
        <v>461500</v>
      </c>
    </row>
    <row r="34" spans="2:13" ht="12">
      <c r="B34" s="214" t="s">
        <v>86</v>
      </c>
      <c r="C34" s="219">
        <v>4282</v>
      </c>
      <c r="D34" s="219">
        <v>700</v>
      </c>
      <c r="E34" s="219">
        <v>4973</v>
      </c>
      <c r="F34" s="216">
        <v>0</v>
      </c>
      <c r="G34" s="214">
        <v>4.5</v>
      </c>
      <c r="H34" s="214">
        <v>4.5</v>
      </c>
      <c r="I34" s="214">
        <v>1</v>
      </c>
      <c r="J34" s="214">
        <v>1</v>
      </c>
      <c r="K34" s="214">
        <v>11</v>
      </c>
      <c r="L34" s="215">
        <v>2</v>
      </c>
      <c r="M34" s="254">
        <v>461500</v>
      </c>
    </row>
    <row r="35" spans="2:13" ht="12">
      <c r="B35" s="214" t="s">
        <v>87</v>
      </c>
      <c r="C35" s="219">
        <v>14034</v>
      </c>
      <c r="D35" s="219">
        <v>1500</v>
      </c>
      <c r="E35" s="219">
        <v>9431</v>
      </c>
      <c r="F35" s="216">
        <v>0</v>
      </c>
      <c r="G35" s="214">
        <v>9</v>
      </c>
      <c r="H35" s="214">
        <v>9</v>
      </c>
      <c r="I35" s="214">
        <v>1</v>
      </c>
      <c r="J35" s="214">
        <v>1</v>
      </c>
      <c r="K35" s="214">
        <v>20</v>
      </c>
      <c r="L35" s="215">
        <v>3</v>
      </c>
      <c r="M35" s="254">
        <v>825500</v>
      </c>
    </row>
    <row r="36" spans="2:13" ht="12">
      <c r="B36" s="214" t="s">
        <v>88</v>
      </c>
      <c r="C36" s="219">
        <v>4005</v>
      </c>
      <c r="D36" s="219">
        <v>350</v>
      </c>
      <c r="E36" s="219">
        <v>4005</v>
      </c>
      <c r="F36" s="216">
        <v>0</v>
      </c>
      <c r="G36" s="214">
        <v>4.5</v>
      </c>
      <c r="H36" s="214">
        <v>4.5</v>
      </c>
      <c r="I36" s="214">
        <v>1</v>
      </c>
      <c r="J36" s="214">
        <v>1</v>
      </c>
      <c r="K36" s="214">
        <v>11</v>
      </c>
      <c r="L36" s="215">
        <v>2</v>
      </c>
      <c r="M36" s="254">
        <v>461500</v>
      </c>
    </row>
    <row r="37" spans="2:13" ht="12">
      <c r="B37" s="214" t="s">
        <v>89</v>
      </c>
      <c r="C37" s="219">
        <v>99</v>
      </c>
      <c r="D37" s="219">
        <v>938</v>
      </c>
      <c r="E37" s="219">
        <v>2019</v>
      </c>
      <c r="F37" s="216">
        <v>1</v>
      </c>
      <c r="G37" s="214">
        <v>0</v>
      </c>
      <c r="H37" s="214">
        <v>0</v>
      </c>
      <c r="I37" s="214">
        <v>0</v>
      </c>
      <c r="J37" s="214">
        <v>0</v>
      </c>
      <c r="K37" s="214">
        <v>0</v>
      </c>
      <c r="L37" s="215">
        <v>0</v>
      </c>
      <c r="M37" s="254">
        <v>172250</v>
      </c>
    </row>
    <row r="38" spans="2:13" ht="12">
      <c r="B38" s="214" t="s">
        <v>90</v>
      </c>
      <c r="C38" s="219">
        <v>386</v>
      </c>
      <c r="D38" s="219">
        <v>612</v>
      </c>
      <c r="E38" s="219">
        <v>3287</v>
      </c>
      <c r="F38" s="216">
        <v>0</v>
      </c>
      <c r="G38" s="214">
        <v>4.5</v>
      </c>
      <c r="H38" s="214">
        <v>4.5</v>
      </c>
      <c r="I38" s="214">
        <v>1</v>
      </c>
      <c r="J38" s="214">
        <v>1</v>
      </c>
      <c r="K38" s="214">
        <v>11</v>
      </c>
      <c r="L38" s="215">
        <v>2</v>
      </c>
      <c r="M38" s="254">
        <v>461500</v>
      </c>
    </row>
    <row r="39" spans="2:13" ht="12">
      <c r="B39" s="214" t="s">
        <v>91</v>
      </c>
      <c r="C39" s="219">
        <v>139</v>
      </c>
      <c r="D39" s="219">
        <v>402</v>
      </c>
      <c r="E39" s="219">
        <v>2736</v>
      </c>
      <c r="F39" s="216">
        <v>1</v>
      </c>
      <c r="G39" s="214">
        <v>0</v>
      </c>
      <c r="H39" s="214">
        <v>0</v>
      </c>
      <c r="I39" s="214">
        <v>0</v>
      </c>
      <c r="J39" s="214">
        <v>0</v>
      </c>
      <c r="K39" s="214">
        <v>0</v>
      </c>
      <c r="L39" s="215">
        <v>0</v>
      </c>
      <c r="M39" s="254">
        <v>233350</v>
      </c>
    </row>
    <row r="40" spans="2:13" ht="12">
      <c r="B40" s="214" t="s">
        <v>92</v>
      </c>
      <c r="C40" s="219">
        <v>1160</v>
      </c>
      <c r="D40" s="219">
        <v>1300</v>
      </c>
      <c r="E40" s="219">
        <v>3697</v>
      </c>
      <c r="F40" s="216">
        <v>0</v>
      </c>
      <c r="G40" s="214">
        <v>5.5</v>
      </c>
      <c r="H40" s="214">
        <v>5.5</v>
      </c>
      <c r="I40" s="214">
        <v>1</v>
      </c>
      <c r="J40" s="214">
        <v>1</v>
      </c>
      <c r="K40" s="214">
        <v>13</v>
      </c>
      <c r="L40" s="215">
        <v>2</v>
      </c>
      <c r="M40" s="254">
        <v>539500</v>
      </c>
    </row>
    <row r="41" spans="2:13" ht="12">
      <c r="B41" s="214" t="s">
        <v>93</v>
      </c>
      <c r="C41" s="219">
        <v>230</v>
      </c>
      <c r="D41" s="219">
        <v>481</v>
      </c>
      <c r="E41" s="219">
        <v>2865</v>
      </c>
      <c r="F41" s="216">
        <v>1</v>
      </c>
      <c r="G41" s="214">
        <v>0</v>
      </c>
      <c r="H41" s="214">
        <v>0</v>
      </c>
      <c r="I41" s="214">
        <v>0</v>
      </c>
      <c r="J41" s="214">
        <v>0</v>
      </c>
      <c r="K41" s="214">
        <v>0</v>
      </c>
      <c r="L41" s="215">
        <v>0</v>
      </c>
      <c r="M41" s="254">
        <v>244400</v>
      </c>
    </row>
    <row r="42" spans="2:13" ht="12">
      <c r="B42" s="214" t="s">
        <v>94</v>
      </c>
      <c r="C42" s="219">
        <v>108</v>
      </c>
      <c r="D42" s="219">
        <v>289</v>
      </c>
      <c r="E42" s="219">
        <v>3570</v>
      </c>
      <c r="F42" s="216">
        <v>0</v>
      </c>
      <c r="G42" s="214">
        <v>4.5</v>
      </c>
      <c r="H42" s="214">
        <v>4.5</v>
      </c>
      <c r="I42" s="214">
        <v>1</v>
      </c>
      <c r="J42" s="214">
        <v>1</v>
      </c>
      <c r="K42" s="214">
        <v>11</v>
      </c>
      <c r="L42" s="215">
        <v>2</v>
      </c>
      <c r="M42" s="254">
        <v>461500</v>
      </c>
    </row>
    <row r="43" spans="2:13" ht="12">
      <c r="B43" s="214" t="s">
        <v>95</v>
      </c>
      <c r="C43" s="219">
        <v>480</v>
      </c>
      <c r="D43" s="219">
        <v>460</v>
      </c>
      <c r="E43" s="219">
        <v>1186</v>
      </c>
      <c r="F43" s="216">
        <v>1</v>
      </c>
      <c r="G43" s="214">
        <v>0</v>
      </c>
      <c r="H43" s="214">
        <v>0</v>
      </c>
      <c r="I43" s="214">
        <v>0</v>
      </c>
      <c r="J43" s="214">
        <v>0</v>
      </c>
      <c r="K43" s="214">
        <v>0</v>
      </c>
      <c r="L43" s="215">
        <v>0</v>
      </c>
      <c r="M43" s="254">
        <v>101400</v>
      </c>
    </row>
    <row r="44" spans="2:13" ht="12">
      <c r="B44" s="214" t="s">
        <v>96</v>
      </c>
      <c r="C44" s="219">
        <v>931</v>
      </c>
      <c r="D44" s="219">
        <v>350</v>
      </c>
      <c r="E44" s="219">
        <v>1686</v>
      </c>
      <c r="F44" s="216">
        <v>1</v>
      </c>
      <c r="G44" s="214">
        <v>0</v>
      </c>
      <c r="H44" s="214">
        <v>0</v>
      </c>
      <c r="I44" s="214">
        <v>0</v>
      </c>
      <c r="J44" s="214">
        <v>0</v>
      </c>
      <c r="K44" s="214">
        <v>0</v>
      </c>
      <c r="L44" s="215">
        <v>0</v>
      </c>
      <c r="M44" s="254">
        <v>143650</v>
      </c>
    </row>
    <row r="45" spans="2:13" ht="12">
      <c r="B45" s="214" t="s">
        <v>97</v>
      </c>
      <c r="C45" s="219">
        <v>636</v>
      </c>
      <c r="D45" s="219">
        <v>1514</v>
      </c>
      <c r="E45" s="219">
        <v>7714</v>
      </c>
      <c r="F45" s="216">
        <v>0</v>
      </c>
      <c r="G45" s="214">
        <v>6.5</v>
      </c>
      <c r="H45" s="214">
        <v>6.5</v>
      </c>
      <c r="I45" s="214">
        <v>1</v>
      </c>
      <c r="J45" s="214">
        <v>1</v>
      </c>
      <c r="K45" s="214">
        <v>15</v>
      </c>
      <c r="L45" s="215">
        <v>2</v>
      </c>
      <c r="M45" s="254">
        <v>617500</v>
      </c>
    </row>
    <row r="46" spans="2:13" ht="12">
      <c r="B46" s="214" t="s">
        <v>98</v>
      </c>
      <c r="C46" s="219">
        <v>34</v>
      </c>
      <c r="D46" s="219">
        <v>873</v>
      </c>
      <c r="E46" s="219">
        <v>558</v>
      </c>
      <c r="F46" s="216">
        <v>1</v>
      </c>
      <c r="G46" s="214">
        <v>0</v>
      </c>
      <c r="H46" s="214">
        <v>0</v>
      </c>
      <c r="I46" s="214">
        <v>0</v>
      </c>
      <c r="J46" s="214">
        <v>0</v>
      </c>
      <c r="K46" s="214">
        <v>0</v>
      </c>
      <c r="L46" s="215">
        <v>0</v>
      </c>
      <c r="M46" s="254">
        <v>48100</v>
      </c>
    </row>
    <row r="47" spans="2:13" ht="12">
      <c r="B47" s="214" t="s">
        <v>99</v>
      </c>
      <c r="C47" s="219">
        <v>38</v>
      </c>
      <c r="D47" s="219">
        <v>880</v>
      </c>
      <c r="E47" s="219">
        <v>945</v>
      </c>
      <c r="F47" s="216">
        <v>1</v>
      </c>
      <c r="G47" s="214">
        <v>0</v>
      </c>
      <c r="H47" s="214">
        <v>0</v>
      </c>
      <c r="I47" s="214">
        <v>0</v>
      </c>
      <c r="J47" s="214">
        <v>0</v>
      </c>
      <c r="K47" s="214">
        <v>0</v>
      </c>
      <c r="L47" s="215">
        <v>0</v>
      </c>
      <c r="M47" s="254">
        <v>80600</v>
      </c>
    </row>
    <row r="48" spans="2:13" ht="12">
      <c r="B48" s="214" t="s">
        <v>100</v>
      </c>
      <c r="C48" s="219">
        <v>1562</v>
      </c>
      <c r="D48" s="219">
        <v>1225</v>
      </c>
      <c r="E48" s="219">
        <v>1908</v>
      </c>
      <c r="F48" s="216">
        <v>1</v>
      </c>
      <c r="G48" s="214">
        <v>0</v>
      </c>
      <c r="H48" s="214">
        <v>0</v>
      </c>
      <c r="I48" s="214">
        <v>0</v>
      </c>
      <c r="J48" s="214">
        <v>0</v>
      </c>
      <c r="K48" s="214">
        <v>0</v>
      </c>
      <c r="L48" s="215">
        <v>0</v>
      </c>
      <c r="M48" s="254">
        <v>162500</v>
      </c>
    </row>
    <row r="49" spans="2:13" ht="12">
      <c r="B49" s="214" t="s">
        <v>101</v>
      </c>
      <c r="C49" s="219">
        <v>1800</v>
      </c>
      <c r="D49" s="219">
        <v>300</v>
      </c>
      <c r="E49" s="219">
        <v>620</v>
      </c>
      <c r="F49" s="216">
        <v>1</v>
      </c>
      <c r="G49" s="214">
        <v>0</v>
      </c>
      <c r="H49" s="214">
        <v>0</v>
      </c>
      <c r="I49" s="214">
        <v>0</v>
      </c>
      <c r="J49" s="214">
        <v>0</v>
      </c>
      <c r="K49" s="214">
        <v>0</v>
      </c>
      <c r="L49" s="215">
        <v>0</v>
      </c>
      <c r="M49" s="254">
        <v>53300</v>
      </c>
    </row>
    <row r="50" spans="2:13" ht="12">
      <c r="B50" s="214" t="s">
        <v>102</v>
      </c>
      <c r="C50" s="219">
        <v>81</v>
      </c>
      <c r="D50" s="219">
        <v>2969</v>
      </c>
      <c r="E50" s="219">
        <v>5360</v>
      </c>
      <c r="F50" s="216">
        <v>0</v>
      </c>
      <c r="G50" s="214">
        <v>8.5</v>
      </c>
      <c r="H50" s="214">
        <v>8.5</v>
      </c>
      <c r="I50" s="214">
        <v>1</v>
      </c>
      <c r="J50" s="214">
        <v>1</v>
      </c>
      <c r="K50" s="214">
        <v>19</v>
      </c>
      <c r="L50" s="215">
        <v>3</v>
      </c>
      <c r="M50" s="254">
        <v>786500</v>
      </c>
    </row>
    <row r="51" spans="2:13" ht="12">
      <c r="B51" s="214" t="s">
        <v>103</v>
      </c>
      <c r="C51" s="219">
        <v>1575</v>
      </c>
      <c r="D51" s="219">
        <v>700</v>
      </c>
      <c r="E51" s="219">
        <v>4493</v>
      </c>
      <c r="F51" s="216">
        <v>0</v>
      </c>
      <c r="G51" s="214">
        <v>4.5</v>
      </c>
      <c r="H51" s="214">
        <v>4.5</v>
      </c>
      <c r="I51" s="214">
        <v>1</v>
      </c>
      <c r="J51" s="214">
        <v>1</v>
      </c>
      <c r="K51" s="214">
        <v>11</v>
      </c>
      <c r="L51" s="215">
        <v>2</v>
      </c>
      <c r="M51" s="254">
        <v>461500</v>
      </c>
    </row>
    <row r="52" spans="2:13" ht="12">
      <c r="B52" s="214" t="s">
        <v>104</v>
      </c>
      <c r="C52" s="219">
        <v>19684</v>
      </c>
      <c r="D52" s="219">
        <v>995</v>
      </c>
      <c r="E52" s="219">
        <v>7201</v>
      </c>
      <c r="F52" s="216">
        <v>0</v>
      </c>
      <c r="G52" s="214">
        <v>8</v>
      </c>
      <c r="H52" s="214">
        <v>8</v>
      </c>
      <c r="I52" s="214">
        <v>1</v>
      </c>
      <c r="J52" s="214">
        <v>1</v>
      </c>
      <c r="K52" s="214">
        <v>18</v>
      </c>
      <c r="L52" s="215">
        <v>2</v>
      </c>
      <c r="M52" s="254">
        <v>734500</v>
      </c>
    </row>
    <row r="53" spans="2:13" ht="12">
      <c r="B53" s="214" t="s">
        <v>105</v>
      </c>
      <c r="C53" s="219">
        <v>396</v>
      </c>
      <c r="D53" s="219">
        <v>121</v>
      </c>
      <c r="E53" s="219">
        <v>893</v>
      </c>
      <c r="F53" s="216">
        <v>1</v>
      </c>
      <c r="G53" s="214">
        <v>0</v>
      </c>
      <c r="H53" s="214">
        <v>0</v>
      </c>
      <c r="I53" s="214">
        <v>0</v>
      </c>
      <c r="J53" s="214">
        <v>0</v>
      </c>
      <c r="K53" s="214">
        <v>0</v>
      </c>
      <c r="L53" s="215">
        <v>0</v>
      </c>
      <c r="M53" s="254">
        <v>76050</v>
      </c>
    </row>
    <row r="54" spans="2:13" ht="12">
      <c r="B54" s="214" t="s">
        <v>106</v>
      </c>
      <c r="C54" s="219">
        <v>3731</v>
      </c>
      <c r="D54" s="219">
        <v>229</v>
      </c>
      <c r="E54" s="219">
        <v>3337</v>
      </c>
      <c r="F54" s="216">
        <v>0</v>
      </c>
      <c r="G54" s="214">
        <v>4.5</v>
      </c>
      <c r="H54" s="214">
        <v>4.5</v>
      </c>
      <c r="I54" s="214">
        <v>1</v>
      </c>
      <c r="J54" s="214">
        <v>1</v>
      </c>
      <c r="K54" s="214">
        <v>11</v>
      </c>
      <c r="L54" s="215">
        <v>2</v>
      </c>
      <c r="M54" s="254">
        <v>461500</v>
      </c>
    </row>
    <row r="55" spans="2:13" ht="12">
      <c r="B55" s="214" t="s">
        <v>107</v>
      </c>
      <c r="C55" s="219">
        <v>10944</v>
      </c>
      <c r="D55" s="219">
        <v>896</v>
      </c>
      <c r="E55" s="219">
        <v>5918</v>
      </c>
      <c r="F55" s="216">
        <v>0</v>
      </c>
      <c r="G55" s="214">
        <v>6</v>
      </c>
      <c r="H55" s="214">
        <v>6</v>
      </c>
      <c r="I55" s="214">
        <v>1</v>
      </c>
      <c r="J55" s="214">
        <v>1</v>
      </c>
      <c r="K55" s="214">
        <v>14</v>
      </c>
      <c r="L55" s="215">
        <v>2</v>
      </c>
      <c r="M55" s="254">
        <v>578500</v>
      </c>
    </row>
    <row r="56" spans="2:13" ht="12">
      <c r="B56" s="214" t="s">
        <v>108</v>
      </c>
      <c r="C56" s="219">
        <v>6993</v>
      </c>
      <c r="D56" s="219">
        <v>308</v>
      </c>
      <c r="E56" s="219">
        <v>2602</v>
      </c>
      <c r="F56" s="216">
        <v>1</v>
      </c>
      <c r="G56" s="214">
        <v>0</v>
      </c>
      <c r="H56" s="214">
        <v>0</v>
      </c>
      <c r="I56" s="214">
        <v>0</v>
      </c>
      <c r="J56" s="214">
        <v>0</v>
      </c>
      <c r="K56" s="214">
        <v>0</v>
      </c>
      <c r="L56" s="215">
        <v>0</v>
      </c>
      <c r="M56" s="254">
        <v>221650</v>
      </c>
    </row>
    <row r="57" spans="2:13" ht="12">
      <c r="B57" s="214" t="s">
        <v>109</v>
      </c>
      <c r="C57" s="219">
        <v>5252</v>
      </c>
      <c r="D57" s="219">
        <v>467</v>
      </c>
      <c r="E57" s="219">
        <v>2805</v>
      </c>
      <c r="F57" s="216">
        <v>1</v>
      </c>
      <c r="G57" s="214">
        <v>0</v>
      </c>
      <c r="H57" s="214">
        <v>0</v>
      </c>
      <c r="I57" s="214">
        <v>0</v>
      </c>
      <c r="J57" s="214">
        <v>0</v>
      </c>
      <c r="K57" s="214">
        <v>0</v>
      </c>
      <c r="L57" s="215">
        <v>0</v>
      </c>
      <c r="M57" s="254">
        <v>239200</v>
      </c>
    </row>
    <row r="58" spans="2:13" ht="12">
      <c r="B58" s="214" t="s">
        <v>110</v>
      </c>
      <c r="C58" s="219">
        <v>9506</v>
      </c>
      <c r="D58" s="219">
        <v>1685</v>
      </c>
      <c r="E58" s="219">
        <v>5075</v>
      </c>
      <c r="F58" s="216">
        <v>0</v>
      </c>
      <c r="G58" s="214">
        <v>7.5</v>
      </c>
      <c r="H58" s="214">
        <v>7.5</v>
      </c>
      <c r="I58" s="214">
        <v>1</v>
      </c>
      <c r="J58" s="214">
        <v>1</v>
      </c>
      <c r="K58" s="214">
        <v>17</v>
      </c>
      <c r="L58" s="215">
        <v>2</v>
      </c>
      <c r="M58" s="254">
        <v>695500</v>
      </c>
    </row>
    <row r="59" spans="2:13" ht="12">
      <c r="B59" s="214" t="s">
        <v>111</v>
      </c>
      <c r="C59" s="219">
        <v>4296</v>
      </c>
      <c r="D59" s="219">
        <v>4362</v>
      </c>
      <c r="E59" s="219">
        <v>11718</v>
      </c>
      <c r="F59" s="216">
        <v>0</v>
      </c>
      <c r="G59" s="214">
        <v>12</v>
      </c>
      <c r="H59" s="214">
        <v>12</v>
      </c>
      <c r="I59" s="214">
        <v>2</v>
      </c>
      <c r="J59" s="214">
        <v>2</v>
      </c>
      <c r="K59" s="214">
        <v>28</v>
      </c>
      <c r="L59" s="215">
        <v>4</v>
      </c>
      <c r="M59" s="254">
        <v>1157000</v>
      </c>
    </row>
    <row r="60" spans="2:13" ht="12">
      <c r="B60" s="214" t="s">
        <v>112</v>
      </c>
      <c r="C60" s="219">
        <v>13302</v>
      </c>
      <c r="D60" s="219">
        <v>55</v>
      </c>
      <c r="E60" s="219">
        <v>1115</v>
      </c>
      <c r="F60" s="216">
        <v>1</v>
      </c>
      <c r="G60" s="214">
        <v>0</v>
      </c>
      <c r="H60" s="214">
        <v>0</v>
      </c>
      <c r="I60" s="214">
        <v>0</v>
      </c>
      <c r="J60" s="214">
        <v>0</v>
      </c>
      <c r="K60" s="214">
        <v>0</v>
      </c>
      <c r="L60" s="215">
        <v>0</v>
      </c>
      <c r="M60" s="254">
        <v>95550</v>
      </c>
    </row>
    <row r="61" spans="2:13" ht="12">
      <c r="B61" s="214" t="s">
        <v>113</v>
      </c>
      <c r="C61" s="219">
        <v>1451</v>
      </c>
      <c r="D61" s="219">
        <v>130</v>
      </c>
      <c r="E61" s="219">
        <v>447</v>
      </c>
      <c r="F61" s="216">
        <v>1</v>
      </c>
      <c r="G61" s="214">
        <v>0</v>
      </c>
      <c r="H61" s="214">
        <v>0</v>
      </c>
      <c r="I61" s="214">
        <v>0</v>
      </c>
      <c r="J61" s="214">
        <v>0</v>
      </c>
      <c r="K61" s="214">
        <v>0</v>
      </c>
      <c r="L61" s="215">
        <v>0</v>
      </c>
      <c r="M61" s="254">
        <v>38350</v>
      </c>
    </row>
    <row r="62" spans="2:13" ht="12">
      <c r="B62" s="214" t="s">
        <v>114</v>
      </c>
      <c r="C62" s="219">
        <v>8110</v>
      </c>
      <c r="D62" s="219">
        <v>985</v>
      </c>
      <c r="E62" s="219">
        <v>8728</v>
      </c>
      <c r="F62" s="216">
        <v>0</v>
      </c>
      <c r="G62" s="214">
        <v>7</v>
      </c>
      <c r="H62" s="214">
        <v>7</v>
      </c>
      <c r="I62" s="214">
        <v>1</v>
      </c>
      <c r="J62" s="214">
        <v>1</v>
      </c>
      <c r="K62" s="214">
        <v>16</v>
      </c>
      <c r="L62" s="215">
        <v>2</v>
      </c>
      <c r="M62" s="254">
        <v>656500</v>
      </c>
    </row>
    <row r="63" spans="2:13" ht="12">
      <c r="B63" s="214" t="s">
        <v>115</v>
      </c>
      <c r="C63" s="219">
        <v>13921</v>
      </c>
      <c r="D63" s="219">
        <v>1560</v>
      </c>
      <c r="E63" s="219">
        <v>6848</v>
      </c>
      <c r="F63" s="216">
        <v>0</v>
      </c>
      <c r="G63" s="214">
        <v>8.5</v>
      </c>
      <c r="H63" s="214">
        <v>8.5</v>
      </c>
      <c r="I63" s="214">
        <v>1</v>
      </c>
      <c r="J63" s="214">
        <v>1</v>
      </c>
      <c r="K63" s="214">
        <v>19</v>
      </c>
      <c r="L63" s="215">
        <v>3</v>
      </c>
      <c r="M63" s="254">
        <v>786500</v>
      </c>
    </row>
    <row r="64" spans="2:13" ht="12">
      <c r="B64" s="214" t="s">
        <v>116</v>
      </c>
      <c r="C64" s="219">
        <v>5707</v>
      </c>
      <c r="D64" s="219">
        <v>330</v>
      </c>
      <c r="E64" s="219">
        <v>7332</v>
      </c>
      <c r="F64" s="216">
        <v>0</v>
      </c>
      <c r="G64" s="214">
        <v>6</v>
      </c>
      <c r="H64" s="214">
        <v>6</v>
      </c>
      <c r="I64" s="214">
        <v>1</v>
      </c>
      <c r="J64" s="214">
        <v>1</v>
      </c>
      <c r="K64" s="214">
        <v>14</v>
      </c>
      <c r="L64" s="215">
        <v>2</v>
      </c>
      <c r="M64" s="254">
        <v>578500</v>
      </c>
    </row>
    <row r="65" spans="2:13" ht="12">
      <c r="B65" s="214" t="s">
        <v>117</v>
      </c>
      <c r="C65" s="219">
        <v>3417</v>
      </c>
      <c r="D65" s="219">
        <v>3154</v>
      </c>
      <c r="E65" s="219">
        <v>18890</v>
      </c>
      <c r="F65" s="216">
        <v>0</v>
      </c>
      <c r="G65" s="214">
        <v>11.5</v>
      </c>
      <c r="H65" s="214">
        <v>11.5</v>
      </c>
      <c r="I65" s="214">
        <v>2</v>
      </c>
      <c r="J65" s="214">
        <v>2</v>
      </c>
      <c r="K65" s="214">
        <v>27</v>
      </c>
      <c r="L65" s="215">
        <v>3</v>
      </c>
      <c r="M65" s="254">
        <v>1105000</v>
      </c>
    </row>
    <row r="66" spans="2:13" ht="12">
      <c r="B66" s="214" t="s">
        <v>118</v>
      </c>
      <c r="C66" s="219">
        <v>20721</v>
      </c>
      <c r="D66" s="219">
        <v>505</v>
      </c>
      <c r="E66" s="219">
        <v>11439</v>
      </c>
      <c r="F66" s="216">
        <v>0</v>
      </c>
      <c r="G66" s="214">
        <v>10</v>
      </c>
      <c r="H66" s="214">
        <v>10</v>
      </c>
      <c r="I66" s="214">
        <v>1</v>
      </c>
      <c r="J66" s="214">
        <v>1</v>
      </c>
      <c r="K66" s="214">
        <v>22</v>
      </c>
      <c r="L66" s="215">
        <v>3</v>
      </c>
      <c r="M66" s="254">
        <v>903500</v>
      </c>
    </row>
    <row r="67" spans="2:13" ht="12">
      <c r="B67" s="214" t="s">
        <v>119</v>
      </c>
      <c r="C67" s="219">
        <v>6310</v>
      </c>
      <c r="D67" s="219">
        <v>923</v>
      </c>
      <c r="E67" s="219">
        <v>25008</v>
      </c>
      <c r="F67" s="216">
        <v>0</v>
      </c>
      <c r="G67" s="214">
        <v>13.5</v>
      </c>
      <c r="H67" s="214">
        <v>13.5</v>
      </c>
      <c r="I67" s="214">
        <v>2</v>
      </c>
      <c r="J67" s="214">
        <v>2</v>
      </c>
      <c r="K67" s="214">
        <v>31</v>
      </c>
      <c r="L67" s="215">
        <v>4</v>
      </c>
      <c r="M67" s="254">
        <v>1274000</v>
      </c>
    </row>
    <row r="68" spans="2:13" ht="12">
      <c r="B68" s="214" t="s">
        <v>120</v>
      </c>
      <c r="C68" s="219">
        <v>7625</v>
      </c>
      <c r="D68" s="219">
        <v>1783</v>
      </c>
      <c r="E68" s="219">
        <v>31165</v>
      </c>
      <c r="F68" s="216">
        <v>0</v>
      </c>
      <c r="G68" s="214">
        <v>16.5</v>
      </c>
      <c r="H68" s="214">
        <v>16.5</v>
      </c>
      <c r="I68" s="214">
        <v>2</v>
      </c>
      <c r="J68" s="214">
        <v>2</v>
      </c>
      <c r="K68" s="214">
        <v>37</v>
      </c>
      <c r="L68" s="215">
        <v>5</v>
      </c>
      <c r="M68" s="254">
        <v>1521000</v>
      </c>
    </row>
    <row r="69" spans="2:13" ht="12">
      <c r="B69" s="214" t="s">
        <v>121</v>
      </c>
      <c r="C69" s="219">
        <v>4750</v>
      </c>
      <c r="D69" s="219">
        <v>2000</v>
      </c>
      <c r="E69" s="219">
        <v>18768</v>
      </c>
      <c r="F69" s="216">
        <v>0</v>
      </c>
      <c r="G69" s="214">
        <v>10.5</v>
      </c>
      <c r="H69" s="214">
        <v>10.5</v>
      </c>
      <c r="I69" s="214">
        <v>2</v>
      </c>
      <c r="J69" s="214">
        <v>2</v>
      </c>
      <c r="K69" s="214">
        <v>25</v>
      </c>
      <c r="L69" s="215">
        <v>3</v>
      </c>
      <c r="M69" s="254">
        <v>1027000</v>
      </c>
    </row>
    <row r="70" spans="2:13" ht="21" customHeight="1" thickBot="1">
      <c r="B70" s="221" t="s">
        <v>125</v>
      </c>
      <c r="C70" s="218">
        <f>SUM(C4:C69)</f>
        <v>256607</v>
      </c>
      <c r="D70" s="218">
        <f aca="true" t="shared" si="0" ref="D70:M70">SUM(D4:D69)</f>
        <v>98414</v>
      </c>
      <c r="E70" s="218">
        <f t="shared" si="0"/>
        <v>645710</v>
      </c>
      <c r="F70" s="218"/>
      <c r="G70" s="218">
        <f t="shared" si="0"/>
        <v>423.5</v>
      </c>
      <c r="H70" s="218">
        <f t="shared" si="0"/>
        <v>423.5</v>
      </c>
      <c r="I70" s="218">
        <f t="shared" si="0"/>
        <v>62</v>
      </c>
      <c r="J70" s="218">
        <f t="shared" si="0"/>
        <v>62</v>
      </c>
      <c r="K70" s="218">
        <f t="shared" si="0"/>
        <v>971</v>
      </c>
      <c r="L70" s="218">
        <f t="shared" si="0"/>
        <v>132</v>
      </c>
      <c r="M70" s="255">
        <f t="shared" si="0"/>
        <v>47975850</v>
      </c>
    </row>
    <row r="71" ht="12.75" thickTop="1"/>
  </sheetData>
  <mergeCells count="2">
    <mergeCell ref="B2:F2"/>
    <mergeCell ref="G2:M2"/>
  </mergeCells>
  <printOptions/>
  <pageMargins left="0.47" right="0.29" top="0.59" bottom="0.6"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EMPLOYEES OF IHS</dc:creator>
  <cp:keywords/>
  <dc:description/>
  <cp:lastModifiedBy>Lvogel</cp:lastModifiedBy>
  <cp:lastPrinted>2003-04-28T22:00:53Z</cp:lastPrinted>
  <dcterms:created xsi:type="dcterms:W3CDTF">2000-12-18T18:09:43Z</dcterms:created>
  <dcterms:modified xsi:type="dcterms:W3CDTF">2003-11-17T19:57:56Z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-1153172263</vt:i4>
  </property>
  <property fmtid="{D5CDD505-2E9C-101B-9397-08002B2CF9AE}" pid="3" name="_EmailSubject">
    <vt:lpwstr>EMS module</vt:lpwstr>
  </property>
  <property fmtid="{D5CDD505-2E9C-101B-9397-08002B2CF9AE}" pid="4" name="_AuthorEmail">
    <vt:lpwstr>Rolson@HQE.IHS.GOV</vt:lpwstr>
  </property>
  <property fmtid="{D5CDD505-2E9C-101B-9397-08002B2CF9AE}" pid="5" name="_AuthorEmailDisplayName">
    <vt:lpwstr>Olson, Richard D. (HQE)</vt:lpwstr>
  </property>
  <property fmtid="{D5CDD505-2E9C-101B-9397-08002B2CF9AE}" pid="6" name="_PreviousAdHocReviewCycleID">
    <vt:i4>-176105890</vt:i4>
  </property>
  <property fmtid="{D5CDD505-2E9C-101B-9397-08002B2CF9AE}" pid="7" name="_ReviewingToolsShownOnce">
    <vt:lpwstr/>
  </property>
</Properties>
</file>