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61" yWindow="405" windowWidth="13995" windowHeight="6300" activeTab="0"/>
  </bookViews>
  <sheets>
    <sheet name="DBean1" sheetId="1" r:id="rId1"/>
    <sheet name="DBean2" sheetId="2" r:id="rId2"/>
    <sheet name="DBean3" sheetId="3" r:id="rId3"/>
    <sheet name="DBean4" sheetId="4" r:id="rId4"/>
    <sheet name="DBean5" sheetId="5" r:id="rId5"/>
    <sheet name="DBean6" sheetId="6" r:id="rId6"/>
    <sheet name="DBean7" sheetId="7" r:id="rId7"/>
    <sheet name="DBean8" sheetId="8" r:id="rId8"/>
    <sheet name="DBean9" sheetId="9" r:id="rId9"/>
    <sheet name="DBean10" sheetId="10" r:id="rId10"/>
    <sheet name="DBean11" sheetId="11" r:id="rId11"/>
    <sheet name="DBean12" sheetId="12" r:id="rId12"/>
    <sheet name="DBean12b" sheetId="13" r:id="rId13"/>
    <sheet name="DBean13" sheetId="14" r:id="rId14"/>
    <sheet name="DBean14" sheetId="15" r:id="rId15"/>
    <sheet name="DBean15" sheetId="16" r:id="rId16"/>
    <sheet name="DBean16" sheetId="17" r:id="rId17"/>
    <sheet name="DBean17" sheetId="18" r:id="rId18"/>
    <sheet name="DBean18" sheetId="19" r:id="rId19"/>
    <sheet name="DBean19" sheetId="20" r:id="rId20"/>
    <sheet name="DBean20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D" localSheetId="14">'[11]tab132'!#REF!</definedName>
    <definedName name="\R" localSheetId="14">#REF!</definedName>
    <definedName name="__123Graph_ABROCMON" hidden="1">'[8]tab007'!#REF!</definedName>
    <definedName name="__123Graph_ACARRMON" hidden="1">'[8]tab007'!#REF!</definedName>
    <definedName name="__123Graph_ACAULMON" hidden="1">'[8]tab007'!#REF!</definedName>
    <definedName name="__123Graph_BPRIC_APP" localSheetId="0" hidden="1">'[3]TAB01'!#REF!</definedName>
    <definedName name="__123Graph_BPRIC_APP" localSheetId="10" hidden="1">'[12]TAB01'!#REF!</definedName>
    <definedName name="__123Graph_BPRIC_APP" localSheetId="11" hidden="1">'[12]TAB01'!#REF!</definedName>
    <definedName name="__123Graph_BPRIC_APP" localSheetId="12" hidden="1">'[12]TAB01'!#REF!</definedName>
    <definedName name="__123Graph_BPRIC_APP" localSheetId="13" hidden="1">'[12]TAB01'!#REF!</definedName>
    <definedName name="__123Graph_BPRIC_APP" localSheetId="14" hidden="1">'[3]TAB01'!#REF!</definedName>
    <definedName name="__123Graph_BPRIC_APP" localSheetId="1" hidden="1">'[3]TAB01'!#REF!</definedName>
    <definedName name="__123Graph_BPRIC_APP" localSheetId="3" hidden="1">'[3]TAB01'!#REF!</definedName>
    <definedName name="__123Graph_BPRIC_APP" localSheetId="4" hidden="1">'[3]TAB01'!#REF!</definedName>
    <definedName name="__123Graph_BPRIC_APP" localSheetId="5" hidden="1">'[3]TAB01'!#REF!</definedName>
    <definedName name="__123Graph_BPRIC_APP" localSheetId="6" hidden="1">'[3]TAB01'!#REF!</definedName>
    <definedName name="__123Graph_BPRIC_APP" hidden="1">'[1]TAB01'!#REF!</definedName>
    <definedName name="__123Graph_CEXPORTS" localSheetId="0" hidden="1">'[4]TAB01'!#REF!</definedName>
    <definedName name="__123Graph_CEXPORTS" localSheetId="10" hidden="1">'[4]TAB01'!#REF!</definedName>
    <definedName name="__123Graph_CEXPORTS" localSheetId="11" hidden="1">'[4]TAB01'!#REF!</definedName>
    <definedName name="__123Graph_CEXPORTS" localSheetId="12" hidden="1">'[4]TAB01'!#REF!</definedName>
    <definedName name="__123Graph_CEXPORTS" localSheetId="13" hidden="1">'[4]TAB01'!#REF!</definedName>
    <definedName name="__123Graph_CEXPORTS" localSheetId="14" hidden="1">'[4]TAB01'!#REF!</definedName>
    <definedName name="__123Graph_CEXPORTS" localSheetId="1" hidden="1">'[4]TAB01'!#REF!</definedName>
    <definedName name="__123Graph_CEXPORTS" localSheetId="3" hidden="1">'[4]TAB01'!#REF!</definedName>
    <definedName name="__123Graph_CEXPORTS" localSheetId="4" hidden="1">'[4]TAB01'!#REF!</definedName>
    <definedName name="__123Graph_CEXPORTS" localSheetId="5" hidden="1">'[4]TAB01'!#REF!</definedName>
    <definedName name="__123Graph_CEXPORTS" localSheetId="6" hidden="1">'[6]TAB01'!#REF!</definedName>
    <definedName name="__123Graph_CEXPORTS" hidden="1">'[1]TAB01'!#REF!</definedName>
    <definedName name="__123Graph_XEXP_DEB" hidden="1">'[5]Trade11'!$B$4:$J$4</definedName>
    <definedName name="__123Graph_XEXPORTS" hidden="1">'[5]Trade11'!$B$4:$J$4</definedName>
    <definedName name="__123Graph_XPRICE_VG" hidden="1">'[5]Trade11'!$B$4:$J$4</definedName>
    <definedName name="_3_99_PARENT_value_Sum" localSheetId="14">#REF!</definedName>
    <definedName name="_3_99_PARENT_value_Sum" localSheetId="18">#REF!</definedName>
    <definedName name="_3_99_PARENT_value_Sum" localSheetId="6">#REF!</definedName>
    <definedName name="_5_99_prep_salad_interviewed_firms" localSheetId="14">#REF!</definedName>
    <definedName name="_5_99_prep_salad_interviewed_firms" localSheetId="18">#REF!</definedName>
    <definedName name="_5_99_prep_salad_interviewed_firms" localSheetId="6">#REF!</definedName>
    <definedName name="_5_99_TOTAL_VEG_BRANDS_value" localSheetId="14">#REF!</definedName>
    <definedName name="_5_99_TOTAL_VEG_BRANDS_value" localSheetId="18">#REF!</definedName>
    <definedName name="_5_99_TOTAL_VEG_BRANDS_value" localSheetId="6">#REF!</definedName>
    <definedName name="_5_99_TOTAL_VEG_BRANDS_volume" localSheetId="14">#REF!</definedName>
    <definedName name="_5_99_TOTAL_VEG_BRANDS_volume" localSheetId="18">#REF!</definedName>
    <definedName name="_5_99_TOTAL_VEG_BRANDS_volume" localSheetId="6">#REF!</definedName>
    <definedName name="_Fill" localSheetId="14" hidden="1">'DBean14'!$AG$2:$AG$2</definedName>
    <definedName name="_Fill" localSheetId="18" hidden="1">#REF!</definedName>
    <definedName name="_Fill" hidden="1">'[1]Tab26'!#REF!</definedName>
    <definedName name="_Key1" localSheetId="14" hidden="1">#REF!</definedName>
    <definedName name="_Key1" localSheetId="18" hidden="1">#REF!</definedName>
    <definedName name="_Key1" localSheetId="6" hidden="1">#REF!</definedName>
    <definedName name="_Key1" localSheetId="7" hidden="1">'DBean8'!$E$7</definedName>
    <definedName name="_Key1" localSheetId="8" hidden="1">'DBean9'!$E$7</definedName>
    <definedName name="_Key1" hidden="1">#REF!</definedName>
    <definedName name="_Key2" hidden="1">#REF!</definedName>
    <definedName name="_Order1" localSheetId="7" hidden="1">0</definedName>
    <definedName name="_Order1" localSheetId="8" hidden="1">0</definedName>
    <definedName name="_Order1" hidden="1">255</definedName>
    <definedName name="_Order2" hidden="1">0</definedName>
    <definedName name="_Parse_Out" localSheetId="14" hidden="1">'[2]Fresh3'!$A$34</definedName>
    <definedName name="_Parse_Out" localSheetId="18" hidden="1">'[9]Fresh3'!$A$34</definedName>
    <definedName name="_Parse_Out" hidden="1">'[2]Fresh3'!$A$34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6" hidden="1">1</definedName>
    <definedName name="_Regression_Out" localSheetId="14" hidden="1">'[3]TAB05'!#REF!</definedName>
    <definedName name="_Regression_Out" hidden="1">'[3]TAB05'!#REF!</definedName>
    <definedName name="_Regression_X" hidden="1">#REF!</definedName>
    <definedName name="_Regression_Y" hidden="1">#REF!</definedName>
    <definedName name="_Sort" localSheetId="14" hidden="1">#REF!</definedName>
    <definedName name="_Sort" localSheetId="18" hidden="1">#REF!</definedName>
    <definedName name="_Sort" localSheetId="6" hidden="1">#REF!</definedName>
    <definedName name="_Sort" localSheetId="7" hidden="1">'DBean8'!$A$7:$P$14</definedName>
    <definedName name="_Sort" localSheetId="8" hidden="1">'DBean9'!$A$7:$P$14</definedName>
    <definedName name="_Sort" hidden="1">#REF!</definedName>
    <definedName name="B_LIMA" localSheetId="2">'DBean3'!$IG$2:$IG$15</definedName>
    <definedName name="B_LIMA">#REF!</definedName>
    <definedName name="BLACKEYE" localSheetId="2">'DBean3'!$II$2:$IV$15</definedName>
    <definedName name="BLACKEYE">#REF!</definedName>
    <definedName name="D_Arrigo_93_99_value" localSheetId="14">#REF!</definedName>
    <definedName name="D_Arrigo_93_99_value" localSheetId="18">#REF!</definedName>
    <definedName name="D_Arrigo_93_99_value" localSheetId="6">#REF!</definedName>
    <definedName name="data" localSheetId="14">#REF!</definedName>
    <definedName name="data" localSheetId="6">#REF!</definedName>
    <definedName name="Database_MI" localSheetId="14">'[1]Tab17'!#REF!</definedName>
    <definedName name="Dole_93_94_value" localSheetId="14">#REF!</definedName>
    <definedName name="Dole_93_94_value" localSheetId="18">#REF!</definedName>
    <definedName name="Dole_93_94_value" localSheetId="6">#REF!</definedName>
    <definedName name="Dole_95_99_value" localSheetId="14">#REF!</definedName>
    <definedName name="Dole_95_99_value" localSheetId="18">#REF!</definedName>
    <definedName name="Dole_95_99_value" localSheetId="6">#REF!</definedName>
    <definedName name="Fresh_Express_93_94_value" localSheetId="14">#REF!</definedName>
    <definedName name="Fresh_Express_93_94_value" localSheetId="18">#REF!</definedName>
    <definedName name="Fresh_Express_93_94_value" localSheetId="6">#REF!</definedName>
    <definedName name="Fresh_Express_94" localSheetId="14">#REF!</definedName>
    <definedName name="Fresh_Express_94" localSheetId="18">#REF!</definedName>
    <definedName name="Fresh_Express_94" localSheetId="6">#REF!</definedName>
    <definedName name="Fresh_Express_95_99_value" localSheetId="14">#REF!</definedName>
    <definedName name="Fresh_Express_95_99_value" localSheetId="18">#REF!</definedName>
    <definedName name="Fresh_Express_95_99_value" localSheetId="6">#REF!</definedName>
    <definedName name="GRT.NORT." localSheetId="2">'DBean3'!$IC$2:$IC$15</definedName>
    <definedName name="GRT.NORT.">#REF!</definedName>
    <definedName name="GVE_93_99_value" localSheetId="14">#REF!</definedName>
    <definedName name="GVE_93_99_value" localSheetId="18">#REF!</definedName>
    <definedName name="GVE_93_99_value" localSheetId="6">#REF!</definedName>
    <definedName name="L_LIMA" localSheetId="2">'DBean3'!$IH$2:$IH$15</definedName>
    <definedName name="L_LIMA">#REF!</definedName>
    <definedName name="Mann_93_99_value" localSheetId="14">#REF!</definedName>
    <definedName name="Mann_93_99_value" localSheetId="18">#REF!</definedName>
    <definedName name="Mann_93_99_value" localSheetId="6">#REF!</definedName>
    <definedName name="Misionero_93_99_value" localSheetId="14">#REF!</definedName>
    <definedName name="Misionero_93_99_value" localSheetId="18">#REF!</definedName>
    <definedName name="Misionero_93_99_value" localSheetId="6">#REF!</definedName>
    <definedName name="NAVY" localSheetId="2">'DBean3'!$IF$2:$IF$15</definedName>
    <definedName name="NAVY">#REF!</definedName>
    <definedName name="New_Star_93_99_value" localSheetId="14">#REF!</definedName>
    <definedName name="New_Star_93_99_value" localSheetId="18">#REF!</definedName>
    <definedName name="New_Star_93_99_value" localSheetId="6">#REF!</definedName>
    <definedName name="Nunes_93_99_value" localSheetId="14">#REF!</definedName>
    <definedName name="Nunes_93_99_value" localSheetId="18">#REF!</definedName>
    <definedName name="Nunes_93_99_value" localSheetId="6">#REF!</definedName>
    <definedName name="PINK" localSheetId="2">'DBean3'!$ID$2:$ID$15</definedName>
    <definedName name="PINK">#REF!</definedName>
    <definedName name="_xlnm.Print_Area" localSheetId="0">'DBean1'!$A$1:$R$96</definedName>
    <definedName name="_xlnm.Print_Area" localSheetId="9">'DBean10'!$A$2:$O$25</definedName>
    <definedName name="_xlnm.Print_Area" localSheetId="10">'DBean11'!$A$2:$Q$28</definedName>
    <definedName name="_xlnm.Print_Area" localSheetId="11">'DBean12'!$A$1:$R$28</definedName>
    <definedName name="_xlnm.Print_Area" localSheetId="12">'DBean12b'!$A$1:$Q$29</definedName>
    <definedName name="_xlnm.Print_Area" localSheetId="13">'DBean13'!$A$2:$Q$29</definedName>
    <definedName name="_xlnm.Print_Area" localSheetId="14">'DBean14'!$A$1:$W$45</definedName>
    <definedName name="_xlnm.Print_Area" localSheetId="15">'DBean15'!$A$3:$U$34</definedName>
    <definedName name="_xlnm.Print_Area" localSheetId="16">'DBean16'!$A$3:$V$44</definedName>
    <definedName name="_xlnm.Print_Area" localSheetId="17">'DBean17'!$A$2:$G$76</definedName>
    <definedName name="_xlnm.Print_Area" localSheetId="18">'DBean18'!$A$2:$AF$52</definedName>
    <definedName name="_xlnm.Print_Area" localSheetId="19">'DBean19'!$A$2:$O$34</definedName>
    <definedName name="_xlnm.Print_Area" localSheetId="1">'DBean2'!$A$2:$S$89</definedName>
    <definedName name="_xlnm.Print_Area" localSheetId="20">'DBean20'!$A$2:$O$79</definedName>
    <definedName name="_xlnm.Print_Area" localSheetId="2">'DBean3'!$A$1:$R$61</definedName>
    <definedName name="_xlnm.Print_Area" localSheetId="3">'DBean4'!$A$2:$S$60</definedName>
    <definedName name="_xlnm.Print_Area" localSheetId="4">'DBean5'!$A$2:$S$22</definedName>
    <definedName name="_xlnm.Print_Area" localSheetId="5">'DBean6'!$A$2:$S$25</definedName>
    <definedName name="_xlnm.Print_Area" localSheetId="6">'DBean7'!$A$2:$P$27</definedName>
    <definedName name="_xlnm.Print_Area" localSheetId="7">'DBean8'!$A$2:$P$26</definedName>
    <definedName name="_xlnm.Print_Area" localSheetId="8">'DBean9'!$A$2:$P$25</definedName>
    <definedName name="Print_Area_MI" localSheetId="10">'DBean11'!$A$2:$Q$32</definedName>
    <definedName name="Print_Area_MI" localSheetId="11">'DBean12'!$A$2:$R$32</definedName>
    <definedName name="Print_Area_MI" localSheetId="12">'DBean12b'!$A$2:$Q$33</definedName>
    <definedName name="Print_Area_MI" localSheetId="13">'DBean13'!$A$2:$Q$33</definedName>
    <definedName name="Print_Area_MI" localSheetId="14">'DBean14'!$A$2:$AF$45</definedName>
    <definedName name="Print_Area_MI" localSheetId="18">#REF!</definedName>
    <definedName name="Print_Area_MI" localSheetId="1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'DBean7'!$A$2:$P$26</definedName>
    <definedName name="Ready_Pac_93_94_value" localSheetId="14">#REF!</definedName>
    <definedName name="Ready_Pac_93_94_value" localSheetId="18">#REF!</definedName>
    <definedName name="Ready_Pac_93_94_value" localSheetId="6">#REF!</definedName>
    <definedName name="Ready_Pac_95_99_value" localSheetId="14">#REF!</definedName>
    <definedName name="Ready_Pac_95_99_value" localSheetId="18">#REF!</definedName>
    <definedName name="Ready_Pac_95_99_value" localSheetId="6">#REF!</definedName>
    <definedName name="River_Ranch_93_94_value" localSheetId="14">#REF!</definedName>
    <definedName name="River_Ranch_93_94_value" localSheetId="18">#REF!</definedName>
    <definedName name="River_Ranch_93_94_value" localSheetId="6">#REF!</definedName>
    <definedName name="River_Ranch_95_99_value" localSheetId="14">#REF!</definedName>
    <definedName name="River_Ranch_95_99_value" localSheetId="18">#REF!</definedName>
    <definedName name="River_Ranch_95_99_value" localSheetId="6">#REF!</definedName>
    <definedName name="S_RED" localSheetId="2">'DBean3'!$IE$2:$IE$15</definedName>
    <definedName name="S_RED">#REF!</definedName>
    <definedName name="sales_page_5" localSheetId="14">#REF!</definedName>
    <definedName name="sales_page_5" localSheetId="18">#REF!</definedName>
    <definedName name="sales_page_5" localSheetId="6">#REF!</definedName>
    <definedName name="TABLE" localSheetId="1">'DBean2'!#REF!</definedName>
    <definedName name="TABLE" localSheetId="3">'DBean4'!#REF!</definedName>
    <definedName name="TABLE" localSheetId="4">'DBean5'!#REF!</definedName>
    <definedName name="TABLE" localSheetId="5">'DBean6'!#REF!</definedName>
    <definedName name="TABLE_2" localSheetId="1">'DBean2'!#REF!</definedName>
    <definedName name="TABLE_2" localSheetId="3">'DBean4'!#REF!</definedName>
    <definedName name="TABLE_2" localSheetId="4">'DBean5'!#REF!</definedName>
    <definedName name="TABLE_2" localSheetId="5">'DBean6'!#REF!</definedName>
    <definedName name="TABLE_3" localSheetId="1">'DBean2'!#REF!</definedName>
    <definedName name="TABLE_3" localSheetId="3">'DBean4'!#REF!</definedName>
    <definedName name="TABLE_3" localSheetId="4">'DBean5'!#REF!</definedName>
    <definedName name="TABLE_3" localSheetId="5">'DBean6'!#REF!</definedName>
    <definedName name="Table_Buyer_Type_Value_Added_Sales" localSheetId="14">#REF!</definedName>
    <definedName name="Table_Buyer_Type_Value_Added_Sales" localSheetId="18">#REF!</definedName>
    <definedName name="Table_Buyer_Type_Value_Added_Sales" localSheetId="6">#REF!</definedName>
    <definedName name="Table_BuyerTyoe_Tom_sales_page_5" localSheetId="14">#REF!</definedName>
    <definedName name="Table_BuyerTyoe_Tom_sales_page_5" localSheetId="18">#REF!</definedName>
    <definedName name="Table_BuyerTyoe_Tom_sales_page_5" localSheetId="6">#REF!</definedName>
    <definedName name="Table_FeeTypes" localSheetId="14">#REF!</definedName>
    <definedName name="Table_FeeTypes" localSheetId="18">#REF!</definedName>
    <definedName name="Table_FeeTypes" localSheetId="6">#REF!</definedName>
    <definedName name="Table_Page_6_1999" localSheetId="14">#REF!</definedName>
    <definedName name="Table_Page_6_1999" localSheetId="18">#REF!</definedName>
    <definedName name="Table_Page_6_1999" localSheetId="6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<sst xmlns="http://schemas.openxmlformats.org/spreadsheetml/2006/main" count="1877" uniqueCount="580">
  <si>
    <t>Change</t>
  </si>
  <si>
    <t>State</t>
  </si>
  <si>
    <t>--1,000 acres--</t>
  </si>
  <si>
    <t xml:space="preserve">Percent </t>
  </si>
  <si>
    <t>North Dakota</t>
  </si>
  <si>
    <t>Michigan</t>
  </si>
  <si>
    <t>Nebraska</t>
  </si>
  <si>
    <t>Colorado</t>
  </si>
  <si>
    <t>California</t>
  </si>
  <si>
    <t>Minnesota</t>
  </si>
  <si>
    <t>Idaho</t>
  </si>
  <si>
    <t>Others 1/</t>
  </si>
  <si>
    <t>U.S.</t>
  </si>
  <si>
    <t xml:space="preserve"> Source: National Agricultural Statistics Service, USDA.</t>
  </si>
  <si>
    <t>--1,000 cwt--</t>
  </si>
  <si>
    <t xml:space="preserve"> </t>
  </si>
  <si>
    <t xml:space="preserve">         Item</t>
  </si>
  <si>
    <t>Percent</t>
  </si>
  <si>
    <t xml:space="preserve"> Navy beans</t>
  </si>
  <si>
    <t>Annual</t>
  </si>
  <si>
    <t>Change from</t>
  </si>
  <si>
    <t xml:space="preserve">         Type</t>
  </si>
  <si>
    <t>CA</t>
  </si>
  <si>
    <t>CO</t>
  </si>
  <si>
    <t>ID</t>
  </si>
  <si>
    <t>MI</t>
  </si>
  <si>
    <t>MN</t>
  </si>
  <si>
    <t>NE</t>
  </si>
  <si>
    <t>NY</t>
  </si>
  <si>
    <t>ND</t>
  </si>
  <si>
    <t>WA</t>
  </si>
  <si>
    <t>WY</t>
  </si>
  <si>
    <t>Other 1/</t>
  </si>
  <si>
    <t>Navy</t>
  </si>
  <si>
    <t xml:space="preserve">Great Northern  </t>
  </si>
  <si>
    <t>Pinto</t>
  </si>
  <si>
    <t xml:space="preserve">Light red kidney  </t>
  </si>
  <si>
    <t xml:space="preserve">Dark red kidney  </t>
  </si>
  <si>
    <t>Large lima</t>
  </si>
  <si>
    <t>Baby lima</t>
  </si>
  <si>
    <t>Blackeye</t>
  </si>
  <si>
    <t>Pink</t>
  </si>
  <si>
    <t>Small red</t>
  </si>
  <si>
    <t>Cranberry</t>
  </si>
  <si>
    <t>Garbanzo</t>
  </si>
  <si>
    <t xml:space="preserve">Black </t>
  </si>
  <si>
    <t>Others</t>
  </si>
  <si>
    <t xml:space="preserve"> Total</t>
  </si>
  <si>
    <t>Class</t>
  </si>
  <si>
    <t>Crop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</si>
  <si>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</si>
  <si>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</si>
  <si>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</si>
  <si>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</si>
  <si>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</si>
  <si>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</si>
  <si>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</si>
  <si>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</si>
  <si>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</si>
  <si>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June</t>
  </si>
  <si>
    <t>July</t>
  </si>
  <si>
    <t>Aug.</t>
  </si>
  <si>
    <t>year</t>
  </si>
  <si>
    <t>Dollars/cwt</t>
  </si>
  <si>
    <t>All beans  1/</t>
  </si>
  <si>
    <t>Pinto  2/</t>
  </si>
  <si>
    <t>Navy (pea bean)  3/</t>
  </si>
  <si>
    <t xml:space="preserve">  No. 1s.</t>
  </si>
  <si>
    <t>Great Northern  4/</t>
  </si>
  <si>
    <t>Light red kidney  3/</t>
  </si>
  <si>
    <t>Dark red kidney  5/</t>
  </si>
  <si>
    <t>Black 3/</t>
  </si>
  <si>
    <t xml:space="preserve">        --</t>
  </si>
  <si>
    <t>Small red  6/</t>
  </si>
  <si>
    <t>Cranberry  3/</t>
  </si>
  <si>
    <t>--</t>
  </si>
  <si>
    <t>Pink  6/</t>
  </si>
  <si>
    <t>Baby lima  7/</t>
  </si>
  <si>
    <t>Large lima  7/</t>
  </si>
  <si>
    <t>Blackeye  7/</t>
  </si>
  <si>
    <t xml:space="preserve"> 3/  Mid-point of range quoted in Michigan.   4/  Mid-point of range quoted in Colorado/Nebraska/Wyoming.  </t>
  </si>
  <si>
    <t xml:space="preserve"> 5/  Mid-point of range quoted in Minnesota/Wisconsin.    6/  Mid-point of range quoted in Idaho.</t>
  </si>
  <si>
    <t xml:space="preserve">         Category</t>
  </si>
  <si>
    <t xml:space="preserve">      I</t>
  </si>
  <si>
    <t xml:space="preserve">     IV</t>
  </si>
  <si>
    <t xml:space="preserve">Exports:  </t>
  </si>
  <si>
    <t xml:space="preserve"> Black beans  </t>
  </si>
  <si>
    <t xml:space="preserve"> Blackeye cowpeas  </t>
  </si>
  <si>
    <t xml:space="preserve"> Cranberry beans  </t>
  </si>
  <si>
    <t xml:space="preserve"> Dark red kidney </t>
  </si>
  <si>
    <t xml:space="preserve"> Garbanzo beans  </t>
  </si>
  <si>
    <t xml:space="preserve"> Great Northern  </t>
  </si>
  <si>
    <t xml:space="preserve"> Light red kidney </t>
  </si>
  <si>
    <t xml:space="preserve"> Limas, baby  </t>
  </si>
  <si>
    <t xml:space="preserve"> Limas, other </t>
  </si>
  <si>
    <t xml:space="preserve"> Navy beans  </t>
  </si>
  <si>
    <t xml:space="preserve"> Pink beans  </t>
  </si>
  <si>
    <t xml:space="preserve"> Pinto beans  </t>
  </si>
  <si>
    <t xml:space="preserve"> Small red   </t>
  </si>
  <si>
    <t xml:space="preserve"> Misc. whites  </t>
  </si>
  <si>
    <t xml:space="preserve">    Subtotal, less seed  </t>
  </si>
  <si>
    <t xml:space="preserve"> Seed beans  </t>
  </si>
  <si>
    <t xml:space="preserve">  Total, including seed  </t>
  </si>
  <si>
    <t xml:space="preserve">Imports:  </t>
  </si>
  <si>
    <t xml:space="preserve"> Year </t>
  </si>
  <si>
    <t xml:space="preserve">         Pinto</t>
  </si>
  <si>
    <t xml:space="preserve">         Navy</t>
  </si>
  <si>
    <t xml:space="preserve">           Total</t>
  </si>
  <si>
    <t xml:space="preserve">                             -- Pounds per person --</t>
  </si>
  <si>
    <t>1994</t>
  </si>
  <si>
    <t>1996</t>
  </si>
  <si>
    <t>New York</t>
  </si>
  <si>
    <t xml:space="preserve">    2000</t>
  </si>
  <si>
    <t xml:space="preserve">1999 </t>
  </si>
  <si>
    <t xml:space="preserve">1998 </t>
  </si>
  <si>
    <t xml:space="preserve">1997 </t>
  </si>
  <si>
    <t>Washington</t>
  </si>
  <si>
    <t>Wyoming</t>
  </si>
  <si>
    <t>Texas</t>
  </si>
  <si>
    <t>Average</t>
  </si>
  <si>
    <t xml:space="preserve">  6/ California.  7/ Minnesota/Wisconsin. </t>
  </si>
  <si>
    <t xml:space="preserve">  State</t>
  </si>
  <si>
    <t>-- 1,000 acres --</t>
  </si>
  <si>
    <t xml:space="preserve">Others 1/  </t>
  </si>
  <si>
    <t>United States</t>
  </si>
  <si>
    <t>1994-98</t>
  </si>
  <si>
    <t xml:space="preserve"> Black beans</t>
  </si>
  <si>
    <t xml:space="preserve">         Black</t>
  </si>
  <si>
    <t xml:space="preserve">      --</t>
  </si>
  <si>
    <t>-- 1,000 lbs --</t>
  </si>
  <si>
    <t xml:space="preserve">    State</t>
  </si>
  <si>
    <t>1,000 dollars</t>
  </si>
  <si>
    <t>Kansas</t>
  </si>
  <si>
    <t>Montana</t>
  </si>
  <si>
    <t>New Mexico</t>
  </si>
  <si>
    <t>Oregon</t>
  </si>
  <si>
    <t>South Dakota</t>
  </si>
  <si>
    <t>Utah</t>
  </si>
  <si>
    <t>Wisconsin</t>
  </si>
  <si>
    <t xml:space="preserve">U.S. </t>
  </si>
  <si>
    <t>Source:  Economic Research Service, USDA.</t>
  </si>
  <si>
    <t xml:space="preserve"> II</t>
  </si>
  <si>
    <t xml:space="preserve"> Chickpeas (Garbanzo)</t>
  </si>
  <si>
    <t>1996/97</t>
  </si>
  <si>
    <t>1997/98</t>
  </si>
  <si>
    <t>1998/99</t>
  </si>
  <si>
    <t>1999/2000</t>
  </si>
  <si>
    <t>2000/01</t>
  </si>
  <si>
    <t xml:space="preserve">     Month</t>
  </si>
  <si>
    <t xml:space="preserve">  Sep</t>
  </si>
  <si>
    <t xml:space="preserve">  Oct</t>
  </si>
  <si>
    <t xml:space="preserve">  Nov</t>
  </si>
  <si>
    <t xml:space="preserve">  Dec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</si>
  <si>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</si>
  <si>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</si>
  <si>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</si>
  <si>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</si>
  <si>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</si>
  <si>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</si>
  <si>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</si>
  <si>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</si>
  <si>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>N. Dakota</t>
  </si>
  <si>
    <t xml:space="preserve"> III</t>
  </si>
  <si>
    <t xml:space="preserve"> 1/  Calendar year quarters (I = Jan-Mar, etc)   2/ Includes, fava, blackgram, and miscellaneous dry beans.  3/  Excludes guar seeds.   4/ Exports less imports.  Includes seed.  </t>
  </si>
  <si>
    <t xml:space="preserve"> Other beans 2/  </t>
  </si>
  <si>
    <t xml:space="preserve"> Other beans 3/ </t>
  </si>
  <si>
    <t xml:space="preserve">Net trade 4/  </t>
  </si>
  <si>
    <t>2001/02</t>
  </si>
  <si>
    <t xml:space="preserve">2001 </t>
  </si>
  <si>
    <t xml:space="preserve">      Great</t>
  </si>
  <si>
    <t xml:space="preserve">      All</t>
  </si>
  <si>
    <t>Red kidney</t>
  </si>
  <si>
    <t xml:space="preserve">    Small</t>
  </si>
  <si>
    <t xml:space="preserve">      red</t>
  </si>
  <si>
    <t xml:space="preserve"> Garbanzo</t>
  </si>
  <si>
    <t xml:space="preserve">  Blackeye</t>
  </si>
  <si>
    <t xml:space="preserve">        Other</t>
  </si>
  <si>
    <t xml:space="preserve">    Northern</t>
  </si>
  <si>
    <t xml:space="preserve"> 1/ Includes Kansas, Montana, New Mexico, Oregon, Utah, and Wisconsin.  South Dakota was added in 2000. </t>
  </si>
  <si>
    <t xml:space="preserve">    2001</t>
  </si>
  <si>
    <t xml:space="preserve">      1/</t>
  </si>
  <si>
    <t xml:space="preserve">  Small chickpeas</t>
  </si>
  <si>
    <t xml:space="preserve">  Large chickpeas</t>
  </si>
  <si>
    <t xml:space="preserve">         Percent of planted area harvested</t>
  </si>
  <si>
    <t xml:space="preserve">     --</t>
  </si>
  <si>
    <t xml:space="preserve"> Mung &amp; urd beans</t>
  </si>
  <si>
    <t>(0713395050) PINTO BEANS, EXCEPT SEED, DRIED, SHELLED</t>
  </si>
  <si>
    <t>(0713333000) NAVY OR PEA BEANS, EXCEPT SEED, DRIED, SHELLED</t>
  </si>
  <si>
    <t>(0713395020) GREAT NORTHERN BEANS, EXCEPT SEED, DRIED, SHELLED</t>
  </si>
  <si>
    <t>(0713395010) BLACK BEANS, EXCEPT SEED, DRIED, SHELLED</t>
  </si>
  <si>
    <t>(0713335020) DARK RED KIDNEY BEANS, (EX SEED), DRIED, SHELLED</t>
  </si>
  <si>
    <t>(0713335040) LIGHT RED KIDNEY BEANS, (EX SEED), DRIED, SHELLED</t>
  </si>
  <si>
    <t>(0713395030) BABY LIMA BEANS, EXCEPT SEED, DRIED, SHELLED</t>
  </si>
  <si>
    <t>(0713395040) LIMA BEANS, NESOI, EXCEPT SEED, DRIED, SHELLED</t>
  </si>
  <si>
    <t>(0713322000) SMALL RED (ADZUKI) BEANS, EXCEPT SEED DRD, SHELLED</t>
  </si>
  <si>
    <t>(0713202000) CHICKPEAS (GARBANZOS), EXCEPT SEED, DRIED, SHELLED</t>
  </si>
  <si>
    <t>(0713391500) COWPEAS, EXCEPT SEED, DRIED, SHELLED</t>
  </si>
  <si>
    <t>(0713395070) CRANBERRY BEANS, (EX SEED), DRIED, SHELLED</t>
  </si>
  <si>
    <t>(0713335050) PINK BEANS, (EX SEED), DRIED, SHELLED</t>
  </si>
  <si>
    <t>(0713316000) BEANS EX SEED VIGNA MUNGO HEPPER, DRIED, SHELLED</t>
  </si>
  <si>
    <t>(0713395060) WHITE BEANS, NESOI, EXCEPT SEED, DRIED, SHELLED</t>
  </si>
  <si>
    <t>(0713502000) BROAD BEANS AND HORSE BEANS EX SEED, DRIED SHELLED</t>
  </si>
  <si>
    <t>(0713335070) MISCELLANEOUS BEANS, (EX SEED), DRIED, SHELLED</t>
  </si>
  <si>
    <t>(0713395090) ALL OTHER BEANS, (EX SEED), DRIED, SHELLED</t>
  </si>
  <si>
    <t xml:space="preserve">   Percent</t>
  </si>
  <si>
    <t xml:space="preserve">   change</t>
  </si>
  <si>
    <t xml:space="preserve">                                      Export item</t>
  </si>
  <si>
    <t>1/ What are cash receipts?  For a definition and to see how receipts are calculated, see:  http://www.ers.usda.gov/briefing/FarmIncome/Glossary/def_cr.htm</t>
  </si>
  <si>
    <t>2002/03</t>
  </si>
  <si>
    <t xml:space="preserve">      5 - year</t>
  </si>
  <si>
    <t xml:space="preserve">  average</t>
  </si>
  <si>
    <t xml:space="preserve">  1994-98</t>
  </si>
  <si>
    <t xml:space="preserve">   average</t>
  </si>
  <si>
    <t xml:space="preserve">2002 </t>
  </si>
  <si>
    <t>-- = not available.   f = ERS forecast.</t>
  </si>
  <si>
    <t>Lima beans</t>
  </si>
  <si>
    <t xml:space="preserve">  Dark red</t>
  </si>
  <si>
    <t xml:space="preserve">   Light red</t>
  </si>
  <si>
    <t xml:space="preserve">     Baby</t>
  </si>
  <si>
    <t xml:space="preserve">    Large</t>
  </si>
  <si>
    <t xml:space="preserve">   Pink</t>
  </si>
  <si>
    <t xml:space="preserve">    2/</t>
  </si>
  <si>
    <t xml:space="preserve">           --</t>
  </si>
  <si>
    <t xml:space="preserve">            --</t>
  </si>
  <si>
    <t xml:space="preserve">       --</t>
  </si>
  <si>
    <t xml:space="preserve">         --</t>
  </si>
  <si>
    <t>2000</t>
  </si>
  <si>
    <t xml:space="preserve">2003 </t>
  </si>
  <si>
    <t xml:space="preserve">2004 </t>
  </si>
  <si>
    <t>f</t>
  </si>
  <si>
    <t xml:space="preserve">  Percent</t>
  </si>
  <si>
    <t>Share of planted area that is harvested</t>
  </si>
  <si>
    <t xml:space="preserve">    2002</t>
  </si>
  <si>
    <t xml:space="preserve">Small white 2/  </t>
  </si>
  <si>
    <t xml:space="preserve"> 1/ Includes Kansas,  Montana,  Oregon, South Dakota, Texas, Utah, and Wisconsin.   2/ Includes flat small whites.  </t>
  </si>
  <si>
    <t>2004</t>
  </si>
  <si>
    <t>2003/04</t>
  </si>
  <si>
    <t xml:space="preserve"> 1/ Kansas, Montana, Utah, New Mexico (except 2000), Wisconsin, Oregon, and South Dakota (beginning in 2000).</t>
  </si>
  <si>
    <t>Link to the NASS Acreage report.</t>
  </si>
  <si>
    <t>Link to the NASS Crop Production report.</t>
  </si>
  <si>
    <t xml:space="preserve"> Crop year</t>
  </si>
  <si>
    <t xml:space="preserve">1/ What are cash receipts?  For a definition and to see how receipts are calculated, see:  </t>
  </si>
  <si>
    <t>http://www.ers.usda.gov/briefing/FarmIncome/Glossary/def_cr.htm</t>
  </si>
  <si>
    <t xml:space="preserve">    2003</t>
  </si>
  <si>
    <t>Season</t>
  </si>
  <si>
    <t>average</t>
  </si>
  <si>
    <t xml:space="preserve"> 1/  Average price received by U.S. growers as reported by USDA, NASS.   Annual is season-average.   2/  Mid-point of range quoted in Minnesota/N. Dakota.</t>
  </si>
  <si>
    <t>Garbanzo 8/</t>
  </si>
  <si>
    <t>Link to NASS Acreage report</t>
  </si>
  <si>
    <t xml:space="preserve">  New Mexico was dropped in 2000 and reinstated in 2001.   Wisconsin was dropped after 2004.  </t>
  </si>
  <si>
    <t xml:space="preserve"> 1/ Kansas, Montana, Utah, New Mexico(except 2000), Wisconsin (through 2004), Oregon, and South Dakota (beginning in 2000).</t>
  </si>
  <si>
    <t xml:space="preserve">                                          -- Pounds per acre --</t>
  </si>
  <si>
    <t>Pounds</t>
  </si>
  <si>
    <t>2005</t>
  </si>
  <si>
    <t>-- = not available.  f = ERS forecast.</t>
  </si>
  <si>
    <t xml:space="preserve">    2004/05</t>
  </si>
  <si>
    <r>
      <t>Source:  "</t>
    </r>
    <r>
      <rPr>
        <b/>
        <i/>
        <sz val="8"/>
        <rFont val="Arial"/>
        <family val="2"/>
      </rPr>
      <t>Agricultural Prices</t>
    </r>
    <r>
      <rPr>
        <i/>
        <sz val="8"/>
        <rFont val="Arial"/>
        <family val="2"/>
      </rPr>
      <t>", National Agricultural Statistics Service, USDA.</t>
    </r>
  </si>
  <si>
    <t>First estimate is published in November Ag Prices</t>
  </si>
  <si>
    <t>2004/05</t>
  </si>
  <si>
    <t>Lbs</t>
  </si>
  <si>
    <t>(0001) WORLD</t>
  </si>
  <si>
    <t>(12) EXPORTS - DOMESTIC QTY1 FACTORED</t>
  </si>
  <si>
    <t>(0713335050) DRIED PINK BEANS, NOT USED FOR SOWING</t>
  </si>
  <si>
    <t>(0713335070) KIDNEY BEANS INC WHITE PEA, NESOI, EX SEED DR/SHLD</t>
  </si>
  <si>
    <t>(0713395070) CRANBERRY BEANS, EXCEPT SEED, DRIED, SHELLED</t>
  </si>
  <si>
    <t>(0713395090) BEANS, NESOI, EXCEPT SEED, DRIED, SHELLED</t>
  </si>
  <si>
    <t>PERCENT</t>
  </si>
  <si>
    <t>5 Yr Ave for</t>
  </si>
  <si>
    <t xml:space="preserve">  f = ERS estimate.</t>
  </si>
  <si>
    <t xml:space="preserve"> 2/ Includes small white and all other dry edible beans after 1979. </t>
  </si>
  <si>
    <t>2006</t>
  </si>
  <si>
    <t>For comparison:</t>
  </si>
  <si>
    <t xml:space="preserve"> f = ERS forecast based largely on percent change in volume to date from a year earlier.   1/ The crop year runs from September to August.</t>
  </si>
  <si>
    <t xml:space="preserve">    2004</t>
  </si>
  <si>
    <r>
      <t xml:space="preserve">Source:  USDA, National Agricultural Statistics Service, </t>
    </r>
    <r>
      <rPr>
        <i/>
        <sz val="8"/>
        <rFont val="Arial"/>
        <family val="2"/>
      </rPr>
      <t>Agricultural Prices.</t>
    </r>
  </si>
  <si>
    <t xml:space="preserve">Source:  Computed by USDA, Economic Research Service.  </t>
  </si>
  <si>
    <t xml:space="preserve"> Source: Compiled by USDA, ERS from data of the U.S. Dept. of Commerce, Bureau of the Census.</t>
  </si>
  <si>
    <t>Source:  Estimated by USDA, Economic Research Service.</t>
  </si>
  <si>
    <r>
      <t xml:space="preserve">  Source: USDA, Agricultural Marketing Service, </t>
    </r>
    <r>
      <rPr>
        <i/>
        <sz val="7"/>
        <rFont val="Helvetica"/>
        <family val="2"/>
      </rPr>
      <t>Bean Market News.</t>
    </r>
  </si>
  <si>
    <r>
      <t>Source:  USDA, National Agricultural Statistics Service,</t>
    </r>
    <r>
      <rPr>
        <i/>
        <sz val="7"/>
        <rFont val="Helvetica"/>
        <family val="2"/>
      </rPr>
      <t xml:space="preserve"> Agricultural Prices.</t>
    </r>
  </si>
  <si>
    <r>
      <t xml:space="preserve">Source:  Adapted by ERS from data provided by USDA, Agricultural Marketing Service, </t>
    </r>
    <r>
      <rPr>
        <i/>
        <sz val="7"/>
        <rFont val="Helvetica"/>
        <family val="2"/>
      </rPr>
      <t>Bean Market News.</t>
    </r>
  </si>
  <si>
    <t xml:space="preserve">    2005/06 </t>
  </si>
  <si>
    <t xml:space="preserve"> Pounds</t>
  </si>
  <si>
    <t xml:space="preserve">2005 </t>
  </si>
  <si>
    <t>2006 to 2007</t>
  </si>
  <si>
    <t>2005/06</t>
  </si>
  <si>
    <t xml:space="preserve">    2005</t>
  </si>
  <si>
    <r>
      <t xml:space="preserve"> Source:  USDA, National Agricultural Statistics Service, </t>
    </r>
    <r>
      <rPr>
        <i/>
        <sz val="7"/>
        <rFont val="Helvetica"/>
        <family val="2"/>
      </rPr>
      <t>Crop Production, 2006 Summary.</t>
    </r>
    <r>
      <rPr>
        <sz val="7"/>
        <rFont val="Helvetica"/>
        <family val="2"/>
      </rPr>
      <t xml:space="preserve"> </t>
    </r>
  </si>
  <si>
    <t xml:space="preserve">2006 </t>
  </si>
  <si>
    <t>Pinto, dry</t>
  </si>
  <si>
    <t>Navy (pea), dry</t>
  </si>
  <si>
    <t>Great Northern, dry</t>
  </si>
  <si>
    <t>Pink beans, dry</t>
  </si>
  <si>
    <t>Dry beans, canned</t>
  </si>
  <si>
    <t xml:space="preserve"> -- not available.  p = preliminary.</t>
  </si>
  <si>
    <t>December 1982 = 100</t>
  </si>
  <si>
    <r>
      <t>Source:  U.S. Dept. of Labor, Bureau of Labor Statistics  (</t>
    </r>
    <r>
      <rPr>
        <u val="single"/>
        <sz val="7"/>
        <color indexed="12"/>
        <rFont val="Helvetica"/>
        <family val="2"/>
      </rPr>
      <t>http://www.bls.gov/data/home.htm</t>
    </r>
    <r>
      <rPr>
        <sz val="7"/>
        <rFont val="Helvetica"/>
        <family val="2"/>
      </rPr>
      <t>).</t>
    </r>
  </si>
  <si>
    <t>ARCHIVE:</t>
  </si>
  <si>
    <t xml:space="preserve"> I</t>
  </si>
  <si>
    <t>Link to USDA/FAS Trade Data Server</t>
  </si>
  <si>
    <t>Link to Bean Market News</t>
  </si>
  <si>
    <t>Link to Bean Market News Annual reports</t>
  </si>
  <si>
    <t xml:space="preserve"> Other beans 4/ </t>
  </si>
  <si>
    <t xml:space="preserve">Net trade 5/  </t>
  </si>
  <si>
    <t xml:space="preserve">     2007</t>
  </si>
  <si>
    <t>2007 planted area</t>
  </si>
  <si>
    <t>Quarterly averages</t>
  </si>
  <si>
    <t>Sep-Nov</t>
  </si>
  <si>
    <t>Dec-Feb</t>
  </si>
  <si>
    <t>Mar-May</t>
  </si>
  <si>
    <t>Jun-Aug</t>
  </si>
  <si>
    <t xml:space="preserve">    1998</t>
  </si>
  <si>
    <t xml:space="preserve">    1999</t>
  </si>
  <si>
    <t>December 1997 = 100</t>
  </si>
  <si>
    <t xml:space="preserve">    1995</t>
  </si>
  <si>
    <t xml:space="preserve">    1996</t>
  </si>
  <si>
    <t xml:space="preserve">    1997</t>
  </si>
  <si>
    <t>Cents per pound</t>
  </si>
  <si>
    <t xml:space="preserve"> Percent</t>
  </si>
  <si>
    <t xml:space="preserve"> -- not available.  </t>
  </si>
  <si>
    <t xml:space="preserve">    2006</t>
  </si>
  <si>
    <t xml:space="preserve"> -- not available.  p = preliminary based on average weekly prices.   </t>
  </si>
  <si>
    <t xml:space="preserve"> Mung/urd beans 3/</t>
  </si>
  <si>
    <t xml:space="preserve"> 1/  Calendar year quarters (I = Jan-Mar, etc)   2/ Includes, fava, blackgram, and miscellaneous dry beans.  3/ Includes dry beans classified as mung beans (majority) and vigna mungo hepper.  4/  Excludes guar seeds.  </t>
  </si>
  <si>
    <t xml:space="preserve">    2006/07 </t>
  </si>
  <si>
    <t xml:space="preserve">    2007p</t>
  </si>
  <si>
    <t xml:space="preserve">    2007</t>
  </si>
  <si>
    <t>row</t>
  </si>
  <si>
    <t xml:space="preserve">    Percent</t>
  </si>
  <si>
    <t xml:space="preserve">    change</t>
  </si>
  <si>
    <t xml:space="preserve"> Source: Compiled by USDA, ERS from data of the U.S. Dept. of Commerce, U.S. Census Bureau.</t>
  </si>
  <si>
    <t xml:space="preserve">      2003/04 </t>
  </si>
  <si>
    <t xml:space="preserve">      2002/03</t>
  </si>
  <si>
    <t xml:space="preserve">      2001/02</t>
  </si>
  <si>
    <t xml:space="preserve">     2000/01</t>
  </si>
  <si>
    <t>Northern</t>
  </si>
  <si>
    <t xml:space="preserve">  Great</t>
  </si>
  <si>
    <t>Black</t>
  </si>
  <si>
    <t>Light red</t>
  </si>
  <si>
    <t>kidney</t>
  </si>
  <si>
    <t>red</t>
  </si>
  <si>
    <t xml:space="preserve">   Small</t>
  </si>
  <si>
    <t xml:space="preserve">  Baby</t>
  </si>
  <si>
    <t>lima</t>
  </si>
  <si>
    <t xml:space="preserve">   Large</t>
  </si>
  <si>
    <t xml:space="preserve"> lima</t>
  </si>
  <si>
    <t>eye</t>
  </si>
  <si>
    <t xml:space="preserve">   Black-</t>
  </si>
  <si>
    <t>2/</t>
  </si>
  <si>
    <t>5/</t>
  </si>
  <si>
    <t>3/</t>
  </si>
  <si>
    <t>4/</t>
  </si>
  <si>
    <t>7/</t>
  </si>
  <si>
    <t>6/</t>
  </si>
  <si>
    <t xml:space="preserve">  Sep-Nov</t>
  </si>
  <si>
    <t xml:space="preserve">  Dec-Feb</t>
  </si>
  <si>
    <t xml:space="preserve">  Mar-May</t>
  </si>
  <si>
    <t xml:space="preserve">  June-Aug</t>
  </si>
  <si>
    <t xml:space="preserve"> Cents per pound ($/cwt)</t>
  </si>
  <si>
    <t>2000/01:</t>
  </si>
  <si>
    <t>2001/02:</t>
  </si>
  <si>
    <t>2002/03:</t>
  </si>
  <si>
    <t>2003/04:</t>
  </si>
  <si>
    <t>2004/05:</t>
  </si>
  <si>
    <t>2005/06:</t>
  </si>
  <si>
    <t>2006/07:</t>
  </si>
  <si>
    <t>2007/08:</t>
  </si>
  <si>
    <t>2007 production</t>
  </si>
  <si>
    <t>2006/07</t>
  </si>
  <si>
    <t xml:space="preserve">   Average</t>
  </si>
  <si>
    <t xml:space="preserve">   1994-98</t>
  </si>
  <si>
    <t xml:space="preserve">     2005</t>
  </si>
  <si>
    <t xml:space="preserve">     2006</t>
  </si>
  <si>
    <t xml:space="preserve">     Average</t>
  </si>
  <si>
    <t xml:space="preserve">     1994-98</t>
  </si>
  <si>
    <t xml:space="preserve">     1999</t>
  </si>
  <si>
    <t xml:space="preserve">     2000</t>
  </si>
  <si>
    <t xml:space="preserve">     2001</t>
  </si>
  <si>
    <t xml:space="preserve">     2002</t>
  </si>
  <si>
    <t xml:space="preserve">     2003</t>
  </si>
  <si>
    <t xml:space="preserve">     2004</t>
  </si>
  <si>
    <t xml:space="preserve">    2006 </t>
  </si>
  <si>
    <t>DB-Table 10--Dry edible beans:  Yield per acre in selected states,1994-98 average, 1999-2008</t>
  </si>
  <si>
    <t xml:space="preserve"> Season</t>
  </si>
  <si>
    <t>3 Yr Ave for</t>
  </si>
  <si>
    <r>
      <t xml:space="preserve">Note:  To be updated in January </t>
    </r>
    <r>
      <rPr>
        <i/>
        <sz val="9"/>
        <rFont val="Arial"/>
        <family val="2"/>
      </rPr>
      <t>Crop Production Annual.</t>
    </r>
  </si>
  <si>
    <t xml:space="preserve"> f = ERS projection based largely on year-to-date changes.   1/ The crop year runs from September to August.</t>
  </si>
  <si>
    <t xml:space="preserve">    2007 </t>
  </si>
  <si>
    <r>
      <t xml:space="preserve"> Source:  USDA, National Agricultural Statistics Service, </t>
    </r>
    <r>
      <rPr>
        <i/>
        <sz val="7"/>
        <rFont val="Helvetica"/>
        <family val="2"/>
      </rPr>
      <t>Crop Production, 2007 Summary.</t>
    </r>
    <r>
      <rPr>
        <sz val="7"/>
        <rFont val="Helvetica"/>
        <family val="2"/>
      </rPr>
      <t xml:space="preserve"> </t>
    </r>
  </si>
  <si>
    <t xml:space="preserve">2007 </t>
  </si>
  <si>
    <t>2007 to 2008</t>
  </si>
  <si>
    <t>Link to NASS Prospective Plantings Report</t>
  </si>
  <si>
    <t xml:space="preserve"> f = ERS forecast.   Totals may not sum due to rounding.     1/ Per capita disappearance reflects domestic production,  net trade, and estimated change in stocks.  </t>
  </si>
  <si>
    <t xml:space="preserve">DB-Table 9--Dry edible beans:  U.S. trade volume, by calendar year quarter, 2004-05 </t>
  </si>
  <si>
    <t xml:space="preserve">DB-Table 14--Dry edible beans:  U.S. trade volume, by calendar year quarter, 2006-2008  </t>
  </si>
  <si>
    <t xml:space="preserve">     Percent </t>
  </si>
  <si>
    <t xml:space="preserve">   Change</t>
  </si>
  <si>
    <t xml:space="preserve">  Mar-May p</t>
  </si>
  <si>
    <t>(0713312000) BEAN EX SEED VIGNA MUNGO HEPPER 5/1-8/31 DRD SHELL</t>
  </si>
  <si>
    <t>(0713314000) BEAN EX SEED VIGNA MUNGO HEPPER 9/1-4/30 DRD SHELL</t>
  </si>
  <si>
    <t>(0713332020) NAVY, PEA BEANS, EXCEPT SEED, ENTRY 5/1-8/31 DRIED</t>
  </si>
  <si>
    <t>(0713332030) DARK RED KIDNEY BEAN  EX SEED ENTRY 5/1-8/31 DRIED</t>
  </si>
  <si>
    <t>(0713332050) LIGHT RED KIDNEY BEAN EX SEED ENTRY 5/1-8/31 DRIED</t>
  </si>
  <si>
    <t>(0713332090) KIDNEY BEANS NESOI EXCPT SEED ENTRY 5/1-8/31 DRIED</t>
  </si>
  <si>
    <t>(0713334020) NAVY, PEA BEANS EX SEED, 9/1-4/30, DRIED SHELLED</t>
  </si>
  <si>
    <t>(0713334030) DARK RED KIDNEY BEAN NESOI EX SEED ENTRY 9/1-4/30</t>
  </si>
  <si>
    <t>(0713334050) LIGHT RED KIDNEY BEAN NESOI EX SEED ENTRY 9/1-4/30</t>
  </si>
  <si>
    <t>(0713334090) KIDNEY BEANS NESOI EX SEED, ENTRY 9/1-4/30 DR/SHLD</t>
  </si>
  <si>
    <t>(0713391010) CRANBERRY BEANS</t>
  </si>
  <si>
    <t>(0713392010) BLACK BEANS EX SEED ENTRY 5/1-8/31, DRIED SHELLED</t>
  </si>
  <si>
    <t>(0713392030) BABY LIMA BEANS EX SEED ENTRY 5/1-8/31, DRIED SHLD</t>
  </si>
  <si>
    <t>(0713392040) LIMA BEANS NESOI EX SEED ENTRY 5/1-8/31 DRIED SHLD</t>
  </si>
  <si>
    <t>(0713392050) PINTO BEANS EX SEED ENTRY 5/1-8/31 DRIED SHELLED</t>
  </si>
  <si>
    <t>(0713392060) WHITE BEANS NESOI EX SEED ENTRY 5/1-8/31 DRIED SHD</t>
  </si>
  <si>
    <t>(0713392070) BEAN (VIGNA, PHASEOLUS) NESOI 5/1-8/31, DRIED SHLD</t>
  </si>
  <si>
    <t>(0713394010) BLACK BEANS EX SEED, 9/1-4/30, DRIED, SHELLED</t>
  </si>
  <si>
    <t>(0713394020) GREAT NORTHERN BEAN EX SEED 9/1-4/30, DRIED SHELLD</t>
  </si>
  <si>
    <t>(0713394030) BABY LIMA BEANS EX SEED, 9/1-4/30 DRIED SHELLED</t>
  </si>
  <si>
    <t>(0713394040) LIMA BEANS NESOI EX SEED, 9/1-4/30, DRIED, SHELLED</t>
  </si>
  <si>
    <t>(0713394050) PINTO BEANS EX SEED, 9/1-4/30, DRIED, SHELLED</t>
  </si>
  <si>
    <t>(0713394060) WHITE BEANS NESOI EX SEED, 9/1-4/30, DRIED SHELLED</t>
  </si>
  <si>
    <t>(0713394070) BEANS (VIGNA, PHASEOLUS) NESOI, 9/1-4/30, DRD SHLD</t>
  </si>
  <si>
    <t>(0713202010) KABULI CHICKPEAS, EXCEPT SEED, DRIED,SHELLED</t>
  </si>
  <si>
    <t>(0713202090) CHICKPEAS (GARBANZOS), EXCEPT SEED, DRIED, SHELLED</t>
  </si>
  <si>
    <t>(0713392020) GREAT NORTHERN BEANS EX SEED 5/1-8/31, DRIED SHLLD</t>
  </si>
  <si>
    <t>IMPORTS--2006/07</t>
  </si>
  <si>
    <t xml:space="preserve">   --</t>
  </si>
  <si>
    <t xml:space="preserve">               --</t>
  </si>
  <si>
    <t>FY1999-2000</t>
  </si>
  <si>
    <t>FY2000-2001</t>
  </si>
  <si>
    <t>FY2001-2002</t>
  </si>
  <si>
    <t>FY2002-2003</t>
  </si>
  <si>
    <t>FY2003-2004</t>
  </si>
  <si>
    <t>FY2004-2005</t>
  </si>
  <si>
    <t>FY2005-2006</t>
  </si>
  <si>
    <t>FY2006-2007</t>
  </si>
  <si>
    <t>FY1989-1990</t>
  </si>
  <si>
    <t>FY1990-1991</t>
  </si>
  <si>
    <t>FY1991-1992</t>
  </si>
  <si>
    <t>FY1992-1993</t>
  </si>
  <si>
    <t>FY1993-1994</t>
  </si>
  <si>
    <t>FY1994-1995</t>
  </si>
  <si>
    <t>FY1995-1996</t>
  </si>
  <si>
    <t>FY1996-1997</t>
  </si>
  <si>
    <t>FY1997-1998</t>
  </si>
  <si>
    <t>FY1998-1999</t>
  </si>
  <si>
    <t>CY1990</t>
  </si>
  <si>
    <t>CY1991</t>
  </si>
  <si>
    <t>CY1992</t>
  </si>
  <si>
    <t>CY1993</t>
  </si>
  <si>
    <t>CY1994</t>
  </si>
  <si>
    <t>CY1995</t>
  </si>
  <si>
    <t>CY1996</t>
  </si>
  <si>
    <t>CY1997</t>
  </si>
  <si>
    <t>CY1998</t>
  </si>
  <si>
    <t>CY1999</t>
  </si>
  <si>
    <t>CY2000</t>
  </si>
  <si>
    <t>CY2001</t>
  </si>
  <si>
    <t>CY2002</t>
  </si>
  <si>
    <t>CY2003</t>
  </si>
  <si>
    <t>CY2004</t>
  </si>
  <si>
    <t>CY2005</t>
  </si>
  <si>
    <t>CY2006</t>
  </si>
  <si>
    <t>CY2007</t>
  </si>
  <si>
    <t>STSep1989-Aug1990</t>
  </si>
  <si>
    <t>STSep1990-Aug1991</t>
  </si>
  <si>
    <t>STSep1991-Aug1992</t>
  </si>
  <si>
    <t>STSep1992-Aug1993</t>
  </si>
  <si>
    <t>STSep1993-Aug1994</t>
  </si>
  <si>
    <t>STSep1994-Aug1995</t>
  </si>
  <si>
    <t>STSep1995-Aug1996</t>
  </si>
  <si>
    <t>STSep1996-Aug1997</t>
  </si>
  <si>
    <t>STSep1997-Aug1998</t>
  </si>
  <si>
    <t>STSep1998-Aug1999</t>
  </si>
  <si>
    <t>STSep1999-Aug2000</t>
  </si>
  <si>
    <t>STSep2000-Aug2001</t>
  </si>
  <si>
    <t>STSep2001-Aug2002</t>
  </si>
  <si>
    <t>STSep2002-Aug2003</t>
  </si>
  <si>
    <t>STSep2003-Aug2004</t>
  </si>
  <si>
    <t>STSep2004-Aug2005</t>
  </si>
  <si>
    <t>STSep2005-Aug2006</t>
  </si>
  <si>
    <t>STSep2006-Aug2007</t>
  </si>
  <si>
    <t>Fiscal year (Oct-Sep):</t>
  </si>
  <si>
    <t>Jan</t>
  </si>
  <si>
    <t>Feb</t>
  </si>
  <si>
    <t>Mar</t>
  </si>
  <si>
    <t>Apr</t>
  </si>
  <si>
    <t>Aug</t>
  </si>
  <si>
    <t>Sep</t>
  </si>
  <si>
    <t>Oct</t>
  </si>
  <si>
    <t>Nov</t>
  </si>
  <si>
    <t>Dec</t>
  </si>
  <si>
    <t xml:space="preserve">            U.S. dollars</t>
  </si>
  <si>
    <t>Source:  Compiled by ERS from data of USDC, U.S. Census Bureau.</t>
  </si>
  <si>
    <t xml:space="preserve">  U.S. dollars</t>
  </si>
  <si>
    <t>U.S. Ag Exports</t>
  </si>
  <si>
    <t>Dry Bean Exports</t>
  </si>
  <si>
    <t xml:space="preserve">  Dry bean share</t>
  </si>
  <si>
    <t xml:space="preserve">        Percent</t>
  </si>
  <si>
    <t xml:space="preserve">       Year</t>
  </si>
  <si>
    <t>Table 17b--Monthly U.S. dry bean export value (US$):</t>
  </si>
  <si>
    <t>DB-Table 19b--U.S. dry edible beans:  Cash receipts by State from farm marketings, 1990-1994  1/</t>
  </si>
  <si>
    <t xml:space="preserve"> 7/ Mid-point of range quoted in California.  8/  Mid-point of range quoted in Idaho/Washington.</t>
  </si>
  <si>
    <t xml:space="preserve">DB-Table 13--Dry edible beans:  U.S. planted area, by State, by commercial class, 2007   </t>
  </si>
  <si>
    <t>2008 planted area</t>
  </si>
  <si>
    <t>2008 f</t>
  </si>
  <si>
    <t>DB-Table 19--U.S. dry edible beans:  Cash receipts from farm marketings by State, 1995-2008  1/</t>
  </si>
  <si>
    <t xml:space="preserve">  June-Aug p</t>
  </si>
  <si>
    <t xml:space="preserve">DB-Table 11--Dry edible beans:  U.S. planted area, by State, by commercial class, 2008   </t>
  </si>
  <si>
    <t>Crop year (Sep-Aug):</t>
  </si>
  <si>
    <t>Calendar year (Jan-Dec):</t>
  </si>
  <si>
    <t>Table 17--U.S. dry bean export value:  Fiscal year, calendar year, crop year</t>
  </si>
  <si>
    <t xml:space="preserve">    2008</t>
  </si>
  <si>
    <t xml:space="preserve">    2008p</t>
  </si>
  <si>
    <t>DB-Table 4--Dry edible beans:  Monthly wholesale price indexes (PPI), crop year 2000/01-2008/09</t>
  </si>
  <si>
    <t>2008/09:</t>
  </si>
  <si>
    <t>DB-Table 3--Dry edible beans:  Quarterly wholesale (dealer) prices by class, 2000-2008 1/</t>
  </si>
  <si>
    <t>DB-Table 2--Dry edible beans:  Monthly average prices received by growers by State, crop year 2000/01-2008/09</t>
  </si>
  <si>
    <t>DB-Table 1--Dry edible beans:  Monthly grower prices by class, crop year 2004-2008</t>
  </si>
  <si>
    <t xml:space="preserve">  Sep-Nov </t>
  </si>
  <si>
    <t xml:space="preserve">  Dec-Feb </t>
  </si>
  <si>
    <t>STSep2007-Aug2008</t>
  </si>
  <si>
    <t xml:space="preserve">     2008</t>
  </si>
  <si>
    <t xml:space="preserve">     2009f</t>
  </si>
  <si>
    <t xml:space="preserve">  2006-2008</t>
  </si>
  <si>
    <t xml:space="preserve">  2004-2008</t>
  </si>
  <si>
    <t>DB-Table 6--Dry edible beans, all:  Monthly dry packaged retail price, crop year 1995/96-2008/09</t>
  </si>
  <si>
    <t>DB-Table 5--Dry edible beans, peas, and lentils:  Monthly dry packaged retail price index, crop year 1998/99-2008/09</t>
  </si>
  <si>
    <t xml:space="preserve">    2007/08 </t>
  </si>
  <si>
    <t xml:space="preserve">    2008/09 f</t>
  </si>
  <si>
    <t>DB-table 15--U.S. dry bean export volume, crop year 2000/01 - 2008/09  1/</t>
  </si>
  <si>
    <t>DB-table 16--U.S. dry bean import volume, crop year 2000/01 - 2008/09  1/</t>
  </si>
  <si>
    <t>FY2007-2008</t>
  </si>
  <si>
    <t>CY2008</t>
  </si>
  <si>
    <t xml:space="preserve">  Sep-Nov p</t>
  </si>
  <si>
    <t xml:space="preserve">      2009f</t>
  </si>
  <si>
    <t>2008 to 2009</t>
  </si>
  <si>
    <t>DB-Table 7--Dry edible beans: U.S. planted acreage, 1994-98 average, 1999-2009</t>
  </si>
  <si>
    <t xml:space="preserve"> f = ERS forecast.</t>
  </si>
  <si>
    <t xml:space="preserve">  f = ERS forecast.</t>
  </si>
  <si>
    <t xml:space="preserve">    2009 f</t>
  </si>
  <si>
    <t xml:space="preserve">    2008 </t>
  </si>
  <si>
    <t>DB-Table 8--Dry edible beans:  Acreage harvested in selected States, 1994-98 average, 1999-2009</t>
  </si>
  <si>
    <t>2008-2009</t>
  </si>
  <si>
    <t>DB-Table 9--Dry edible beans:  Production in selected States, 1994-98 average, 1999-2009</t>
  </si>
  <si>
    <t xml:space="preserve">  2009 f</t>
  </si>
  <si>
    <t xml:space="preserve">  2008 </t>
  </si>
  <si>
    <t xml:space="preserve">   2008-09</t>
  </si>
  <si>
    <t xml:space="preserve"> 1/ The 30 year (1977-2008) U.S. trend yield for 2009 is 1,738 pounds.</t>
  </si>
  <si>
    <t>DB-Table 12b--Dry edible beans:  U.S. production, by State, by class, 2007</t>
  </si>
  <si>
    <t>DB-Table 12--Dry edible beans:  U.S. production, by State, by class, 2008</t>
  </si>
  <si>
    <r>
      <t xml:space="preserve"> Source:  USDA, National Agricultural Statistics Service, </t>
    </r>
    <r>
      <rPr>
        <i/>
        <sz val="7"/>
        <rFont val="Helvetica"/>
        <family val="2"/>
      </rPr>
      <t>Crop Production, December 2008.</t>
    </r>
    <r>
      <rPr>
        <sz val="7"/>
        <rFont val="Helvetica"/>
        <family val="2"/>
      </rPr>
      <t xml:space="preserve"> </t>
    </r>
  </si>
  <si>
    <r>
      <t xml:space="preserve"> Source:  USDA, National Agricultural Statistics Service, </t>
    </r>
    <r>
      <rPr>
        <i/>
        <sz val="7"/>
        <rFont val="Helvetica"/>
        <family val="2"/>
      </rPr>
      <t>Crop Production, 2008 Summary.</t>
    </r>
    <r>
      <rPr>
        <sz val="7"/>
        <rFont val="Helvetica"/>
        <family val="2"/>
      </rPr>
      <t xml:space="preserve"> </t>
    </r>
  </si>
  <si>
    <t xml:space="preserve">  2007-08</t>
  </si>
  <si>
    <t xml:space="preserve"> 5/ Exports less imports.  Includes seed.  f = ERS forecast.</t>
  </si>
  <si>
    <t>2008/09f</t>
  </si>
  <si>
    <t>2007/08</t>
  </si>
  <si>
    <t>DB-Table 20b--Dry edible beans:  Farm marketings, percent of sales by month, 1996/97-98/99</t>
  </si>
  <si>
    <t>DB-Table 20--Dry edible beans:  Farm marketings, percent of sales by month, 1999/2000-2008/09 1/</t>
  </si>
  <si>
    <r>
      <t xml:space="preserve">1/ The 2008/09 estimates will be released in the November 2009 issue of </t>
    </r>
    <r>
      <rPr>
        <i/>
        <sz val="8"/>
        <rFont val="Arial"/>
        <family val="2"/>
      </rPr>
      <t>Agricultural Prices.</t>
    </r>
  </si>
  <si>
    <t>TX</t>
  </si>
  <si>
    <t>DB-Table 18--Dry edible beans:  U.S. per capita use for selected classes, calendar year 1970-2009  1/</t>
  </si>
  <si>
    <t>Link to NASS Crop Production Report</t>
  </si>
  <si>
    <t xml:space="preserve"> 1/ Includes Kansas,  Montana,  Oregon, South Dakota, Texas, Utah, and Wisconsin.   </t>
  </si>
  <si>
    <t xml:space="preserve"> 1/ Includes Kansas,  Montana,  Oregon, South Dakota, Texas, Utah, and Wisconsin.  </t>
  </si>
  <si>
    <t xml:space="preserve">   2008 </t>
  </si>
  <si>
    <t>Q-IV</t>
  </si>
  <si>
    <t xml:space="preserve">  --</t>
  </si>
  <si>
    <t xml:space="preserve">  Jan-Jan</t>
  </si>
  <si>
    <t xml:space="preserve"> Jan-Jan</t>
  </si>
  <si>
    <t xml:space="preserve"> -- not available.  p = preliminary.   January 2009 based on mid-month prices.   1/ Volume-weighted seaon average price.</t>
  </si>
  <si>
    <t>Corn Price</t>
  </si>
  <si>
    <t xml:space="preserve">  Dec-Feb p</t>
  </si>
  <si>
    <t xml:space="preserve"> -- = not available.   p = preliminary.  f = forecast.  1/ Crop year quarter f.o.b. dealer price.  2008-09 prices are preliminary.  2/ N.E. Colorado.  3/ Nebraska.  4/ Idaho.  5/ Michigan.  </t>
  </si>
  <si>
    <t xml:space="preserve"> Jan- Jan</t>
  </si>
  <si>
    <t xml:space="preserve"> Jan. - Jan.</t>
  </si>
  <si>
    <t xml:space="preserve"> Jan - Jan.</t>
  </si>
  <si>
    <t>STSep-Dec2007</t>
  </si>
  <si>
    <t>STSep-Dec2008</t>
  </si>
  <si>
    <t>p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</si>
</sst>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General_)"/>
    <numFmt numFmtId="169" formatCode="0.0"/>
    <numFmt numFmtId="170" formatCode="#,##0___)"/>
    <numFmt numFmtId="171" formatCode="#,##0_____________)"/>
    <numFmt numFmtId="172" formatCode="0.0_______)"/>
    <numFmt numFmtId="173" formatCode="#,##0.0_____________)"/>
    <numFmt numFmtId="174" formatCode="#,##0.0_____)"/>
    <numFmt numFmtId="175" formatCode="0.0_____)"/>
    <numFmt numFmtId="176" formatCode="0.00___)"/>
    <numFmt numFmtId="177" formatCode="0.0%"/>
    <numFmt numFmtId="178" formatCode="#,##0.0"/>
    <numFmt numFmtId="179" formatCode="0.0__"/>
    <numFmt numFmtId="180" formatCode="0.000"/>
    <numFmt numFmtId="181" formatCode="#,##0.0_______)"/>
    <numFmt numFmtId="182" formatCode="#,##0.000_);\(#,##0.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___"/>
    <numFmt numFmtId="188" formatCode="#,##0.0000_);\(#,##0.0000\)"/>
    <numFmt numFmtId="189" formatCode="#,##0_____)"/>
    <numFmt numFmtId="190" formatCode="#,##0.0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Courier New"/>
      <family val="0"/>
    </font>
    <font>
      <sz val="9"/>
      <name val="Arial MT"/>
      <family val="0"/>
    </font>
    <font>
      <sz val="9"/>
      <name val="Arial"/>
      <family val="0"/>
    </font>
    <font>
      <sz val="10"/>
      <name val="Arial MT"/>
      <family val="0"/>
    </font>
    <font>
      <sz val="10"/>
      <color indexed="8"/>
      <name val="MS Sans Serif"/>
      <family val="0"/>
    </font>
    <font>
      <sz val="8"/>
      <name val="Helvetica"/>
      <family val="2"/>
    </font>
    <font>
      <sz val="9"/>
      <name val="Helv"/>
      <family val="0"/>
    </font>
    <font>
      <sz val="9"/>
      <name val="Helvetica"/>
      <family val="2"/>
    </font>
    <font>
      <sz val="7"/>
      <name val="Helvetica"/>
      <family val="2"/>
    </font>
    <font>
      <sz val="10"/>
      <name val="Helv"/>
      <family val="0"/>
    </font>
    <font>
      <sz val="8"/>
      <name val="Arial MT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7"/>
      <color indexed="12"/>
      <name val="Helvetica"/>
      <family val="2"/>
    </font>
    <font>
      <sz val="10"/>
      <name val="Helvetic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Helvetica"/>
      <family val="0"/>
    </font>
    <font>
      <sz val="8"/>
      <color indexed="8"/>
      <name val="Helvetica"/>
      <family val="0"/>
    </font>
    <font>
      <b/>
      <sz val="9"/>
      <name val="Helvetica"/>
      <family val="0"/>
    </font>
    <font>
      <i/>
      <sz val="8"/>
      <name val="Arial MT"/>
      <family val="0"/>
    </font>
    <font>
      <i/>
      <sz val="8"/>
      <name val="Helvetica"/>
      <family val="0"/>
    </font>
    <font>
      <i/>
      <sz val="8"/>
      <name val="Arial"/>
      <family val="2"/>
    </font>
    <font>
      <b/>
      <sz val="9"/>
      <color indexed="8"/>
      <name val="Helvetica"/>
      <family val="0"/>
    </font>
    <font>
      <u val="single"/>
      <sz val="8"/>
      <color indexed="12"/>
      <name val="Helvetica"/>
      <family val="2"/>
    </font>
    <font>
      <b/>
      <sz val="10"/>
      <name val="Helvetica"/>
      <family val="0"/>
    </font>
    <font>
      <b/>
      <i/>
      <sz val="8"/>
      <name val="Arial"/>
      <family val="2"/>
    </font>
    <font>
      <b/>
      <sz val="10"/>
      <name val="Arial"/>
      <family val="2"/>
    </font>
    <font>
      <i/>
      <sz val="7"/>
      <name val="Helvetica"/>
      <family val="2"/>
    </font>
    <font>
      <b/>
      <sz val="9"/>
      <name val="Arial"/>
      <family val="2"/>
    </font>
    <font>
      <u val="single"/>
      <sz val="7"/>
      <color indexed="12"/>
      <name val="Helvetica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3" fillId="0" borderId="0">
      <alignment/>
      <protection/>
    </xf>
    <xf numFmtId="0" fontId="5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7" fillId="0" borderId="1" xfId="25" applyFont="1" applyBorder="1">
      <alignment/>
      <protection/>
    </xf>
    <xf numFmtId="0" fontId="8" fillId="0" borderId="0" xfId="25" applyFont="1">
      <alignment/>
      <protection/>
    </xf>
    <xf numFmtId="0" fontId="5" fillId="0" borderId="0" xfId="25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 quotePrefix="1">
      <alignment horizontal="left"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Alignment="1" quotePrefix="1">
      <alignment horizontal="centerContinuous"/>
      <protection/>
    </xf>
    <xf numFmtId="0" fontId="9" fillId="0" borderId="0" xfId="27" applyFont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5" applyFont="1">
      <alignment/>
      <protection/>
    </xf>
    <xf numFmtId="0" fontId="7" fillId="0" borderId="0" xfId="25" applyFont="1" applyAlignment="1">
      <alignment horizontal="left"/>
      <protection/>
    </xf>
    <xf numFmtId="1" fontId="7" fillId="0" borderId="0" xfId="25" applyNumberFormat="1" applyFont="1" applyAlignment="1" applyProtection="1">
      <alignment horizontal="centerContinuous"/>
      <protection/>
    </xf>
    <xf numFmtId="0" fontId="7" fillId="0" borderId="2" xfId="25" applyFont="1" applyBorder="1" applyAlignment="1">
      <alignment horizontal="left"/>
      <protection/>
    </xf>
    <xf numFmtId="167" fontId="8" fillId="0" borderId="0" xfId="25" applyNumberFormat="1" applyFont="1" applyProtection="1">
      <alignment/>
      <protection/>
    </xf>
    <xf numFmtId="0" fontId="10" fillId="0" borderId="0" xfId="25" applyFont="1" applyAlignment="1">
      <alignment horizontal="left"/>
      <protection/>
    </xf>
    <xf numFmtId="164" fontId="7" fillId="0" borderId="0" xfId="25" applyNumberFormat="1" applyFont="1" applyProtection="1">
      <alignment/>
      <protection/>
    </xf>
    <xf numFmtId="0" fontId="11" fillId="0" borderId="0" xfId="25" applyFont="1">
      <alignment/>
      <protection/>
    </xf>
    <xf numFmtId="167" fontId="5" fillId="0" borderId="0" xfId="25" applyNumberFormat="1" applyProtection="1">
      <alignment/>
      <protection/>
    </xf>
    <xf numFmtId="0" fontId="5" fillId="0" borderId="0" xfId="25" applyFont="1">
      <alignment/>
      <protection/>
    </xf>
    <xf numFmtId="0" fontId="7" fillId="0" borderId="0" xfId="25" applyFont="1" applyBorder="1" applyAlignment="1">
      <alignment horizontal="left"/>
      <protection/>
    </xf>
    <xf numFmtId="0" fontId="7" fillId="0" borderId="0" xfId="25" applyFont="1" applyAlignment="1" quotePrefix="1">
      <alignment horizontal="left"/>
      <protection/>
    </xf>
    <xf numFmtId="0" fontId="12" fillId="0" borderId="0" xfId="25" applyFont="1">
      <alignment/>
      <protection/>
    </xf>
    <xf numFmtId="164" fontId="12" fillId="0" borderId="0" xfId="25" applyNumberFormat="1" applyFont="1" applyProtection="1">
      <alignment/>
      <protection/>
    </xf>
    <xf numFmtId="0" fontId="5" fillId="0" borderId="0" xfId="25" applyAlignment="1">
      <alignment horizontal="left"/>
      <protection/>
    </xf>
    <xf numFmtId="166" fontId="7" fillId="0" borderId="2" xfId="24" applyFont="1" applyBorder="1">
      <alignment/>
      <protection/>
    </xf>
    <xf numFmtId="166" fontId="3" fillId="0" borderId="0" xfId="24">
      <alignment/>
      <protection/>
    </xf>
    <xf numFmtId="166" fontId="7" fillId="0" borderId="0" xfId="24" applyFont="1">
      <alignment/>
      <protection/>
    </xf>
    <xf numFmtId="166" fontId="7" fillId="0" borderId="0" xfId="24" applyFont="1" applyAlignment="1">
      <alignment horizontal="centerContinuous"/>
      <protection/>
    </xf>
    <xf numFmtId="166" fontId="3" fillId="0" borderId="0" xfId="24" applyAlignment="1">
      <alignment horizontal="centerContinuous"/>
      <protection/>
    </xf>
    <xf numFmtId="166" fontId="7" fillId="0" borderId="0" xfId="24" applyFont="1" applyAlignment="1" quotePrefix="1">
      <alignment horizontal="left"/>
      <protection/>
    </xf>
    <xf numFmtId="166" fontId="7" fillId="0" borderId="0" xfId="24" applyFont="1" applyAlignment="1">
      <alignment horizontal="left"/>
      <protection/>
    </xf>
    <xf numFmtId="166" fontId="7" fillId="0" borderId="0" xfId="24" applyFont="1" applyAlignment="1" quotePrefix="1">
      <alignment horizontal="right"/>
      <protection/>
    </xf>
    <xf numFmtId="166" fontId="10" fillId="0" borderId="3" xfId="24" applyFont="1" applyBorder="1" applyAlignment="1" quotePrefix="1">
      <alignment horizontal="left"/>
      <protection/>
    </xf>
    <xf numFmtId="166" fontId="7" fillId="0" borderId="3" xfId="24" applyFont="1" applyBorder="1">
      <alignment/>
      <protection/>
    </xf>
    <xf numFmtId="166" fontId="12" fillId="0" borderId="0" xfId="24" applyFont="1">
      <alignment/>
      <protection/>
    </xf>
    <xf numFmtId="37" fontId="7" fillId="0" borderId="0" xfId="26" applyFont="1">
      <alignment/>
      <protection/>
    </xf>
    <xf numFmtId="37" fontId="7" fillId="0" borderId="0" xfId="26" applyFont="1" applyAlignment="1">
      <alignment horizontal="centerContinuous"/>
      <protection/>
    </xf>
    <xf numFmtId="170" fontId="7" fillId="0" borderId="0" xfId="26" applyNumberFormat="1" applyFont="1">
      <alignment/>
      <protection/>
    </xf>
    <xf numFmtId="168" fontId="7" fillId="0" borderId="1" xfId="31" applyFont="1" applyBorder="1">
      <alignment/>
      <protection/>
    </xf>
    <xf numFmtId="168" fontId="4" fillId="0" borderId="0" xfId="31" applyBorder="1">
      <alignment/>
      <protection/>
    </xf>
    <xf numFmtId="168" fontId="4" fillId="0" borderId="0" xfId="31">
      <alignment/>
      <protection/>
    </xf>
    <xf numFmtId="168" fontId="7" fillId="0" borderId="0" xfId="31" applyFont="1" applyBorder="1">
      <alignment/>
      <protection/>
    </xf>
    <xf numFmtId="168" fontId="7" fillId="0" borderId="0" xfId="31" applyFont="1" applyBorder="1" applyAlignment="1">
      <alignment horizontal="centerContinuous"/>
      <protection/>
    </xf>
    <xf numFmtId="168" fontId="4" fillId="0" borderId="0" xfId="31" applyAlignment="1">
      <alignment horizontal="centerContinuous"/>
      <protection/>
    </xf>
    <xf numFmtId="168" fontId="7" fillId="0" borderId="0" xfId="31" applyFont="1" applyBorder="1" applyAlignment="1" applyProtection="1">
      <alignment horizontal="left"/>
      <protection/>
    </xf>
    <xf numFmtId="37" fontId="7" fillId="0" borderId="0" xfId="31" applyNumberFormat="1" applyFont="1" applyBorder="1" applyProtection="1">
      <alignment/>
      <protection/>
    </xf>
    <xf numFmtId="168" fontId="4" fillId="0" borderId="0" xfId="31" applyNumberFormat="1" applyBorder="1" applyProtection="1">
      <alignment/>
      <protection/>
    </xf>
    <xf numFmtId="168" fontId="7" fillId="0" borderId="0" xfId="31" applyFont="1" applyBorder="1" applyAlignment="1" applyProtection="1" quotePrefix="1">
      <alignment horizontal="left"/>
      <protection/>
    </xf>
    <xf numFmtId="168" fontId="10" fillId="0" borderId="0" xfId="31" applyFont="1" applyBorder="1" applyAlignment="1" applyProtection="1" quotePrefix="1">
      <alignment horizontal="left"/>
      <protection/>
    </xf>
    <xf numFmtId="168" fontId="15" fillId="0" borderId="0" xfId="31" applyFont="1" applyBorder="1" applyAlignment="1" applyProtection="1">
      <alignment horizontal="left"/>
      <protection locked="0"/>
    </xf>
    <xf numFmtId="168" fontId="7" fillId="0" borderId="0" xfId="31" applyFont="1">
      <alignment/>
      <protection/>
    </xf>
    <xf numFmtId="0" fontId="7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76" fontId="7" fillId="0" borderId="0" xfId="29" applyNumberFormat="1" applyFont="1" applyBorder="1" applyProtection="1">
      <alignment/>
      <protection/>
    </xf>
    <xf numFmtId="166" fontId="7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8" fillId="0" borderId="0" xfId="0" applyFont="1" applyAlignment="1">
      <alignment/>
    </xf>
    <xf numFmtId="37" fontId="7" fillId="0" borderId="1" xfId="32" applyFont="1" applyBorder="1">
      <alignment/>
      <protection/>
    </xf>
    <xf numFmtId="37" fontId="8" fillId="0" borderId="0" xfId="32" applyBorder="1">
      <alignment/>
      <protection/>
    </xf>
    <xf numFmtId="37" fontId="8" fillId="0" borderId="0" xfId="32">
      <alignment/>
      <protection/>
    </xf>
    <xf numFmtId="37" fontId="7" fillId="0" borderId="0" xfId="32" applyFont="1" applyBorder="1">
      <alignment/>
      <protection/>
    </xf>
    <xf numFmtId="37" fontId="7" fillId="0" borderId="0" xfId="32" applyFont="1" applyBorder="1" applyAlignment="1">
      <alignment horizontal="centerContinuous"/>
      <protection/>
    </xf>
    <xf numFmtId="37" fontId="7" fillId="0" borderId="0" xfId="32" applyFont="1" applyBorder="1" applyAlignment="1" applyProtection="1">
      <alignment horizontal="left"/>
      <protection/>
    </xf>
    <xf numFmtId="37" fontId="7" fillId="0" borderId="0" xfId="32" applyFont="1">
      <alignment/>
      <protection/>
    </xf>
    <xf numFmtId="37" fontId="7" fillId="0" borderId="0" xfId="32" applyNumberFormat="1" applyFont="1" applyBorder="1" applyAlignment="1" applyProtection="1">
      <alignment horizontal="left"/>
      <protection/>
    </xf>
    <xf numFmtId="37" fontId="7" fillId="0" borderId="0" xfId="32" applyNumberFormat="1" applyFont="1" applyBorder="1" applyProtection="1">
      <alignment/>
      <protection/>
    </xf>
    <xf numFmtId="37" fontId="9" fillId="0" borderId="0" xfId="32" applyFont="1" applyBorder="1">
      <alignment/>
      <protection/>
    </xf>
    <xf numFmtId="37" fontId="7" fillId="0" borderId="0" xfId="32" applyFont="1" applyBorder="1" applyAlignment="1" applyProtection="1" quotePrefix="1">
      <alignment horizontal="left"/>
      <protection/>
    </xf>
    <xf numFmtId="37" fontId="10" fillId="0" borderId="0" xfId="32" applyFont="1" applyBorder="1" applyAlignment="1" applyProtection="1">
      <alignment horizontal="left"/>
      <protection locked="0"/>
    </xf>
    <xf numFmtId="0" fontId="7" fillId="0" borderId="2" xfId="23" applyFont="1" applyBorder="1">
      <alignment/>
      <protection/>
    </xf>
    <xf numFmtId="0" fontId="3" fillId="0" borderId="0" xfId="23" applyFont="1">
      <alignment/>
      <protection/>
    </xf>
    <xf numFmtId="0" fontId="0" fillId="0" borderId="0" xfId="23" applyFont="1">
      <alignment/>
      <protection/>
    </xf>
    <xf numFmtId="0" fontId="14" fillId="0" borderId="0" xfId="23">
      <alignment/>
      <protection/>
    </xf>
    <xf numFmtId="0" fontId="7" fillId="0" borderId="0" xfId="23" applyFont="1">
      <alignment/>
      <protection/>
    </xf>
    <xf numFmtId="0" fontId="7" fillId="0" borderId="0" xfId="23" applyFont="1" applyProtection="1">
      <alignment/>
      <protection locked="0"/>
    </xf>
    <xf numFmtId="0" fontId="7" fillId="0" borderId="0" xfId="23" applyFont="1" applyAlignment="1" applyProtection="1">
      <alignment horizontal="left"/>
      <protection locked="0"/>
    </xf>
    <xf numFmtId="0" fontId="7" fillId="0" borderId="0" xfId="22" applyFont="1" applyAlignment="1" applyProtection="1">
      <alignment horizontal="left"/>
      <protection locked="0"/>
    </xf>
    <xf numFmtId="167" fontId="3" fillId="0" borderId="0" xfId="23" applyNumberFormat="1" applyFont="1" applyProtection="1">
      <alignment/>
      <protection/>
    </xf>
    <xf numFmtId="167" fontId="3" fillId="0" borderId="0" xfId="23" applyNumberFormat="1" applyFont="1" applyProtection="1">
      <alignment/>
      <protection locked="0"/>
    </xf>
    <xf numFmtId="167" fontId="0" fillId="0" borderId="0" xfId="23" applyNumberFormat="1" applyFont="1" applyProtection="1">
      <alignment/>
      <protection locked="0"/>
    </xf>
    <xf numFmtId="0" fontId="0" fillId="0" borderId="0" xfId="23" applyFont="1" applyProtection="1">
      <alignment/>
      <protection locked="0"/>
    </xf>
    <xf numFmtId="167" fontId="0" fillId="0" borderId="0" xfId="23" applyNumberFormat="1" applyFont="1" applyProtection="1">
      <alignment/>
      <protection/>
    </xf>
    <xf numFmtId="37" fontId="0" fillId="0" borderId="0" xfId="23" applyNumberFormat="1" applyFont="1" applyProtection="1">
      <alignment/>
      <protection/>
    </xf>
    <xf numFmtId="0" fontId="7" fillId="0" borderId="0" xfId="22" applyFont="1" applyAlignment="1" applyProtection="1" quotePrefix="1">
      <alignment horizontal="left"/>
      <protection locked="0"/>
    </xf>
    <xf numFmtId="0" fontId="7" fillId="0" borderId="0" xfId="22" applyFont="1" applyBorder="1" applyAlignment="1" applyProtection="1">
      <alignment horizontal="left"/>
      <protection locked="0"/>
    </xf>
    <xf numFmtId="0" fontId="7" fillId="0" borderId="0" xfId="22" applyFont="1" applyBorder="1" applyAlignment="1" applyProtection="1" quotePrefix="1">
      <alignment horizontal="left"/>
      <protection locked="0"/>
    </xf>
    <xf numFmtId="0" fontId="7" fillId="0" borderId="0" xfId="23" applyFont="1" applyAlignment="1" quotePrefix="1">
      <alignment horizontal="left"/>
      <protection/>
    </xf>
    <xf numFmtId="0" fontId="10" fillId="0" borderId="3" xfId="23" applyFont="1" applyBorder="1" applyAlignment="1" quotePrefix="1">
      <alignment horizontal="left"/>
      <protection/>
    </xf>
    <xf numFmtId="0" fontId="7" fillId="0" borderId="3" xfId="23" applyFont="1" applyBorder="1">
      <alignment/>
      <protection/>
    </xf>
    <xf numFmtId="0" fontId="14" fillId="0" borderId="0" xfId="23" applyAlignment="1">
      <alignment horizontal="left"/>
      <protection/>
    </xf>
    <xf numFmtId="0" fontId="10" fillId="0" borderId="0" xfId="25" applyFont="1" applyAlignment="1" quotePrefix="1">
      <alignment horizontal="left"/>
      <protection/>
    </xf>
    <xf numFmtId="166" fontId="17" fillId="0" borderId="0" xfId="0" applyNumberFormat="1" applyFont="1" applyAlignment="1">
      <alignment/>
    </xf>
    <xf numFmtId="166" fontId="7" fillId="0" borderId="0" xfId="0" applyNumberFormat="1" applyFont="1" applyBorder="1" applyAlignment="1">
      <alignment/>
    </xf>
    <xf numFmtId="0" fontId="17" fillId="0" borderId="4" xfId="0" applyFont="1" applyBorder="1" applyAlignment="1">
      <alignment/>
    </xf>
    <xf numFmtId="166" fontId="10" fillId="0" borderId="0" xfId="24" applyFont="1" applyBorder="1" applyAlignment="1" quotePrefix="1">
      <alignment horizontal="left"/>
      <protection/>
    </xf>
    <xf numFmtId="166" fontId="7" fillId="0" borderId="0" xfId="24" applyFont="1" applyBorder="1">
      <alignment/>
      <protection/>
    </xf>
    <xf numFmtId="168" fontId="7" fillId="0" borderId="1" xfId="30" applyFont="1" applyBorder="1">
      <alignment/>
      <protection/>
    </xf>
    <xf numFmtId="168" fontId="4" fillId="0" borderId="0" xfId="30" applyBorder="1">
      <alignment/>
      <protection/>
    </xf>
    <xf numFmtId="168" fontId="4" fillId="0" borderId="0" xfId="30">
      <alignment/>
      <protection/>
    </xf>
    <xf numFmtId="168" fontId="7" fillId="0" borderId="0" xfId="30" applyFont="1" applyBorder="1">
      <alignment/>
      <protection/>
    </xf>
    <xf numFmtId="168" fontId="7" fillId="0" borderId="0" xfId="30" applyFont="1" applyBorder="1" applyAlignment="1" applyProtection="1" quotePrefix="1">
      <alignment horizontal="centerContinuous"/>
      <protection/>
    </xf>
    <xf numFmtId="168" fontId="4" fillId="0" borderId="0" xfId="30" applyAlignment="1">
      <alignment horizontal="centerContinuous"/>
      <protection/>
    </xf>
    <xf numFmtId="168" fontId="7" fillId="0" borderId="0" xfId="30" applyFont="1" applyBorder="1" applyAlignment="1">
      <alignment horizontal="centerContinuous"/>
      <protection/>
    </xf>
    <xf numFmtId="168" fontId="7" fillId="0" borderId="0" xfId="30" applyFont="1" applyBorder="1" applyAlignment="1" applyProtection="1">
      <alignment horizontal="left"/>
      <protection/>
    </xf>
    <xf numFmtId="168" fontId="10" fillId="0" borderId="0" xfId="30" applyFont="1" applyBorder="1" applyAlignment="1" applyProtection="1" quotePrefix="1">
      <alignment horizontal="left"/>
      <protection/>
    </xf>
    <xf numFmtId="168" fontId="9" fillId="0" borderId="0" xfId="30" applyFont="1">
      <alignment/>
      <protection/>
    </xf>
    <xf numFmtId="37" fontId="7" fillId="0" borderId="0" xfId="32" applyFont="1" applyBorder="1" applyAlignment="1" applyProtection="1" quotePrefix="1">
      <alignment horizontal="left"/>
      <protection locked="0"/>
    </xf>
    <xf numFmtId="0" fontId="7" fillId="0" borderId="0" xfId="23" applyFont="1" applyBorder="1">
      <alignment/>
      <protection/>
    </xf>
    <xf numFmtId="2" fontId="7" fillId="0" borderId="0" xfId="23" applyNumberFormat="1" applyFont="1" applyProtection="1">
      <alignment/>
      <protection/>
    </xf>
    <xf numFmtId="2" fontId="7" fillId="0" borderId="0" xfId="23" applyNumberFormat="1" applyFont="1">
      <alignment/>
      <protection/>
    </xf>
    <xf numFmtId="176" fontId="7" fillId="0" borderId="0" xfId="29" applyNumberFormat="1" applyFont="1" applyBorder="1" applyProtection="1" quotePrefix="1">
      <alignment/>
      <protection/>
    </xf>
    <xf numFmtId="177" fontId="17" fillId="0" borderId="0" xfId="0" applyNumberFormat="1" applyFont="1" applyAlignment="1">
      <alignment/>
    </xf>
    <xf numFmtId="0" fontId="17" fillId="0" borderId="0" xfId="0" applyFont="1" applyAlignment="1" quotePrefix="1">
      <alignment/>
    </xf>
    <xf numFmtId="166" fontId="7" fillId="0" borderId="0" xfId="24" applyFont="1" quotePrefix="1">
      <alignment/>
      <protection/>
    </xf>
    <xf numFmtId="37" fontId="7" fillId="0" borderId="0" xfId="26" applyFont="1" applyAlignment="1" quotePrefix="1">
      <alignment horizontal="centerContinuous"/>
      <protection/>
    </xf>
    <xf numFmtId="0" fontId="7" fillId="0" borderId="4" xfId="0" applyFont="1" applyBorder="1" applyAlignment="1" quotePrefix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37" fontId="7" fillId="0" borderId="4" xfId="25" applyNumberFormat="1" applyFont="1" applyBorder="1" applyProtection="1">
      <alignment/>
      <protection/>
    </xf>
    <xf numFmtId="164" fontId="7" fillId="0" borderId="4" xfId="25" applyNumberFormat="1" applyFont="1" applyBorder="1" applyProtection="1">
      <alignment/>
      <protection/>
    </xf>
    <xf numFmtId="169" fontId="7" fillId="0" borderId="0" xfId="31" applyNumberFormat="1" applyFont="1" applyBorder="1" applyProtection="1">
      <alignment/>
      <protection/>
    </xf>
    <xf numFmtId="169" fontId="7" fillId="0" borderId="0" xfId="31" applyNumberFormat="1" applyFont="1" applyBorder="1" applyAlignment="1" applyProtection="1">
      <alignment horizontal="left"/>
      <protection/>
    </xf>
    <xf numFmtId="169" fontId="4" fillId="0" borderId="0" xfId="31" applyNumberFormat="1">
      <alignment/>
      <protection/>
    </xf>
    <xf numFmtId="178" fontId="7" fillId="0" borderId="0" xfId="31" applyNumberFormat="1" applyFont="1" applyBorder="1" applyProtection="1">
      <alignment/>
      <protection/>
    </xf>
    <xf numFmtId="37" fontId="7" fillId="0" borderId="4" xfId="32" applyFont="1" applyBorder="1">
      <alignment/>
      <protection/>
    </xf>
    <xf numFmtId="0" fontId="7" fillId="0" borderId="0" xfId="0" applyFont="1" applyBorder="1" applyAlignment="1" quotePrefix="1">
      <alignment/>
    </xf>
    <xf numFmtId="175" fontId="20" fillId="0" borderId="0" xfId="28" applyNumberFormat="1" applyFont="1" applyFill="1" applyBorder="1" applyAlignment="1">
      <alignment horizontal="right" wrapText="1"/>
      <protection/>
    </xf>
    <xf numFmtId="0" fontId="0" fillId="0" borderId="4" xfId="0" applyBorder="1" applyAlignment="1">
      <alignment/>
    </xf>
    <xf numFmtId="0" fontId="20" fillId="0" borderId="0" xfId="28" applyFont="1" applyFill="1" applyBorder="1" applyAlignment="1" quotePrefix="1">
      <alignment horizontal="right" wrapText="1"/>
      <protection/>
    </xf>
    <xf numFmtId="0" fontId="20" fillId="0" borderId="0" xfId="28" applyFont="1" applyFill="1" applyBorder="1" applyAlignment="1">
      <alignment horizontal="right" wrapText="1"/>
      <protection/>
    </xf>
    <xf numFmtId="3" fontId="20" fillId="0" borderId="0" xfId="28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/>
    </xf>
    <xf numFmtId="0" fontId="10" fillId="0" borderId="0" xfId="23" applyFont="1" applyBorder="1" applyAlignment="1" quotePrefix="1">
      <alignment horizontal="left"/>
      <protection/>
    </xf>
    <xf numFmtId="37" fontId="8" fillId="0" borderId="0" xfId="32" applyFont="1">
      <alignment/>
      <protection/>
    </xf>
    <xf numFmtId="2" fontId="7" fillId="0" borderId="0" xfId="23" applyNumberFormat="1" applyFont="1" applyProtection="1" quotePrefix="1">
      <alignment/>
      <protection/>
    </xf>
    <xf numFmtId="168" fontId="7" fillId="0" borderId="4" xfId="30" applyFont="1" applyBorder="1">
      <alignment/>
      <protection/>
    </xf>
    <xf numFmtId="37" fontId="21" fillId="0" borderId="1" xfId="32" applyFont="1" applyBorder="1" applyAlignment="1" applyProtection="1" quotePrefix="1">
      <alignment horizontal="left"/>
      <protection locked="0"/>
    </xf>
    <xf numFmtId="2" fontId="12" fillId="0" borderId="0" xfId="25" applyNumberFormat="1" applyFont="1">
      <alignment/>
      <protection/>
    </xf>
    <xf numFmtId="170" fontId="7" fillId="0" borderId="0" xfId="25" applyNumberFormat="1" applyFont="1" applyProtection="1">
      <alignment/>
      <protection/>
    </xf>
    <xf numFmtId="0" fontId="10" fillId="0" borderId="4" xfId="0" applyFont="1" applyBorder="1" applyAlignment="1" quotePrefix="1">
      <alignment horizontal="left"/>
    </xf>
    <xf numFmtId="0" fontId="10" fillId="0" borderId="4" xfId="0" applyFont="1" applyBorder="1" applyAlignment="1">
      <alignment/>
    </xf>
    <xf numFmtId="168" fontId="19" fillId="0" borderId="1" xfId="30" applyFont="1" applyBorder="1">
      <alignment/>
      <protection/>
    </xf>
    <xf numFmtId="0" fontId="7" fillId="0" borderId="0" xfId="0" applyFont="1" applyBorder="1" applyAlignment="1" quotePrefix="1">
      <alignment horizontal="left"/>
    </xf>
    <xf numFmtId="166" fontId="7" fillId="0" borderId="0" xfId="0" applyNumberFormat="1" applyFont="1" applyBorder="1" applyAlignment="1" quotePrefix="1">
      <alignment/>
    </xf>
    <xf numFmtId="166" fontId="17" fillId="0" borderId="0" xfId="0" applyNumberFormat="1" applyFont="1" applyBorder="1" applyAlignment="1">
      <alignment/>
    </xf>
    <xf numFmtId="166" fontId="7" fillId="0" borderId="0" xfId="0" applyNumberFormat="1" applyFont="1" applyAlignment="1" quotePrefix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4" xfId="0" applyNumberFormat="1" applyFont="1" applyBorder="1" applyAlignment="1">
      <alignment/>
    </xf>
    <xf numFmtId="0" fontId="23" fillId="0" borderId="0" xfId="0" applyFont="1" applyBorder="1" applyAlignment="1" quotePrefix="1">
      <alignment/>
    </xf>
    <xf numFmtId="3" fontId="7" fillId="0" borderId="0" xfId="0" applyNumberFormat="1" applyFont="1" applyAlignment="1">
      <alignment/>
    </xf>
    <xf numFmtId="166" fontId="21" fillId="0" borderId="2" xfId="24" applyFont="1" applyBorder="1" applyAlignment="1" quotePrefix="1">
      <alignment horizontal="left"/>
      <protection/>
    </xf>
    <xf numFmtId="0" fontId="21" fillId="0" borderId="0" xfId="0" applyFont="1" applyAlignment="1" quotePrefix="1">
      <alignment horizontal="left"/>
    </xf>
    <xf numFmtId="0" fontId="21" fillId="0" borderId="2" xfId="23" applyFont="1" applyBorder="1" applyAlignment="1" quotePrefix="1">
      <alignment horizontal="left"/>
      <protection/>
    </xf>
    <xf numFmtId="168" fontId="21" fillId="0" borderId="1" xfId="31" applyFont="1" applyBorder="1" applyAlignment="1" applyProtection="1" quotePrefix="1">
      <alignment horizontal="left"/>
      <protection locked="0"/>
    </xf>
    <xf numFmtId="168" fontId="21" fillId="0" borderId="1" xfId="30" applyFont="1" applyBorder="1" applyAlignment="1" applyProtection="1" quotePrefix="1">
      <alignment horizontal="left"/>
      <protection/>
    </xf>
    <xf numFmtId="37" fontId="19" fillId="0" borderId="0" xfId="32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0" xfId="0" applyFont="1" applyAlignment="1">
      <alignment/>
    </xf>
    <xf numFmtId="0" fontId="23" fillId="0" borderId="0" xfId="21" applyFont="1" applyAlignment="1" quotePrefix="1">
      <alignment horizontal="left"/>
      <protection/>
    </xf>
    <xf numFmtId="169" fontId="12" fillId="0" borderId="0" xfId="25" applyNumberFormat="1" applyFont="1">
      <alignment/>
      <protection/>
    </xf>
    <xf numFmtId="37" fontId="10" fillId="0" borderId="4" xfId="32" applyFont="1" applyBorder="1" applyAlignment="1" applyProtection="1">
      <alignment horizontal="left"/>
      <protection/>
    </xf>
    <xf numFmtId="0" fontId="25" fillId="0" borderId="1" xfId="25" applyFont="1" applyBorder="1" applyAlignment="1" quotePrefix="1">
      <alignment horizontal="left"/>
      <protection/>
    </xf>
    <xf numFmtId="168" fontId="21" fillId="0" borderId="1" xfId="30" applyFont="1" applyBorder="1">
      <alignment/>
      <protection/>
    </xf>
    <xf numFmtId="0" fontId="23" fillId="0" borderId="0" xfId="23" applyFont="1" applyAlignment="1">
      <alignment horizontal="left"/>
      <protection/>
    </xf>
    <xf numFmtId="0" fontId="24" fillId="0" borderId="0" xfId="0" applyFont="1" applyAlignment="1" quotePrefix="1">
      <alignment/>
    </xf>
    <xf numFmtId="1" fontId="7" fillId="0" borderId="0" xfId="29" applyNumberFormat="1" applyFont="1" applyBorder="1" applyProtection="1">
      <alignment/>
      <protection/>
    </xf>
    <xf numFmtId="2" fontId="14" fillId="0" borderId="0" xfId="23" applyNumberFormat="1">
      <alignment/>
      <protection/>
    </xf>
    <xf numFmtId="170" fontId="12" fillId="0" borderId="0" xfId="25" applyNumberFormat="1" applyFont="1">
      <alignment/>
      <protection/>
    </xf>
    <xf numFmtId="170" fontId="5" fillId="0" borderId="0" xfId="25" applyNumberFormat="1">
      <alignment/>
      <protection/>
    </xf>
    <xf numFmtId="169" fontId="7" fillId="0" borderId="0" xfId="0" applyNumberFormat="1" applyFont="1" applyBorder="1" applyAlignment="1">
      <alignment/>
    </xf>
    <xf numFmtId="0" fontId="1" fillId="0" borderId="0" xfId="20" applyAlignment="1">
      <alignment/>
    </xf>
    <xf numFmtId="0" fontId="7" fillId="0" borderId="0" xfId="0" applyFont="1" applyBorder="1" applyAlignment="1">
      <alignment horizontal="centerContinuous"/>
    </xf>
    <xf numFmtId="0" fontId="26" fillId="0" borderId="0" xfId="20" applyFont="1" applyBorder="1" applyAlignment="1">
      <alignment/>
    </xf>
    <xf numFmtId="166" fontId="7" fillId="0" borderId="0" xfId="0" applyNumberFormat="1" applyFont="1" applyAlignment="1" quotePrefix="1">
      <alignment horizontal="left"/>
    </xf>
    <xf numFmtId="0" fontId="23" fillId="0" borderId="0" xfId="21" applyFont="1" applyAlignment="1">
      <alignment horizontal="center"/>
      <protection/>
    </xf>
    <xf numFmtId="3" fontId="17" fillId="0" borderId="0" xfId="0" applyNumberFormat="1" applyFont="1" applyBorder="1" applyAlignment="1">
      <alignment/>
    </xf>
    <xf numFmtId="0" fontId="7" fillId="0" borderId="4" xfId="0" applyFont="1" applyBorder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21" fillId="0" borderId="0" xfId="0" applyFont="1" applyAlignment="1" quotePrefix="1">
      <alignment horizontal="left"/>
    </xf>
    <xf numFmtId="0" fontId="23" fillId="0" borderId="0" xfId="0" applyFont="1" applyBorder="1" applyAlignment="1" quotePrefix="1">
      <alignment horizontal="centerContinuous"/>
    </xf>
    <xf numFmtId="0" fontId="27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7" fillId="0" borderId="1" xfId="25" applyFont="1" applyBorder="1" applyAlignment="1" quotePrefix="1">
      <alignment horizontal="left"/>
      <protection/>
    </xf>
    <xf numFmtId="0" fontId="7" fillId="0" borderId="0" xfId="21" applyFont="1" applyAlignment="1" quotePrefix="1">
      <alignment horizontal="center"/>
      <protection/>
    </xf>
    <xf numFmtId="0" fontId="29" fillId="0" borderId="0" xfId="0" applyFont="1" applyAlignment="1" quotePrefix="1">
      <alignment horizontal="left"/>
    </xf>
    <xf numFmtId="170" fontId="0" fillId="0" borderId="0" xfId="0" applyNumberFormat="1" applyAlignment="1">
      <alignment/>
    </xf>
    <xf numFmtId="168" fontId="31" fillId="0" borderId="0" xfId="31" applyFont="1" applyAlignment="1" quotePrefix="1">
      <alignment horizontal="left"/>
      <protection/>
    </xf>
    <xf numFmtId="0" fontId="7" fillId="2" borderId="4" xfId="0" applyFont="1" applyFill="1" applyBorder="1" applyAlignment="1">
      <alignment/>
    </xf>
    <xf numFmtId="0" fontId="17" fillId="2" borderId="0" xfId="0" applyFont="1" applyFill="1" applyAlignment="1">
      <alignment/>
    </xf>
    <xf numFmtId="0" fontId="7" fillId="2" borderId="0" xfId="0" applyFont="1" applyFill="1" applyAlignment="1" quotePrefix="1">
      <alignment horizontal="center"/>
    </xf>
    <xf numFmtId="0" fontId="17" fillId="2" borderId="0" xfId="0" applyFont="1" applyFill="1" applyAlignment="1" quotePrefix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 quotePrefix="1">
      <alignment horizontal="center"/>
    </xf>
    <xf numFmtId="0" fontId="7" fillId="2" borderId="1" xfId="0" applyFont="1" applyFill="1" applyBorder="1" applyAlignment="1" quotePrefix="1">
      <alignment horizontal="left"/>
    </xf>
    <xf numFmtId="0" fontId="7" fillId="3" borderId="0" xfId="0" applyFont="1" applyFill="1" applyAlignment="1" quotePrefix="1">
      <alignment horizontal="left"/>
    </xf>
    <xf numFmtId="166" fontId="7" fillId="3" borderId="0" xfId="0" applyNumberFormat="1" applyFont="1" applyFill="1" applyAlignment="1">
      <alignment/>
    </xf>
    <xf numFmtId="166" fontId="7" fillId="3" borderId="0" xfId="0" applyNumberFormat="1" applyFont="1" applyFill="1" applyAlignment="1" quotePrefix="1">
      <alignment/>
    </xf>
    <xf numFmtId="166" fontId="17" fillId="3" borderId="0" xfId="0" applyNumberFormat="1" applyFont="1" applyFill="1" applyAlignment="1">
      <alignment/>
    </xf>
    <xf numFmtId="176" fontId="7" fillId="3" borderId="0" xfId="29" applyNumberFormat="1" applyFont="1" applyFill="1" applyBorder="1" applyProtection="1">
      <alignment/>
      <protection/>
    </xf>
    <xf numFmtId="0" fontId="17" fillId="3" borderId="0" xfId="0" applyFont="1" applyFill="1" applyAlignment="1">
      <alignment/>
    </xf>
    <xf numFmtId="166" fontId="7" fillId="3" borderId="0" xfId="0" applyNumberFormat="1" applyFont="1" applyFill="1" applyAlignment="1" quotePrefix="1">
      <alignment horizontal="center"/>
    </xf>
    <xf numFmtId="0" fontId="7" fillId="3" borderId="0" xfId="0" applyFont="1" applyFill="1" applyBorder="1" applyAlignment="1" quotePrefix="1">
      <alignment horizontal="left"/>
    </xf>
    <xf numFmtId="166" fontId="7" fillId="3" borderId="0" xfId="0" applyNumberFormat="1" applyFont="1" applyFill="1" applyBorder="1" applyAlignment="1" quotePrefix="1">
      <alignment/>
    </xf>
    <xf numFmtId="166" fontId="7" fillId="3" borderId="0" xfId="0" applyNumberFormat="1" applyFont="1" applyFill="1" applyBorder="1" applyAlignment="1">
      <alignment/>
    </xf>
    <xf numFmtId="0" fontId="17" fillId="2" borderId="0" xfId="0" applyFont="1" applyFill="1" applyAlignment="1">
      <alignment horizontal="center"/>
    </xf>
    <xf numFmtId="0" fontId="7" fillId="2" borderId="1" xfId="0" applyFont="1" applyFill="1" applyBorder="1" applyAlignment="1" quotePrefix="1">
      <alignment/>
    </xf>
    <xf numFmtId="166" fontId="7" fillId="3" borderId="0" xfId="0" applyNumberFormat="1" applyFont="1" applyFill="1" applyAlignment="1" quotePrefix="1">
      <alignment horizontal="left"/>
    </xf>
    <xf numFmtId="166" fontId="7" fillId="2" borderId="0" xfId="24" applyFont="1" applyFill="1">
      <alignment/>
      <protection/>
    </xf>
    <xf numFmtId="166" fontId="7" fillId="2" borderId="2" xfId="24" applyFont="1" applyFill="1" applyBorder="1" applyAlignment="1">
      <alignment horizontal="left"/>
      <protection/>
    </xf>
    <xf numFmtId="166" fontId="7" fillId="2" borderId="2" xfId="24" applyFont="1" applyFill="1" applyBorder="1" applyAlignment="1">
      <alignment horizontal="center"/>
      <protection/>
    </xf>
    <xf numFmtId="166" fontId="7" fillId="2" borderId="2" xfId="24" applyFont="1" applyFill="1" applyBorder="1" applyAlignment="1" quotePrefix="1">
      <alignment horizontal="center"/>
      <protection/>
    </xf>
    <xf numFmtId="168" fontId="7" fillId="2" borderId="0" xfId="30" applyFont="1" applyFill="1" applyBorder="1">
      <alignment/>
      <protection/>
    </xf>
    <xf numFmtId="168" fontId="7" fillId="2" borderId="0" xfId="30" applyFont="1" applyFill="1" applyBorder="1" applyAlignment="1" applyProtection="1">
      <alignment horizontal="center"/>
      <protection/>
    </xf>
    <xf numFmtId="168" fontId="7" fillId="2" borderId="0" xfId="30" applyFont="1" applyFill="1" applyBorder="1" applyAlignment="1">
      <alignment horizontal="center"/>
      <protection/>
    </xf>
    <xf numFmtId="168" fontId="7" fillId="2" borderId="0" xfId="30" applyFont="1" applyFill="1" applyBorder="1" applyAlignment="1" applyProtection="1" quotePrefix="1">
      <alignment horizontal="center"/>
      <protection/>
    </xf>
    <xf numFmtId="168" fontId="7" fillId="2" borderId="1" xfId="30" applyFont="1" applyFill="1" applyBorder="1" applyAlignment="1" applyProtection="1">
      <alignment horizontal="left"/>
      <protection/>
    </xf>
    <xf numFmtId="168" fontId="7" fillId="2" borderId="1" xfId="30" applyFont="1" applyFill="1" applyBorder="1" applyAlignment="1" applyProtection="1" quotePrefix="1">
      <alignment horizontal="center"/>
      <protection/>
    </xf>
    <xf numFmtId="181" fontId="7" fillId="2" borderId="0" xfId="30" applyNumberFormat="1" applyFont="1" applyFill="1" applyBorder="1" applyProtection="1">
      <alignment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center"/>
      <protection/>
    </xf>
    <xf numFmtId="0" fontId="7" fillId="2" borderId="2" xfId="21" applyFont="1" applyFill="1" applyBorder="1" applyAlignment="1">
      <alignment horizontal="left"/>
      <protection/>
    </xf>
    <xf numFmtId="0" fontId="7" fillId="2" borderId="2" xfId="21" applyFont="1" applyFill="1" applyBorder="1" applyAlignment="1" quotePrefix="1">
      <alignment horizontal="center"/>
      <protection/>
    </xf>
    <xf numFmtId="0" fontId="7" fillId="2" borderId="2" xfId="21" applyFont="1" applyFill="1" applyBorder="1" applyAlignment="1">
      <alignment horizontal="center"/>
      <protection/>
    </xf>
    <xf numFmtId="0" fontId="7" fillId="2" borderId="0" xfId="25" applyFont="1" applyFill="1">
      <alignment/>
      <protection/>
    </xf>
    <xf numFmtId="1" fontId="7" fillId="2" borderId="0" xfId="25" applyNumberFormat="1" applyFont="1" applyFill="1" applyAlignment="1" applyProtection="1">
      <alignment horizontal="centerContinuous"/>
      <protection/>
    </xf>
    <xf numFmtId="0" fontId="7" fillId="3" borderId="0" xfId="21" applyFont="1" applyFill="1" applyAlignment="1" quotePrefix="1">
      <alignment horizontal="left"/>
      <protection/>
    </xf>
    <xf numFmtId="0" fontId="7" fillId="3" borderId="4" xfId="21" applyFont="1" applyFill="1" applyBorder="1" applyAlignment="1" quotePrefix="1">
      <alignment horizontal="center"/>
      <protection/>
    </xf>
    <xf numFmtId="0" fontId="7" fillId="3" borderId="0" xfId="21" applyFont="1" applyFill="1">
      <alignment/>
      <protection/>
    </xf>
    <xf numFmtId="0" fontId="7" fillId="3" borderId="2" xfId="21" applyFont="1" applyFill="1" applyBorder="1" applyAlignment="1">
      <alignment horizontal="left"/>
      <protection/>
    </xf>
    <xf numFmtId="0" fontId="7" fillId="3" borderId="2" xfId="21" applyFont="1" applyFill="1" applyBorder="1" applyAlignment="1" quotePrefix="1">
      <alignment horizontal="center"/>
      <protection/>
    </xf>
    <xf numFmtId="0" fontId="7" fillId="3" borderId="2" xfId="21" applyFont="1" applyFill="1" applyBorder="1" applyAlignment="1">
      <alignment horizontal="center"/>
      <protection/>
    </xf>
    <xf numFmtId="0" fontId="7" fillId="2" borderId="0" xfId="25" applyFont="1" applyFill="1" applyBorder="1">
      <alignment/>
      <protection/>
    </xf>
    <xf numFmtId="0" fontId="7" fillId="2" borderId="2" xfId="25" applyFont="1" applyFill="1" applyBorder="1" applyAlignment="1">
      <alignment horizontal="left"/>
      <protection/>
    </xf>
    <xf numFmtId="0" fontId="7" fillId="3" borderId="2" xfId="25" applyFont="1" applyFill="1" applyBorder="1" applyAlignment="1">
      <alignment horizontal="left"/>
      <protection/>
    </xf>
    <xf numFmtId="1" fontId="7" fillId="3" borderId="0" xfId="25" applyNumberFormat="1" applyFont="1" applyFill="1" applyAlignment="1" applyProtection="1">
      <alignment horizontal="centerContinuous"/>
      <protection/>
    </xf>
    <xf numFmtId="0" fontId="7" fillId="2" borderId="4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168" fontId="7" fillId="2" borderId="0" xfId="31" applyFont="1" applyFill="1" applyBorder="1">
      <alignment/>
      <protection/>
    </xf>
    <xf numFmtId="168" fontId="7" fillId="2" borderId="5" xfId="31" applyFont="1" applyFill="1" applyBorder="1" applyAlignment="1" applyProtection="1">
      <alignment horizontal="centerContinuous"/>
      <protection/>
    </xf>
    <xf numFmtId="168" fontId="7" fillId="2" borderId="5" xfId="31" applyFont="1" applyFill="1" applyBorder="1" applyAlignment="1">
      <alignment horizontal="centerContinuous"/>
      <protection/>
    </xf>
    <xf numFmtId="168" fontId="4" fillId="2" borderId="5" xfId="31" applyFill="1" applyBorder="1" applyAlignment="1">
      <alignment horizontal="centerContinuous"/>
      <protection/>
    </xf>
    <xf numFmtId="168" fontId="7" fillId="2" borderId="0" xfId="31" applyFont="1" applyFill="1" applyBorder="1" applyAlignment="1">
      <alignment horizontal="centerContinuous"/>
      <protection/>
    </xf>
    <xf numFmtId="168" fontId="7" fillId="2" borderId="0" xfId="31" applyFont="1" applyFill="1" applyBorder="1" applyAlignment="1" applyProtection="1">
      <alignment horizontal="center"/>
      <protection/>
    </xf>
    <xf numFmtId="168" fontId="7" fillId="2" borderId="1" xfId="31" applyFont="1" applyFill="1" applyBorder="1" applyAlignment="1" applyProtection="1">
      <alignment horizontal="left"/>
      <protection/>
    </xf>
    <xf numFmtId="168" fontId="7" fillId="2" borderId="1" xfId="31" applyFont="1" applyFill="1" applyBorder="1" applyAlignment="1" applyProtection="1">
      <alignment horizontal="center"/>
      <protection/>
    </xf>
    <xf numFmtId="168" fontId="7" fillId="2" borderId="1" xfId="31" applyFont="1" applyFill="1" applyBorder="1" applyAlignment="1" applyProtection="1">
      <alignment horizontal="centerContinuous"/>
      <protection/>
    </xf>
    <xf numFmtId="168" fontId="7" fillId="2" borderId="1" xfId="31" applyFont="1" applyFill="1" applyBorder="1">
      <alignment/>
      <protection/>
    </xf>
    <xf numFmtId="168" fontId="7" fillId="2" borderId="1" xfId="31" applyFont="1" applyFill="1" applyBorder="1" applyAlignment="1" applyProtection="1" quotePrefix="1">
      <alignment horizontal="center"/>
      <protection/>
    </xf>
    <xf numFmtId="172" fontId="7" fillId="2" borderId="0" xfId="31" applyNumberFormat="1" applyFont="1" applyFill="1" applyBorder="1" applyProtection="1">
      <alignment/>
      <protection/>
    </xf>
    <xf numFmtId="172" fontId="7" fillId="2" borderId="0" xfId="31" applyNumberFormat="1" applyFont="1" applyFill="1" applyBorder="1">
      <alignment/>
      <protection/>
    </xf>
    <xf numFmtId="172" fontId="7" fillId="2" borderId="1" xfId="31" applyNumberFormat="1" applyFont="1" applyFill="1" applyBorder="1" applyProtection="1">
      <alignment/>
      <protection/>
    </xf>
    <xf numFmtId="37" fontId="7" fillId="2" borderId="0" xfId="32" applyFont="1" applyFill="1" applyBorder="1">
      <alignment/>
      <protection/>
    </xf>
    <xf numFmtId="165" fontId="7" fillId="2" borderId="1" xfId="32" applyNumberFormat="1" applyFont="1" applyFill="1" applyBorder="1" applyAlignment="1" applyProtection="1">
      <alignment horizontal="centerContinuous"/>
      <protection/>
    </xf>
    <xf numFmtId="165" fontId="7" fillId="2" borderId="0" xfId="32" applyNumberFormat="1" applyFont="1" applyFill="1" applyBorder="1" applyAlignment="1" applyProtection="1">
      <alignment horizontal="centerContinuous"/>
      <protection/>
    </xf>
    <xf numFmtId="37" fontId="7" fillId="2" borderId="1" xfId="32" applyFont="1" applyFill="1" applyBorder="1" applyAlignment="1">
      <alignment horizontal="centerContinuous"/>
      <protection/>
    </xf>
    <xf numFmtId="165" fontId="7" fillId="2" borderId="5" xfId="32" applyNumberFormat="1" applyFont="1" applyFill="1" applyBorder="1" applyAlignment="1" applyProtection="1">
      <alignment horizontal="centerContinuous"/>
      <protection/>
    </xf>
    <xf numFmtId="37" fontId="7" fillId="2" borderId="2" xfId="26" applyFont="1" applyFill="1" applyBorder="1" applyAlignment="1">
      <alignment horizontal="centerContinuous"/>
      <protection/>
    </xf>
    <xf numFmtId="170" fontId="7" fillId="2" borderId="0" xfId="26" applyNumberFormat="1" applyFont="1" applyFill="1" applyAlignment="1" quotePrefix="1">
      <alignment horizontal="left"/>
      <protection/>
    </xf>
    <xf numFmtId="37" fontId="7" fillId="2" borderId="1" xfId="32" applyFont="1" applyFill="1" applyBorder="1" applyAlignment="1" applyProtection="1">
      <alignment horizontal="left"/>
      <protection/>
    </xf>
    <xf numFmtId="37" fontId="7" fillId="2" borderId="1" xfId="32" applyFont="1" applyFill="1" applyBorder="1" applyAlignment="1" applyProtection="1">
      <alignment horizontal="center"/>
      <protection/>
    </xf>
    <xf numFmtId="37" fontId="7" fillId="2" borderId="5" xfId="32" applyFont="1" applyFill="1" applyBorder="1" applyAlignment="1" applyProtection="1">
      <alignment horizontal="center"/>
      <protection/>
    </xf>
    <xf numFmtId="37" fontId="7" fillId="2" borderId="5" xfId="32" applyFont="1" applyFill="1" applyBorder="1" applyAlignment="1" applyProtection="1" quotePrefix="1">
      <alignment horizontal="center"/>
      <protection/>
    </xf>
    <xf numFmtId="37" fontId="7" fillId="2" borderId="1" xfId="32" applyFont="1" applyFill="1" applyBorder="1" applyAlignment="1" applyProtection="1" quotePrefix="1">
      <alignment horizontal="center"/>
      <protection/>
    </xf>
    <xf numFmtId="37" fontId="7" fillId="2" borderId="2" xfId="26" applyFont="1" applyFill="1" applyBorder="1" applyAlignment="1">
      <alignment horizontal="center"/>
      <protection/>
    </xf>
    <xf numFmtId="37" fontId="7" fillId="2" borderId="1" xfId="32" applyFont="1" applyFill="1" applyBorder="1">
      <alignment/>
      <protection/>
    </xf>
    <xf numFmtId="165" fontId="7" fillId="2" borderId="2" xfId="26" applyNumberFormat="1" applyFont="1" applyFill="1" applyBorder="1" applyAlignment="1" applyProtection="1">
      <alignment horizontal="center"/>
      <protection/>
    </xf>
    <xf numFmtId="37" fontId="7" fillId="3" borderId="0" xfId="32" applyFont="1" applyFill="1" applyBorder="1" applyAlignment="1" applyProtection="1">
      <alignment horizontal="left"/>
      <protection/>
    </xf>
    <xf numFmtId="37" fontId="7" fillId="3" borderId="0" xfId="32" applyNumberFormat="1" applyFont="1" applyFill="1" applyBorder="1" applyProtection="1">
      <alignment/>
      <protection/>
    </xf>
    <xf numFmtId="37" fontId="7" fillId="3" borderId="0" xfId="32" applyFont="1" applyFill="1">
      <alignment/>
      <protection/>
    </xf>
    <xf numFmtId="170" fontId="7" fillId="3" borderId="0" xfId="26" applyNumberFormat="1" applyFont="1" applyFill="1">
      <alignment/>
      <protection/>
    </xf>
    <xf numFmtId="37" fontId="7" fillId="3" borderId="0" xfId="32" applyFont="1" applyFill="1" applyBorder="1">
      <alignment/>
      <protection/>
    </xf>
    <xf numFmtId="179" fontId="7" fillId="2" borderId="0" xfId="26" applyNumberFormat="1" applyFont="1" applyFill="1" applyAlignment="1" applyProtection="1">
      <alignment horizontal="right"/>
      <protection/>
    </xf>
    <xf numFmtId="37" fontId="7" fillId="2" borderId="0" xfId="32" applyNumberFormat="1" applyFont="1" applyFill="1" applyBorder="1" applyProtection="1">
      <alignment/>
      <protection/>
    </xf>
    <xf numFmtId="37" fontId="8" fillId="3" borderId="0" xfId="32" applyFill="1">
      <alignment/>
      <protection/>
    </xf>
    <xf numFmtId="37" fontId="7" fillId="4" borderId="0" xfId="32" applyFont="1" applyFill="1" applyBorder="1" applyAlignment="1" applyProtection="1">
      <alignment horizontal="left"/>
      <protection/>
    </xf>
    <xf numFmtId="37" fontId="7" fillId="4" borderId="1" xfId="32" applyFont="1" applyFill="1" applyBorder="1">
      <alignment/>
      <protection/>
    </xf>
    <xf numFmtId="37" fontId="7" fillId="4" borderId="0" xfId="32" applyFont="1" applyFill="1" applyBorder="1">
      <alignment/>
      <protection/>
    </xf>
    <xf numFmtId="37" fontId="7" fillId="4" borderId="1" xfId="32" applyNumberFormat="1" applyFont="1" applyFill="1" applyBorder="1" applyProtection="1">
      <alignment/>
      <protection/>
    </xf>
    <xf numFmtId="170" fontId="7" fillId="4" borderId="1" xfId="26" applyNumberFormat="1" applyFont="1" applyFill="1" applyBorder="1" applyProtection="1">
      <alignment/>
      <protection/>
    </xf>
    <xf numFmtId="0" fontId="7" fillId="2" borderId="4" xfId="0" applyFont="1" applyFill="1" applyBorder="1" applyAlignment="1">
      <alignment/>
    </xf>
    <xf numFmtId="0" fontId="9" fillId="2" borderId="5" xfId="0" applyFont="1" applyFill="1" applyBorder="1" applyAlignment="1" quotePrefix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 quotePrefix="1">
      <alignment/>
    </xf>
    <xf numFmtId="0" fontId="9" fillId="2" borderId="0" xfId="0" applyFont="1" applyFill="1" applyAlignment="1" quotePrefix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 quotePrefix="1">
      <alignment horizontal="left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 quotePrefix="1">
      <alignment/>
    </xf>
    <xf numFmtId="0" fontId="9" fillId="2" borderId="1" xfId="0" applyFont="1" applyFill="1" applyBorder="1" applyAlignment="1">
      <alignment/>
    </xf>
    <xf numFmtId="0" fontId="23" fillId="2" borderId="0" xfId="0" applyFont="1" applyFill="1" applyBorder="1" applyAlignment="1" quotePrefix="1">
      <alignment/>
    </xf>
    <xf numFmtId="0" fontId="9" fillId="2" borderId="0" xfId="0" applyFont="1" applyFill="1" applyBorder="1" applyAlignment="1">
      <alignment/>
    </xf>
    <xf numFmtId="169" fontId="7" fillId="2" borderId="0" xfId="0" applyNumberFormat="1" applyFont="1" applyFill="1" applyAlignment="1">
      <alignment/>
    </xf>
    <xf numFmtId="0" fontId="7" fillId="2" borderId="0" xfId="23" applyFont="1" applyFill="1">
      <alignment/>
      <protection/>
    </xf>
    <xf numFmtId="0" fontId="7" fillId="2" borderId="0" xfId="23" applyFont="1" applyFill="1" applyProtection="1">
      <alignment/>
      <protection locked="0"/>
    </xf>
    <xf numFmtId="0" fontId="7" fillId="2" borderId="0" xfId="23" applyFont="1" applyFill="1" applyAlignment="1" applyProtection="1">
      <alignment horizontal="right"/>
      <protection locked="0"/>
    </xf>
    <xf numFmtId="0" fontId="7" fillId="2" borderId="0" xfId="23" applyFont="1" applyFill="1" applyAlignment="1" applyProtection="1" quotePrefix="1">
      <alignment horizontal="left"/>
      <protection locked="0"/>
    </xf>
    <xf numFmtId="0" fontId="7" fillId="2" borderId="0" xfId="23" applyFont="1" applyFill="1" applyAlignment="1" applyProtection="1">
      <alignment horizontal="left"/>
      <protection locked="0"/>
    </xf>
    <xf numFmtId="0" fontId="7" fillId="2" borderId="6" xfId="23" applyFont="1" applyFill="1" applyBorder="1" applyAlignment="1" applyProtection="1" quotePrefix="1">
      <alignment horizontal="centerContinuous"/>
      <protection locked="0"/>
    </xf>
    <xf numFmtId="0" fontId="7" fillId="2" borderId="2" xfId="23" applyFont="1" applyFill="1" applyBorder="1" applyAlignment="1" applyProtection="1" quotePrefix="1">
      <alignment horizontal="left"/>
      <protection locked="0"/>
    </xf>
    <xf numFmtId="0" fontId="7" fillId="2" borderId="2" xfId="23" applyFont="1" applyFill="1" applyBorder="1" applyProtection="1">
      <alignment/>
      <protection locked="0"/>
    </xf>
    <xf numFmtId="0" fontId="7" fillId="2" borderId="2" xfId="23" applyFont="1" applyFill="1" applyBorder="1" applyAlignment="1" applyProtection="1">
      <alignment horizontal="right"/>
      <protection locked="0"/>
    </xf>
    <xf numFmtId="0" fontId="7" fillId="2" borderId="2" xfId="23" applyFont="1" applyFill="1" applyBorder="1" applyAlignment="1" applyProtection="1">
      <alignment horizontal="left"/>
      <protection locked="0"/>
    </xf>
    <xf numFmtId="0" fontId="7" fillId="2" borderId="2" xfId="23" applyFont="1" applyFill="1" applyBorder="1" applyAlignment="1" applyProtection="1" quotePrefix="1">
      <alignment horizontal="right"/>
      <protection locked="0"/>
    </xf>
    <xf numFmtId="2" fontId="7" fillId="2" borderId="0" xfId="23" applyNumberFormat="1" applyFont="1" applyFill="1" applyProtection="1">
      <alignment/>
      <protection/>
    </xf>
    <xf numFmtId="167" fontId="7" fillId="2" borderId="0" xfId="23" applyNumberFormat="1" applyFont="1" applyFill="1" applyProtection="1">
      <alignment/>
      <protection/>
    </xf>
    <xf numFmtId="0" fontId="7" fillId="2" borderId="0" xfId="0" applyFont="1" applyFill="1" applyAlignment="1" quotePrefix="1">
      <alignment/>
    </xf>
    <xf numFmtId="0" fontId="20" fillId="5" borderId="0" xfId="28" applyFont="1" applyFill="1" applyBorder="1" applyAlignment="1">
      <alignment horizontal="right" wrapText="1"/>
      <protection/>
    </xf>
    <xf numFmtId="0" fontId="20" fillId="5" borderId="0" xfId="28" applyFont="1" applyFill="1" applyBorder="1" applyAlignment="1" quotePrefix="1">
      <alignment horizontal="right" wrapText="1"/>
      <protection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 quotePrefix="1">
      <alignment/>
    </xf>
    <xf numFmtId="0" fontId="7" fillId="2" borderId="0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175" fontId="20" fillId="5" borderId="0" xfId="28" applyNumberFormat="1" applyFont="1" applyFill="1" applyBorder="1" applyAlignment="1">
      <alignment horizontal="right" wrapText="1"/>
      <protection/>
    </xf>
    <xf numFmtId="0" fontId="0" fillId="2" borderId="0" xfId="0" applyFill="1" applyBorder="1" applyAlignment="1">
      <alignment/>
    </xf>
    <xf numFmtId="0" fontId="23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0" fillId="0" borderId="0" xfId="23" applyFont="1" applyAlignment="1" applyProtection="1" quotePrefix="1">
      <alignment horizontal="left"/>
      <protection locked="0"/>
    </xf>
    <xf numFmtId="166" fontId="10" fillId="0" borderId="0" xfId="24" applyFont="1" applyAlignment="1" quotePrefix="1">
      <alignment horizontal="left"/>
      <protection/>
    </xf>
    <xf numFmtId="169" fontId="17" fillId="0" borderId="0" xfId="0" applyNumberFormat="1" applyFont="1" applyAlignment="1">
      <alignment/>
    </xf>
    <xf numFmtId="166" fontId="17" fillId="6" borderId="0" xfId="0" applyNumberFormat="1" applyFont="1" applyFill="1" applyBorder="1" applyAlignment="1">
      <alignment/>
    </xf>
    <xf numFmtId="169" fontId="5" fillId="0" borderId="0" xfId="25" applyNumberFormat="1">
      <alignment/>
      <protection/>
    </xf>
    <xf numFmtId="0" fontId="23" fillId="0" borderId="0" xfId="0" applyFont="1" applyBorder="1" applyAlignment="1" quotePrefix="1">
      <alignment horizontal="left"/>
    </xf>
    <xf numFmtId="3" fontId="7" fillId="0" borderId="0" xfId="31" applyNumberFormat="1" applyFont="1" applyBorder="1" applyProtection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31" applyNumberFormat="1" applyFont="1" applyBorder="1" applyAlignment="1" applyProtection="1">
      <alignment horizontal="left"/>
      <protection/>
    </xf>
    <xf numFmtId="3" fontId="4" fillId="0" borderId="0" xfId="31" applyNumberFormat="1">
      <alignment/>
      <protection/>
    </xf>
    <xf numFmtId="37" fontId="8" fillId="2" borderId="0" xfId="32" applyFill="1">
      <alignment/>
      <protection/>
    </xf>
    <xf numFmtId="169" fontId="7" fillId="0" borderId="0" xfId="0" applyNumberFormat="1" applyFont="1" applyAlignment="1">
      <alignment/>
    </xf>
    <xf numFmtId="169" fontId="7" fillId="3" borderId="0" xfId="0" applyNumberFormat="1" applyFont="1" applyFill="1" applyAlignment="1">
      <alignment/>
    </xf>
    <xf numFmtId="169" fontId="17" fillId="3" borderId="0" xfId="0" applyNumberFormat="1" applyFont="1" applyFill="1" applyAlignment="1">
      <alignment/>
    </xf>
    <xf numFmtId="169" fontId="7" fillId="0" borderId="0" xfId="29" applyNumberFormat="1" applyFont="1" applyBorder="1" applyProtection="1">
      <alignment/>
      <protection/>
    </xf>
    <xf numFmtId="169" fontId="7" fillId="0" borderId="0" xfId="29" applyNumberFormat="1" applyFont="1" applyBorder="1" applyProtection="1" quotePrefix="1">
      <alignment/>
      <protection/>
    </xf>
    <xf numFmtId="37" fontId="8" fillId="0" borderId="0" xfId="32" applyFont="1" applyAlignment="1" quotePrefix="1">
      <alignment horizontal="left"/>
      <protection/>
    </xf>
    <xf numFmtId="37" fontId="7" fillId="2" borderId="5" xfId="32" applyFont="1" applyFill="1" applyBorder="1" applyAlignment="1">
      <alignment horizontal="centerContinuous"/>
      <protection/>
    </xf>
    <xf numFmtId="37" fontId="7" fillId="2" borderId="0" xfId="32" applyFont="1" applyFill="1" applyBorder="1" applyAlignment="1">
      <alignment horizontal="centerContinuous"/>
      <protection/>
    </xf>
    <xf numFmtId="168" fontId="1" fillId="0" borderId="0" xfId="20" applyAlignment="1">
      <alignment/>
    </xf>
    <xf numFmtId="37" fontId="1" fillId="0" borderId="0" xfId="20" applyAlignment="1">
      <alignment/>
    </xf>
    <xf numFmtId="37" fontId="7" fillId="4" borderId="0" xfId="32" applyFont="1" applyFill="1" applyBorder="1" applyAlignment="1" applyProtection="1" quotePrefix="1">
      <alignment horizontal="left"/>
      <protection/>
    </xf>
    <xf numFmtId="37" fontId="10" fillId="0" borderId="4" xfId="32" applyFont="1" applyBorder="1" applyAlignment="1" applyProtection="1" quotePrefix="1">
      <alignment horizontal="left"/>
      <protection/>
    </xf>
    <xf numFmtId="37" fontId="10" fillId="0" borderId="0" xfId="32" applyFont="1" applyBorder="1" applyAlignment="1" applyProtection="1" quotePrefix="1">
      <alignment horizontal="left"/>
      <protection/>
    </xf>
    <xf numFmtId="0" fontId="7" fillId="2" borderId="4" xfId="0" applyFont="1" applyFill="1" applyBorder="1" applyAlignment="1" quotePrefix="1">
      <alignment horizontal="center"/>
    </xf>
    <xf numFmtId="0" fontId="7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"/>
    </xf>
    <xf numFmtId="0" fontId="7" fillId="0" borderId="0" xfId="0" applyFont="1" applyFill="1" applyAlignment="1" quotePrefix="1">
      <alignment horizontal="left"/>
    </xf>
    <xf numFmtId="169" fontId="7" fillId="0" borderId="0" xfId="0" applyNumberFormat="1" applyFont="1" applyFill="1" applyAlignment="1">
      <alignment/>
    </xf>
    <xf numFmtId="169" fontId="17" fillId="0" borderId="0" xfId="0" applyNumberFormat="1" applyFont="1" applyFill="1" applyAlignment="1">
      <alignment/>
    </xf>
    <xf numFmtId="176" fontId="7" fillId="0" borderId="0" xfId="29" applyNumberFormat="1" applyFont="1" applyFill="1" applyBorder="1" applyProtection="1">
      <alignment/>
      <protection/>
    </xf>
    <xf numFmtId="3" fontId="20" fillId="0" borderId="0" xfId="28" applyNumberFormat="1" applyFont="1" applyFill="1" applyBorder="1" applyAlignment="1" quotePrefix="1">
      <alignment horizontal="right" wrapText="1"/>
      <protection/>
    </xf>
    <xf numFmtId="2" fontId="7" fillId="0" borderId="0" xfId="23" applyNumberFormat="1" applyFont="1" applyProtection="1">
      <alignment/>
      <protection locked="0"/>
    </xf>
    <xf numFmtId="168" fontId="33" fillId="0" borderId="0" xfId="31" applyFont="1">
      <alignment/>
      <protection/>
    </xf>
    <xf numFmtId="166" fontId="7" fillId="2" borderId="0" xfId="24" applyFont="1" applyFill="1" quotePrefix="1">
      <alignment/>
      <protection/>
    </xf>
    <xf numFmtId="166" fontId="7" fillId="2" borderId="0" xfId="24" applyFont="1" applyFill="1" applyBorder="1" applyAlignment="1">
      <alignment horizontal="left"/>
      <protection/>
    </xf>
    <xf numFmtId="166" fontId="7" fillId="2" borderId="0" xfId="24" applyFont="1" applyFill="1" applyBorder="1" applyAlignment="1">
      <alignment horizontal="center"/>
      <protection/>
    </xf>
    <xf numFmtId="166" fontId="7" fillId="2" borderId="0" xfId="24" applyFont="1" applyFill="1" applyBorder="1" applyAlignment="1" quotePrefix="1">
      <alignment horizontal="center"/>
      <protection/>
    </xf>
    <xf numFmtId="1" fontId="19" fillId="0" borderId="0" xfId="24" applyNumberFormat="1" applyFont="1" applyAlignment="1" quotePrefix="1">
      <alignment horizontal="left"/>
      <protection/>
    </xf>
    <xf numFmtId="166" fontId="22" fillId="0" borderId="0" xfId="24" applyFont="1" applyAlignment="1" quotePrefix="1">
      <alignment horizontal="centerContinuous"/>
      <protection/>
    </xf>
    <xf numFmtId="168" fontId="4" fillId="0" borderId="0" xfId="31" applyNumberFormat="1" applyFont="1" applyBorder="1" applyProtection="1">
      <alignment/>
      <protection/>
    </xf>
    <xf numFmtId="168" fontId="4" fillId="0" borderId="0" xfId="31" applyFont="1">
      <alignment/>
      <protection/>
    </xf>
    <xf numFmtId="0" fontId="7" fillId="2" borderId="0" xfId="21" applyFont="1" applyFill="1" applyBorder="1" applyAlignment="1" quotePrefix="1">
      <alignment horizontal="center"/>
      <protection/>
    </xf>
    <xf numFmtId="3" fontId="7" fillId="0" borderId="0" xfId="25" applyNumberFormat="1" applyFont="1" applyProtection="1">
      <alignment/>
      <protection/>
    </xf>
    <xf numFmtId="3" fontId="7" fillId="3" borderId="2" xfId="25" applyNumberFormat="1" applyFont="1" applyFill="1" applyBorder="1" applyProtection="1">
      <alignment/>
      <protection/>
    </xf>
    <xf numFmtId="3" fontId="7" fillId="3" borderId="1" xfId="25" applyNumberFormat="1" applyFont="1" applyFill="1" applyBorder="1" applyProtection="1">
      <alignment/>
      <protection/>
    </xf>
    <xf numFmtId="3" fontId="7" fillId="3" borderId="0" xfId="25" applyNumberFormat="1" applyFont="1" applyFill="1" applyProtection="1">
      <alignment/>
      <protection/>
    </xf>
    <xf numFmtId="178" fontId="7" fillId="0" borderId="0" xfId="25" applyNumberFormat="1" applyFont="1" applyProtection="1">
      <alignment/>
      <protection/>
    </xf>
    <xf numFmtId="0" fontId="22" fillId="0" borderId="0" xfId="25" applyFont="1" applyAlignment="1" quotePrefix="1">
      <alignment horizontal="centerContinuous"/>
      <protection/>
    </xf>
    <xf numFmtId="0" fontId="5" fillId="0" borderId="0" xfId="25" applyAlignment="1">
      <alignment horizontal="centerContinuous"/>
      <protection/>
    </xf>
    <xf numFmtId="178" fontId="7" fillId="0" borderId="0" xfId="30" applyNumberFormat="1" applyFont="1" applyBorder="1" applyProtection="1">
      <alignment/>
      <protection/>
    </xf>
    <xf numFmtId="178" fontId="7" fillId="0" borderId="0" xfId="30" applyNumberFormat="1" applyFont="1" applyBorder="1" applyProtection="1">
      <alignment/>
      <protection/>
    </xf>
    <xf numFmtId="168" fontId="7" fillId="2" borderId="1" xfId="30" applyFont="1" applyFill="1" applyBorder="1" applyAlignment="1" applyProtection="1" quotePrefix="1">
      <alignment horizontal="centerContinuous"/>
      <protection/>
    </xf>
    <xf numFmtId="3" fontId="23" fillId="3" borderId="2" xfId="25" applyNumberFormat="1" applyFont="1" applyFill="1" applyBorder="1" applyProtection="1">
      <alignment/>
      <protection/>
    </xf>
    <xf numFmtId="0" fontId="7" fillId="2" borderId="4" xfId="0" applyFont="1" applyFill="1" applyBorder="1" applyAlignment="1" quotePrefix="1">
      <alignment/>
    </xf>
    <xf numFmtId="168" fontId="4" fillId="0" borderId="0" xfId="31" applyFont="1" applyAlignment="1">
      <alignment horizontal="left"/>
      <protection/>
    </xf>
    <xf numFmtId="169" fontId="7" fillId="0" borderId="0" xfId="31" applyNumberFormat="1" applyFont="1" applyBorder="1" applyAlignment="1">
      <alignment horizontal="left"/>
      <protection/>
    </xf>
    <xf numFmtId="37" fontId="7" fillId="2" borderId="4" xfId="32" applyFont="1" applyFill="1" applyBorder="1" applyAlignment="1">
      <alignment horizontal="centerContinuous"/>
      <protection/>
    </xf>
    <xf numFmtId="189" fontId="7" fillId="0" borderId="0" xfId="25" applyNumberFormat="1" applyFont="1" applyAlignment="1" applyProtection="1">
      <alignment/>
      <protection/>
    </xf>
    <xf numFmtId="189" fontId="7" fillId="3" borderId="0" xfId="25" applyNumberFormat="1" applyFont="1" applyFill="1" applyAlignment="1" applyProtection="1">
      <alignment/>
      <protection/>
    </xf>
    <xf numFmtId="169" fontId="7" fillId="3" borderId="0" xfId="0" applyNumberFormat="1" applyFont="1" applyFill="1" applyAlignment="1" quotePrefix="1">
      <alignment/>
    </xf>
    <xf numFmtId="0" fontId="34" fillId="0" borderId="0" xfId="0" applyFont="1" applyAlignment="1">
      <alignment/>
    </xf>
    <xf numFmtId="3" fontId="9" fillId="0" borderId="0" xfId="0" applyNumberFormat="1" applyFont="1" applyAlignment="1">
      <alignment/>
    </xf>
    <xf numFmtId="169" fontId="7" fillId="0" borderId="0" xfId="0" applyNumberFormat="1" applyFont="1" applyAlignment="1" quotePrefix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3" fontId="29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35" fillId="0" borderId="0" xfId="0" applyNumberFormat="1" applyFont="1" applyAlignment="1" quotePrefix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 quotePrefix="1">
      <alignment/>
    </xf>
    <xf numFmtId="0" fontId="36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90" fontId="4" fillId="0" borderId="1" xfId="0" applyNumberFormat="1" applyFont="1" applyBorder="1" applyAlignment="1">
      <alignment/>
    </xf>
    <xf numFmtId="169" fontId="1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8" fillId="0" borderId="0" xfId="0" applyNumberFormat="1" applyFont="1" applyAlignment="1">
      <alignment/>
    </xf>
    <xf numFmtId="3" fontId="7" fillId="3" borderId="0" xfId="25" applyNumberFormat="1" applyFont="1" applyFill="1" applyProtection="1">
      <alignment/>
      <protection/>
    </xf>
    <xf numFmtId="3" fontId="7" fillId="3" borderId="2" xfId="25" applyNumberFormat="1" applyFont="1" applyFill="1" applyBorder="1" applyProtection="1">
      <alignment/>
      <protection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29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29" fillId="2" borderId="1" xfId="0" applyNumberFormat="1" applyFont="1" applyFill="1" applyBorder="1" applyAlignment="1" quotePrefix="1">
      <alignment/>
    </xf>
    <xf numFmtId="3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0" fontId="4" fillId="3" borderId="0" xfId="0" applyNumberFormat="1" applyFont="1" applyFill="1" applyAlignment="1">
      <alignment/>
    </xf>
    <xf numFmtId="169" fontId="17" fillId="0" borderId="0" xfId="0" applyNumberFormat="1" applyFont="1" applyAlignment="1" quotePrefix="1">
      <alignment/>
    </xf>
    <xf numFmtId="168" fontId="34" fillId="0" borderId="0" xfId="31" applyFont="1" applyAlignment="1">
      <alignment horizontal="left"/>
      <protection/>
    </xf>
    <xf numFmtId="166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 quotePrefix="1">
      <alignment/>
    </xf>
    <xf numFmtId="166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6" fontId="7" fillId="0" borderId="0" xfId="0" applyNumberFormat="1" applyFont="1" applyFill="1" applyAlignment="1" quotePrefix="1">
      <alignment horizontal="left"/>
    </xf>
    <xf numFmtId="166" fontId="7" fillId="0" borderId="0" xfId="0" applyNumberFormat="1" applyFont="1" applyFill="1" applyAlignment="1" quotePrefix="1">
      <alignment horizontal="center"/>
    </xf>
    <xf numFmtId="16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166" fontId="7" fillId="0" borderId="0" xfId="0" applyNumberFormat="1" applyFont="1" applyFill="1" applyBorder="1" applyAlignment="1" quotePrefix="1">
      <alignment/>
    </xf>
    <xf numFmtId="166" fontId="17" fillId="0" borderId="0" xfId="0" applyNumberFormat="1" applyFont="1" applyFill="1" applyBorder="1" applyAlignment="1">
      <alignment/>
    </xf>
    <xf numFmtId="166" fontId="7" fillId="3" borderId="0" xfId="24" applyFont="1" applyFill="1" applyAlignment="1" quotePrefix="1">
      <alignment horizontal="left"/>
      <protection/>
    </xf>
    <xf numFmtId="166" fontId="7" fillId="3" borderId="0" xfId="24" applyFont="1" applyFill="1">
      <alignment/>
      <protection/>
    </xf>
    <xf numFmtId="166" fontId="7" fillId="3" borderId="0" xfId="24" applyFont="1" applyFill="1" quotePrefix="1">
      <alignment/>
      <protection/>
    </xf>
    <xf numFmtId="166" fontId="3" fillId="3" borderId="0" xfId="24" applyFill="1">
      <alignment/>
      <protection/>
    </xf>
    <xf numFmtId="0" fontId="0" fillId="0" borderId="0" xfId="0" applyFill="1" applyAlignment="1">
      <alignment/>
    </xf>
    <xf numFmtId="168" fontId="7" fillId="3" borderId="1" xfId="30" applyFont="1" applyFill="1" applyBorder="1" applyAlignment="1" applyProtection="1">
      <alignment horizontal="left"/>
      <protection/>
    </xf>
    <xf numFmtId="178" fontId="7" fillId="3" borderId="1" xfId="30" applyNumberFormat="1" applyFont="1" applyFill="1" applyBorder="1" applyProtection="1">
      <alignment/>
      <protection/>
    </xf>
    <xf numFmtId="178" fontId="7" fillId="3" borderId="2" xfId="25" applyNumberFormat="1" applyFont="1" applyFill="1" applyBorder="1" applyProtection="1">
      <alignment/>
      <protection/>
    </xf>
    <xf numFmtId="178" fontId="7" fillId="3" borderId="1" xfId="25" applyNumberFormat="1" applyFont="1" applyFill="1" applyBorder="1" applyProtection="1">
      <alignment/>
      <protection/>
    </xf>
    <xf numFmtId="178" fontId="7" fillId="3" borderId="1" xfId="25" applyNumberFormat="1" applyFont="1" applyFill="1" applyBorder="1" applyProtection="1">
      <alignment/>
      <protection/>
    </xf>
    <xf numFmtId="178" fontId="23" fillId="3" borderId="1" xfId="25" applyNumberFormat="1" applyFont="1" applyFill="1" applyBorder="1" applyProtection="1">
      <alignment/>
      <protection/>
    </xf>
    <xf numFmtId="168" fontId="7" fillId="3" borderId="1" xfId="31" applyFont="1" applyFill="1" applyBorder="1" applyAlignment="1" applyProtection="1">
      <alignment horizontal="left"/>
      <protection/>
    </xf>
    <xf numFmtId="169" fontId="7" fillId="3" borderId="1" xfId="31" applyNumberFormat="1" applyFont="1" applyFill="1" applyBorder="1" applyProtection="1">
      <alignment/>
      <protection/>
    </xf>
    <xf numFmtId="169" fontId="7" fillId="3" borderId="1" xfId="0" applyNumberFormat="1" applyFont="1" applyFill="1" applyBorder="1" applyAlignment="1">
      <alignment/>
    </xf>
    <xf numFmtId="178" fontId="7" fillId="3" borderId="1" xfId="31" applyNumberFormat="1" applyFont="1" applyFill="1" applyBorder="1" applyProtection="1">
      <alignment/>
      <protection/>
    </xf>
    <xf numFmtId="37" fontId="7" fillId="3" borderId="1" xfId="31" applyNumberFormat="1" applyFont="1" applyFill="1" applyBorder="1" applyProtection="1">
      <alignment/>
      <protection/>
    </xf>
    <xf numFmtId="3" fontId="7" fillId="3" borderId="1" xfId="31" applyNumberFormat="1" applyFont="1" applyFill="1" applyBorder="1" applyProtection="1">
      <alignment/>
      <protection/>
    </xf>
    <xf numFmtId="3" fontId="7" fillId="3" borderId="1" xfId="0" applyNumberFormat="1" applyFont="1" applyFill="1" applyBorder="1" applyAlignment="1">
      <alignment/>
    </xf>
    <xf numFmtId="0" fontId="21" fillId="3" borderId="0" xfId="0" applyFont="1" applyFill="1" applyAlignment="1" quotePrefix="1">
      <alignment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0" fontId="7" fillId="3" borderId="0" xfId="23" applyFont="1" applyFill="1" applyAlignment="1" quotePrefix="1">
      <alignment horizontal="left"/>
      <protection/>
    </xf>
    <xf numFmtId="0" fontId="7" fillId="3" borderId="0" xfId="23" applyFont="1" applyFill="1">
      <alignment/>
      <protection/>
    </xf>
    <xf numFmtId="2" fontId="7" fillId="3" borderId="0" xfId="23" applyNumberFormat="1" applyFont="1" applyFill="1" applyProtection="1">
      <alignment/>
      <protection/>
    </xf>
    <xf numFmtId="2" fontId="7" fillId="3" borderId="0" xfId="23" applyNumberFormat="1" applyFont="1" applyFill="1">
      <alignment/>
      <protection/>
    </xf>
    <xf numFmtId="3" fontId="20" fillId="7" borderId="0" xfId="28" applyNumberFormat="1" applyFont="1" applyFill="1" applyBorder="1" applyAlignment="1">
      <alignment horizontal="right" wrapText="1"/>
      <protection/>
    </xf>
    <xf numFmtId="0" fontId="19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168" fontId="23" fillId="0" borderId="0" xfId="30" applyFont="1" applyBorder="1" applyAlignment="1" applyProtection="1" quotePrefix="1">
      <alignment horizontal="centerContinuous"/>
      <protection/>
    </xf>
    <xf numFmtId="168" fontId="23" fillId="2" borderId="0" xfId="30" applyFont="1" applyFill="1" applyBorder="1" applyAlignment="1" applyProtection="1">
      <alignment horizontal="center"/>
      <protection/>
    </xf>
    <xf numFmtId="0" fontId="23" fillId="0" borderId="0" xfId="21" applyFont="1" applyAlignment="1" quotePrefix="1">
      <alignment horizontal="centerContinuous"/>
      <protection/>
    </xf>
    <xf numFmtId="0" fontId="23" fillId="2" borderId="0" xfId="21" applyFont="1" applyFill="1" applyAlignment="1">
      <alignment horizontal="center"/>
      <protection/>
    </xf>
    <xf numFmtId="0" fontId="23" fillId="0" borderId="0" xfId="21" applyFont="1" applyAlignment="1">
      <alignment horizontal="center"/>
      <protection/>
    </xf>
    <xf numFmtId="168" fontId="23" fillId="0" borderId="0" xfId="31" applyFont="1" applyBorder="1" applyAlignment="1" applyProtection="1" quotePrefix="1">
      <alignment horizontal="centerContinuous"/>
      <protection/>
    </xf>
    <xf numFmtId="168" fontId="23" fillId="2" borderId="0" xfId="31" applyFont="1" applyFill="1" applyBorder="1" applyAlignment="1" applyProtection="1">
      <alignment horizontal="center"/>
      <protection/>
    </xf>
    <xf numFmtId="37" fontId="23" fillId="2" borderId="0" xfId="32" applyFont="1" applyFill="1" applyBorder="1" applyAlignment="1">
      <alignment horizontal="center"/>
      <protection/>
    </xf>
    <xf numFmtId="37" fontId="23" fillId="0" borderId="0" xfId="26" applyFont="1" applyAlignment="1">
      <alignment horizontal="centerContinuous"/>
      <protection/>
    </xf>
    <xf numFmtId="37" fontId="23" fillId="0" borderId="0" xfId="26" applyFont="1" applyAlignment="1" quotePrefix="1">
      <alignment horizontal="centerContinuous"/>
      <protection/>
    </xf>
    <xf numFmtId="37" fontId="23" fillId="0" borderId="0" xfId="26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4" fillId="0" borderId="0" xfId="30" applyNumberFormat="1">
      <alignment/>
      <protection/>
    </xf>
    <xf numFmtId="0" fontId="7" fillId="3" borderId="0" xfId="21" applyFont="1" applyFill="1" applyAlignment="1">
      <alignment horizontal="centerContinuous"/>
      <protection/>
    </xf>
    <xf numFmtId="0" fontId="7" fillId="3" borderId="0" xfId="25" applyFont="1" applyFill="1">
      <alignment/>
      <protection/>
    </xf>
    <xf numFmtId="165" fontId="7" fillId="2" borderId="2" xfId="26" applyNumberFormat="1" applyFont="1" applyFill="1" applyBorder="1" applyAlignment="1" applyProtection="1" quotePrefix="1">
      <alignment horizontal="center"/>
      <protection/>
    </xf>
    <xf numFmtId="175" fontId="7" fillId="2" borderId="0" xfId="26" applyNumberFormat="1" applyFont="1" applyFill="1" applyProtection="1">
      <alignment/>
      <protection/>
    </xf>
    <xf numFmtId="174" fontId="7" fillId="2" borderId="0" xfId="32" applyNumberFormat="1" applyFont="1" applyFill="1" applyBorder="1">
      <alignment/>
      <protection/>
    </xf>
    <xf numFmtId="174" fontId="7" fillId="2" borderId="0" xfId="32" applyNumberFormat="1" applyFont="1" applyFill="1" applyBorder="1" applyProtection="1">
      <alignment/>
      <protection/>
    </xf>
    <xf numFmtId="37" fontId="7" fillId="2" borderId="6" xfId="26" applyFont="1" applyFill="1" applyBorder="1" applyAlignment="1">
      <alignment horizontal="centerContinuous"/>
      <protection/>
    </xf>
    <xf numFmtId="37" fontId="8" fillId="0" borderId="1" xfId="32" applyBorder="1">
      <alignment/>
      <protection/>
    </xf>
    <xf numFmtId="165" fontId="7" fillId="2" borderId="4" xfId="32" applyNumberFormat="1" applyFont="1" applyFill="1" applyBorder="1" applyAlignment="1" applyProtection="1">
      <alignment horizontal="centerContinuous"/>
      <protection/>
    </xf>
    <xf numFmtId="37" fontId="7" fillId="2" borderId="0" xfId="32" applyFont="1" applyFill="1" applyBorder="1" applyAlignment="1" applyProtection="1" quotePrefix="1">
      <alignment horizontal="center"/>
      <protection/>
    </xf>
    <xf numFmtId="166" fontId="7" fillId="0" borderId="0" xfId="0" applyNumberFormat="1" applyFont="1" applyFill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Normal_A (4)_2" xfId="22"/>
    <cellStyle name="Normal_A (6)" xfId="23"/>
    <cellStyle name="Normal_A_2" xfId="24"/>
    <cellStyle name="Normal_A_4" xfId="25"/>
    <cellStyle name="Normal_A_6" xfId="26"/>
    <cellStyle name="Normal_NOV2000TAB" xfId="27"/>
    <cellStyle name="Normal_Sheet1" xfId="28"/>
    <cellStyle name="Normal_TAB36" xfId="29"/>
    <cellStyle name="Normal_TAB40" xfId="30"/>
    <cellStyle name="Normal_TAB41" xfId="31"/>
    <cellStyle name="Normal_TAB43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\VEGEYS\S&amp;OTABS\NOVEMBER\2000Tables\NOV2000TA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6\Preview\fdrive\S&amp;OTABS\APRIL\2001Tables\IRI%20fresh%20cut%20salad%20firm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6\Preview\fdrive\S&amp;OTABS\YEARBOOK\2001tables\Yrbk2001_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amp;OTABS\APRIL\APR98T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ct03\AppendixTabs\Fre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\VEGEYS\S&amp;OTABS\APRIL\2001tables\APR2001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6\Preview\fdrive\S&amp;OTABS\NOVEMBER\2000tables\Nov2000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6\Preview\August01\Tables\Trad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drive\S&amp;OTABS\NOVEMBER\2000tables\Nov2000ta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drive\S&amp;OTABS\APRIL\2001Tables\IRI%20fresh%20cut%20salad%20firm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\VEGEYS\S&amp;OTABS\YEARBOOK\2001Tables\Yrbk2001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ug03\AppendixTabs\Fre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8"/>
      <sheetName val="tab0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52"/>
      <sheetName val="Tab53"/>
      <sheetName val="Tab54"/>
      <sheetName val="TabA-1"/>
      <sheetName val="TabA-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4&amp;99 firm sales"/>
      <sheetName val="94 firm sales"/>
      <sheetName val="99 firm sales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tab081"/>
      <sheetName val="tab082"/>
      <sheetName val="tab083"/>
      <sheetName val="tab084"/>
      <sheetName val="tab085"/>
      <sheetName val="tab086"/>
      <sheetName val="tab087"/>
      <sheetName val="tab088"/>
      <sheetName val="tab089"/>
      <sheetName val="tab090"/>
      <sheetName val="tab091"/>
      <sheetName val="tab092"/>
      <sheetName val="tab093"/>
      <sheetName val="tab094"/>
      <sheetName val="tab095"/>
      <sheetName val="tab096"/>
      <sheetName val="tab097"/>
      <sheetName val="tab098"/>
      <sheetName val="tab099"/>
      <sheetName val="tab100"/>
      <sheetName val="tab101"/>
      <sheetName val="tab102"/>
      <sheetName val="tab103"/>
      <sheetName val="tab104"/>
      <sheetName val="tab105"/>
      <sheetName val="tab106"/>
      <sheetName val="tab107"/>
      <sheetName val="tab108"/>
      <sheetName val="tab109"/>
      <sheetName val="tab110"/>
      <sheetName val="tab111"/>
      <sheetName val="tab112"/>
      <sheetName val="tab113"/>
      <sheetName val="tab114"/>
      <sheetName val="tab115"/>
      <sheetName val="tab116"/>
      <sheetName val="tab117"/>
      <sheetName val="tab118"/>
      <sheetName val="tab119"/>
      <sheetName val="tab120"/>
      <sheetName val="tab121"/>
      <sheetName val="tab122"/>
      <sheetName val="tab123"/>
      <sheetName val="tab124"/>
      <sheetName val="tab125"/>
      <sheetName val="tab126"/>
      <sheetName val="tab127"/>
      <sheetName val="tab128"/>
      <sheetName val="tab129"/>
      <sheetName val="tab130"/>
      <sheetName val="tab131"/>
      <sheetName val="tab132"/>
      <sheetName val="tab133"/>
      <sheetName val="tab134"/>
      <sheetName val="tab135"/>
      <sheetName val="tab136"/>
      <sheetName val="tab137"/>
      <sheetName val="tab138"/>
      <sheetName val="tab139"/>
      <sheetName val="tab140"/>
      <sheetName val="tab141"/>
      <sheetName val="tab141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esh1"/>
      <sheetName val="Fresh2"/>
      <sheetName val="Fresh3"/>
      <sheetName val="Fresh4"/>
      <sheetName val="Fresh5"/>
      <sheetName val="Fresh6"/>
      <sheetName val="Fresh7"/>
      <sheetName val="Fresh8"/>
      <sheetName val="Fresh9"/>
      <sheetName val="Fresh10"/>
      <sheetName val="Fresh11"/>
      <sheetName val="Fresh12"/>
      <sheetName val="Fresh13"/>
    </sheetNames>
    <sheetDataSet>
      <sheetData sheetId="2">
        <row r="34">
          <cell r="A34" t="str">
            <v> 1/ Includes imports, exports, and domestic transfers.   2002 data are preliminary.   2/ Change in third quarter 2003 over third quarter 2002.    3/ Excludes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8"/>
      <sheetName val="TAB0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A-1"/>
      <sheetName val="TabA-2"/>
      <sheetName val="TabB-1"/>
      <sheetName val="TabB-2"/>
      <sheetName val="TabB-3"/>
      <sheetName val="TabB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8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52"/>
      <sheetName val="Tab53"/>
      <sheetName val="Tab54"/>
      <sheetName val="TabA-1"/>
      <sheetName val="TabA-2"/>
      <sheetName val="tab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de1"/>
      <sheetName val="Trade2"/>
      <sheetName val="Trade3"/>
      <sheetName val="Trade4"/>
      <sheetName val="Trade5"/>
      <sheetName val="Trade6"/>
      <sheetName val="Trade7"/>
      <sheetName val="Trade8"/>
      <sheetName val="Trade9"/>
      <sheetName val="Trade10"/>
      <sheetName val="Trade11"/>
    </sheetNames>
    <sheetDataSet>
      <sheetData sheetId="10">
        <row r="4">
          <cell r="B4" t="str">
            <v>--1,000 lbs--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8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52"/>
      <sheetName val="Tab53"/>
      <sheetName val="Tab54"/>
      <sheetName val="TabA-1"/>
      <sheetName val="TabA-2"/>
      <sheetName val="tab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4&amp;99 firm sales"/>
      <sheetName val="94 firm sales"/>
      <sheetName val="99 firm sales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002"/>
      <sheetName val="tab003"/>
      <sheetName val="tab004"/>
      <sheetName val="tab005"/>
      <sheetName val="tab006"/>
      <sheetName val="tab007"/>
      <sheetName val="tab008"/>
      <sheetName val="tab009"/>
      <sheetName val="tab010"/>
      <sheetName val="tab011"/>
      <sheetName val="tab012"/>
      <sheetName val="tab013"/>
      <sheetName val="tab015"/>
      <sheetName val="tab016 "/>
      <sheetName val="tab017"/>
      <sheetName val="tab018"/>
      <sheetName val="tab019"/>
      <sheetName val="tab020"/>
      <sheetName val="tab021"/>
      <sheetName val="tab022"/>
      <sheetName val="tab023"/>
      <sheetName val="tab024"/>
      <sheetName val="tab025"/>
      <sheetName val="tab026"/>
      <sheetName val="tab027"/>
      <sheetName val="tab028"/>
      <sheetName val="tab029"/>
      <sheetName val="tab030"/>
      <sheetName val="tab031"/>
      <sheetName val="tab032"/>
      <sheetName val="tab033"/>
      <sheetName val="tab034"/>
      <sheetName val="tab035"/>
      <sheetName val="tab036"/>
      <sheetName val="tab037"/>
      <sheetName val="tab038"/>
      <sheetName val="tab039"/>
      <sheetName val="tab04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resh1"/>
      <sheetName val="Fresh2"/>
      <sheetName val="Fresh3"/>
      <sheetName val="Fresh4"/>
      <sheetName val="Fresh5"/>
      <sheetName val="Fresh6"/>
      <sheetName val="Fresh7"/>
      <sheetName val="Fresh8"/>
      <sheetName val="Fresh9"/>
    </sheetNames>
    <sheetDataSet>
      <sheetData sheetId="2">
        <row r="34">
          <cell r="A34" t="str">
            <v> 1/ Includes imports, exports, and domestic transfers.   Data are preliminary.   2/ Change from first quarter 2000.    3/ Excludes processed lettuce.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LSMNPUBS/annualbean/annualbean.htm" TargetMode="External" /><Relationship Id="rId2" Type="http://schemas.openxmlformats.org/officeDocument/2006/relationships/hyperlink" Target="http://www.ams.usda.gov/mnreports/GL_GR851.txt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.usda.gov/ustrade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.usda.gov/ustrade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.usda.gov/ustrade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FarmIncome/Glossary/def_cr.htm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usda.mannlib.cornell.edu/MannUsda/viewDocumentInfo.do?documentID=1000" TargetMode="External" /><Relationship Id="rId2" Type="http://schemas.openxmlformats.org/officeDocument/2006/relationships/hyperlink" Target="http://usda.mannlib.cornell.edu/MannUsda/viewDocumentInfo.do;jsessionid=91CE27F9E29B6D93F698E0F1C4AD2E05?documentID=1136" TargetMode="External" /><Relationship Id="rId3" Type="http://schemas.openxmlformats.org/officeDocument/2006/relationships/hyperlink" Target="http://usda.mannlib.cornell.edu/MannUsda/viewDocumentInfo.do?documentID=1046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usda.mannlib.cornell.edu/MannUsda/viewDocumentInfo.do?documentID=1000" TargetMode="External" /><Relationship Id="rId2" Type="http://schemas.openxmlformats.org/officeDocument/2006/relationships/hyperlink" Target="http://usda.mannlib.cornell.edu/MannUsda/viewDocumentInfo.do?documentID=1046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sda.mannlib.cornell.edu/MannUsda/viewDocumentInfo.do?documentID=1046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W101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4.8515625" style="0" customWidth="1"/>
    <col min="2" max="2" width="6.57421875" style="0" customWidth="1"/>
    <col min="3" max="14" width="6.00390625" style="0" customWidth="1"/>
    <col min="15" max="15" width="1.1484375" style="0" customWidth="1"/>
    <col min="16" max="16" width="6.7109375" style="0" customWidth="1"/>
    <col min="17" max="17" width="1.8515625" style="0" customWidth="1"/>
    <col min="18" max="18" width="6.7109375" style="0" customWidth="1"/>
    <col min="19" max="19" width="0.85546875" style="0" customWidth="1"/>
    <col min="20" max="27" width="7.140625" style="0" customWidth="1"/>
  </cols>
  <sheetData>
    <row r="1" ht="12" customHeight="1"/>
    <row r="2" spans="1:18" ht="14.25" customHeight="1">
      <c r="A2" s="168" t="s">
        <v>518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49" ht="14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 t="s">
        <v>230</v>
      </c>
      <c r="S3" s="207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1:49" ht="11.25" customHeight="1">
      <c r="A4" s="209" t="s">
        <v>48</v>
      </c>
      <c r="B4" s="209" t="s">
        <v>49</v>
      </c>
      <c r="C4" s="209" t="s">
        <v>50</v>
      </c>
      <c r="D4" s="209" t="s">
        <v>51</v>
      </c>
      <c r="E4" s="209" t="s">
        <v>52</v>
      </c>
      <c r="F4" s="209" t="s">
        <v>53</v>
      </c>
      <c r="G4" s="209" t="s">
        <v>54</v>
      </c>
      <c r="H4" s="209" t="s">
        <v>55</v>
      </c>
      <c r="I4" s="209" t="s">
        <v>56</v>
      </c>
      <c r="J4" s="209" t="s">
        <v>57</v>
      </c>
      <c r="K4" s="209" t="s">
        <v>58</v>
      </c>
      <c r="L4" s="209" t="s">
        <v>59</v>
      </c>
      <c r="M4" s="209" t="s">
        <v>60</v>
      </c>
      <c r="N4" s="209" t="s">
        <v>61</v>
      </c>
      <c r="O4" s="209"/>
      <c r="P4" s="210" t="s">
        <v>119</v>
      </c>
      <c r="Q4" s="208"/>
      <c r="R4" s="224" t="s">
        <v>205</v>
      </c>
      <c r="S4" s="208"/>
      <c r="T4" s="54"/>
      <c r="U4" s="54" t="s">
        <v>119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</row>
    <row r="5" spans="1:49" ht="10.5" customHeight="1">
      <c r="A5" s="211"/>
      <c r="B5" s="212" t="s">
        <v>62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08"/>
      <c r="R5" s="213" t="s">
        <v>568</v>
      </c>
      <c r="S5" s="208"/>
      <c r="T5" s="54"/>
      <c r="U5" s="54" t="s">
        <v>571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1:49" ht="15" customHeight="1">
      <c r="A6" s="55"/>
      <c r="C6" s="174" t="s">
        <v>63</v>
      </c>
      <c r="D6" s="56"/>
      <c r="E6" s="56"/>
      <c r="F6" s="56"/>
      <c r="G6" s="56"/>
      <c r="H6" s="57"/>
      <c r="I6" s="56"/>
      <c r="J6" s="56"/>
      <c r="K6" s="56"/>
      <c r="L6" s="56"/>
      <c r="M6" s="56"/>
      <c r="N6" s="56"/>
      <c r="O6" s="56"/>
      <c r="P6" s="54"/>
      <c r="Q6" s="54"/>
      <c r="R6" s="182" t="s">
        <v>204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</row>
    <row r="7" spans="1:49" ht="8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</row>
    <row r="8" spans="1:49" ht="9.75" customHeight="1">
      <c r="A8" s="58" t="s">
        <v>64</v>
      </c>
      <c r="B8" s="52" t="s">
        <v>273</v>
      </c>
      <c r="C8" s="59">
        <v>22.8</v>
      </c>
      <c r="D8" s="59">
        <v>24.5</v>
      </c>
      <c r="E8" s="59">
        <v>25.9</v>
      </c>
      <c r="F8" s="59">
        <v>27</v>
      </c>
      <c r="G8" s="59">
        <v>27.2</v>
      </c>
      <c r="H8" s="59">
        <v>27.8</v>
      </c>
      <c r="I8" s="59">
        <v>26.6</v>
      </c>
      <c r="J8" s="159">
        <v>28.7</v>
      </c>
      <c r="K8" s="59">
        <v>31.1</v>
      </c>
      <c r="L8" s="59">
        <v>27.7</v>
      </c>
      <c r="M8" s="59">
        <v>25.4</v>
      </c>
      <c r="N8" s="59">
        <v>21.4</v>
      </c>
      <c r="O8" s="59"/>
      <c r="P8" s="99">
        <v>25.7</v>
      </c>
      <c r="Q8" s="60"/>
      <c r="R8" s="439" t="s">
        <v>225</v>
      </c>
      <c r="S8" s="60"/>
      <c r="T8" s="60"/>
      <c r="U8" s="60"/>
      <c r="V8" s="60"/>
      <c r="W8" s="60"/>
      <c r="X8" s="60"/>
      <c r="Y8" s="60"/>
      <c r="Z8" s="60"/>
      <c r="AA8" s="60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</row>
    <row r="9" spans="1:49" ht="9.75" customHeight="1">
      <c r="A9" s="58"/>
      <c r="B9" s="365" t="s">
        <v>286</v>
      </c>
      <c r="C9" s="441">
        <v>18</v>
      </c>
      <c r="D9" s="441">
        <v>18.8</v>
      </c>
      <c r="E9" s="441">
        <v>18</v>
      </c>
      <c r="F9" s="441">
        <v>18.1</v>
      </c>
      <c r="G9" s="441">
        <v>19.2</v>
      </c>
      <c r="H9" s="441">
        <v>17.4</v>
      </c>
      <c r="I9" s="441">
        <v>17.1</v>
      </c>
      <c r="J9" s="442">
        <v>18.9</v>
      </c>
      <c r="K9" s="441">
        <v>19.3</v>
      </c>
      <c r="L9" s="441">
        <v>19</v>
      </c>
      <c r="M9" s="441">
        <v>21.7</v>
      </c>
      <c r="N9" s="441">
        <v>19.5</v>
      </c>
      <c r="O9" s="441"/>
      <c r="P9" s="443">
        <v>18.5</v>
      </c>
      <c r="Q9" s="368"/>
      <c r="R9" s="340">
        <f>(((G9)/(G8))-1)*100</f>
        <v>-29.411764705882348</v>
      </c>
      <c r="S9" s="60"/>
      <c r="T9" s="60"/>
      <c r="U9" s="60">
        <v>2</v>
      </c>
      <c r="V9" s="60">
        <f>P9/U9</f>
        <v>9.25</v>
      </c>
      <c r="W9" s="60"/>
      <c r="X9" s="60"/>
      <c r="Y9" s="60"/>
      <c r="Z9" s="60"/>
      <c r="AA9" s="60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ht="9.75" customHeight="1">
      <c r="A10" s="58"/>
      <c r="B10" s="365" t="s">
        <v>320</v>
      </c>
      <c r="C10" s="441">
        <v>18.8</v>
      </c>
      <c r="D10" s="441">
        <v>19.5</v>
      </c>
      <c r="E10" s="441">
        <v>21.8</v>
      </c>
      <c r="F10" s="441">
        <v>21.8</v>
      </c>
      <c r="G10" s="441">
        <v>22.7</v>
      </c>
      <c r="H10" s="441">
        <v>25.4</v>
      </c>
      <c r="I10" s="441">
        <v>25.7</v>
      </c>
      <c r="J10" s="442">
        <v>24.5</v>
      </c>
      <c r="K10" s="441">
        <v>24.4</v>
      </c>
      <c r="L10" s="441">
        <v>24.4</v>
      </c>
      <c r="M10" s="441">
        <v>28.5</v>
      </c>
      <c r="N10" s="441">
        <v>25.7</v>
      </c>
      <c r="O10" s="441"/>
      <c r="P10" s="443">
        <v>22.1</v>
      </c>
      <c r="Q10" s="368"/>
      <c r="R10" s="340">
        <f>(((G10)/(G9))-1)*100</f>
        <v>18.229166666666675</v>
      </c>
      <c r="S10" s="60"/>
      <c r="T10" s="60"/>
      <c r="U10" s="60">
        <v>3.04</v>
      </c>
      <c r="V10" s="60">
        <f>P10/U10</f>
        <v>7.269736842105264</v>
      </c>
      <c r="W10" s="60"/>
      <c r="X10" s="60"/>
      <c r="Y10" s="60"/>
      <c r="Z10" s="60"/>
      <c r="AA10" s="60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ht="9.75" customHeight="1">
      <c r="A11" s="58"/>
      <c r="B11" s="221" t="s">
        <v>325</v>
      </c>
      <c r="C11" s="215">
        <v>24.5</v>
      </c>
      <c r="D11" s="215">
        <v>25.9</v>
      </c>
      <c r="E11" s="215">
        <v>26.8</v>
      </c>
      <c r="F11" s="215">
        <v>27</v>
      </c>
      <c r="G11" s="215">
        <v>27.4</v>
      </c>
      <c r="H11" s="215">
        <v>32</v>
      </c>
      <c r="I11" s="215">
        <v>32.2</v>
      </c>
      <c r="J11" s="216">
        <v>34.3</v>
      </c>
      <c r="K11" s="215">
        <v>35.6</v>
      </c>
      <c r="L11" s="215">
        <v>33.5</v>
      </c>
      <c r="M11" s="215">
        <v>36.3</v>
      </c>
      <c r="N11" s="215">
        <v>38</v>
      </c>
      <c r="O11" s="215"/>
      <c r="P11" s="217">
        <v>28.8</v>
      </c>
      <c r="Q11" s="218"/>
      <c r="R11" s="340">
        <f>(((G11)/(G10))-1)*100</f>
        <v>20.70484581497798</v>
      </c>
      <c r="S11" s="60"/>
      <c r="T11" s="60"/>
      <c r="U11" s="60">
        <v>4.2</v>
      </c>
      <c r="V11" s="60">
        <f>P11/U11</f>
        <v>6.857142857142857</v>
      </c>
      <c r="W11" s="60"/>
      <c r="X11" s="60"/>
      <c r="Y11" s="60"/>
      <c r="Z11" s="60"/>
      <c r="AA11" s="60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ht="9.75" customHeight="1">
      <c r="A12" s="58"/>
      <c r="B12" s="221" t="s">
        <v>513</v>
      </c>
      <c r="C12" s="215">
        <v>36.8</v>
      </c>
      <c r="D12" s="215">
        <v>40</v>
      </c>
      <c r="E12" s="215">
        <v>34.5</v>
      </c>
      <c r="F12" s="215">
        <v>34.5</v>
      </c>
      <c r="G12" s="215">
        <v>32.3</v>
      </c>
      <c r="H12" s="215"/>
      <c r="I12" s="215"/>
      <c r="J12" s="216"/>
      <c r="K12" s="215"/>
      <c r="L12" s="215"/>
      <c r="M12" s="215"/>
      <c r="N12" s="215"/>
      <c r="O12" s="215"/>
      <c r="P12" s="217">
        <v>30</v>
      </c>
      <c r="Q12" s="218"/>
      <c r="R12" s="340">
        <f>(((G12)/(G11))-1)*100</f>
        <v>17.88321167883211</v>
      </c>
      <c r="S12" s="60"/>
      <c r="T12" s="60"/>
      <c r="U12" s="60">
        <v>3.9</v>
      </c>
      <c r="V12" s="60">
        <f>P12/U12</f>
        <v>7.6923076923076925</v>
      </c>
      <c r="W12" s="60"/>
      <c r="X12" s="60"/>
      <c r="Y12" s="60"/>
      <c r="Z12" s="60"/>
      <c r="AA12" s="60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49" ht="3.75" customHeight="1">
      <c r="A13" s="5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</row>
    <row r="14" spans="1:49" ht="9.75" customHeight="1">
      <c r="A14" s="58" t="s">
        <v>65</v>
      </c>
      <c r="B14" s="52" t="s">
        <v>273</v>
      </c>
      <c r="C14" s="59">
        <v>23.75</v>
      </c>
      <c r="D14" s="59">
        <v>28.88</v>
      </c>
      <c r="E14" s="59">
        <v>33.4</v>
      </c>
      <c r="F14" s="59">
        <v>32</v>
      </c>
      <c r="G14" s="59">
        <v>32</v>
      </c>
      <c r="H14" s="59">
        <v>31</v>
      </c>
      <c r="I14" s="59">
        <v>28.8</v>
      </c>
      <c r="J14" s="59">
        <v>25.75</v>
      </c>
      <c r="K14" s="59">
        <v>23.63</v>
      </c>
      <c r="L14" s="59">
        <v>23.5</v>
      </c>
      <c r="M14" s="59">
        <v>21.88</v>
      </c>
      <c r="N14" s="59">
        <v>17.5</v>
      </c>
      <c r="O14" s="59"/>
      <c r="P14" s="99">
        <f>AVERAGE(C14:N14)</f>
        <v>26.840833333333336</v>
      </c>
      <c r="Q14" s="54"/>
      <c r="R14" s="439" t="s">
        <v>225</v>
      </c>
      <c r="S14" s="54"/>
      <c r="T14" s="54"/>
      <c r="U14" s="60">
        <v>3.8</v>
      </c>
      <c r="V14" s="60">
        <f>28/U14</f>
        <v>7.36842105263158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49" ht="9.75" customHeight="1">
      <c r="A15" s="58"/>
      <c r="B15" s="365" t="s">
        <v>286</v>
      </c>
      <c r="C15" s="441">
        <v>14.75</v>
      </c>
      <c r="D15" s="441">
        <v>13.5</v>
      </c>
      <c r="E15" s="441">
        <v>13.7</v>
      </c>
      <c r="F15" s="441">
        <v>13.83</v>
      </c>
      <c r="G15" s="441">
        <v>13.38</v>
      </c>
      <c r="H15" s="441">
        <v>13.5</v>
      </c>
      <c r="I15" s="441">
        <v>13.5</v>
      </c>
      <c r="J15" s="441">
        <v>13.5</v>
      </c>
      <c r="K15" s="441">
        <v>13.5</v>
      </c>
      <c r="L15" s="441">
        <v>13.5</v>
      </c>
      <c r="M15" s="441">
        <v>14.25</v>
      </c>
      <c r="N15" s="441">
        <v>16.4</v>
      </c>
      <c r="O15" s="441"/>
      <c r="P15" s="443">
        <f>AVERAGE(C15:N15)</f>
        <v>13.9425</v>
      </c>
      <c r="Q15" s="444"/>
      <c r="R15" s="340">
        <f>(((G15)/(G14))-1)*100</f>
        <v>-58.18749999999999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</row>
    <row r="16" spans="1:49" ht="9.75" customHeight="1">
      <c r="A16" s="58"/>
      <c r="B16" s="365" t="s">
        <v>320</v>
      </c>
      <c r="C16" s="441">
        <v>17.67</v>
      </c>
      <c r="D16" s="441">
        <v>18.5</v>
      </c>
      <c r="E16" s="441">
        <v>19.25</v>
      </c>
      <c r="F16" s="441">
        <v>19.5</v>
      </c>
      <c r="G16" s="441">
        <v>21.25</v>
      </c>
      <c r="H16" s="441">
        <v>22.5</v>
      </c>
      <c r="I16" s="441">
        <v>23.5</v>
      </c>
      <c r="J16" s="441">
        <v>23.25</v>
      </c>
      <c r="K16" s="441">
        <v>22.1</v>
      </c>
      <c r="L16" s="441">
        <v>22</v>
      </c>
      <c r="M16" s="441">
        <v>22.1</v>
      </c>
      <c r="N16" s="441">
        <v>22.13</v>
      </c>
      <c r="O16" s="441"/>
      <c r="P16" s="443">
        <f>AVERAGE(C16:N16)</f>
        <v>21.145833333333332</v>
      </c>
      <c r="Q16" s="444"/>
      <c r="R16" s="340">
        <f>(((G16)/(G15))-1)*100</f>
        <v>58.81913303437967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</row>
    <row r="17" spans="1:49" ht="9.75" customHeight="1">
      <c r="A17" s="58"/>
      <c r="B17" s="221" t="s">
        <v>325</v>
      </c>
      <c r="C17" s="215">
        <v>24.33</v>
      </c>
      <c r="D17" s="215">
        <v>25.4</v>
      </c>
      <c r="E17" s="215">
        <v>24.13</v>
      </c>
      <c r="F17" s="215">
        <v>24</v>
      </c>
      <c r="G17" s="215">
        <v>25.5</v>
      </c>
      <c r="H17" s="215">
        <v>27.75</v>
      </c>
      <c r="I17" s="215">
        <v>29.75</v>
      </c>
      <c r="J17" s="215">
        <v>29.2</v>
      </c>
      <c r="K17" s="215">
        <v>29.5</v>
      </c>
      <c r="L17" s="215">
        <v>30.25</v>
      </c>
      <c r="M17" s="215">
        <v>31.8</v>
      </c>
      <c r="N17" s="215">
        <v>34.38</v>
      </c>
      <c r="O17" s="215"/>
      <c r="P17" s="217">
        <f>AVERAGE(C17:N17)</f>
        <v>27.999166666666667</v>
      </c>
      <c r="Q17" s="219"/>
      <c r="R17" s="340">
        <f>(((G17)/(G16))-1)*100</f>
        <v>19.999999999999996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9.75" customHeight="1">
      <c r="A18" s="58"/>
      <c r="B18" s="221" t="s">
        <v>513</v>
      </c>
      <c r="C18" s="215">
        <v>32.5</v>
      </c>
      <c r="D18" s="215">
        <v>27.17</v>
      </c>
      <c r="E18" s="215">
        <v>27</v>
      </c>
      <c r="F18" s="215">
        <v>27</v>
      </c>
      <c r="G18" s="215">
        <v>26.25</v>
      </c>
      <c r="H18" s="215">
        <v>26.33</v>
      </c>
      <c r="I18" s="215"/>
      <c r="J18" s="215"/>
      <c r="K18" s="215"/>
      <c r="L18" s="215"/>
      <c r="M18" s="215"/>
      <c r="N18" s="215"/>
      <c r="O18" s="215"/>
      <c r="P18" s="217">
        <f>AVERAGE(C18:N18)</f>
        <v>27.708333333333332</v>
      </c>
      <c r="Q18" s="219"/>
      <c r="R18" s="340">
        <f>(((G18)/(G17))-1)*100</f>
        <v>2.941176470588225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1:49" ht="3.75" customHeight="1">
      <c r="A19" s="58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</row>
    <row r="20" spans="1:49" ht="9.75" customHeight="1">
      <c r="A20" s="58" t="s">
        <v>66</v>
      </c>
      <c r="B20" s="52" t="s">
        <v>273</v>
      </c>
      <c r="C20" s="59">
        <v>25.13</v>
      </c>
      <c r="D20" s="59">
        <v>26.38</v>
      </c>
      <c r="E20" s="59">
        <v>26.3</v>
      </c>
      <c r="F20" s="59">
        <v>26</v>
      </c>
      <c r="G20" s="59">
        <v>26</v>
      </c>
      <c r="H20" s="59">
        <v>26</v>
      </c>
      <c r="I20" s="59">
        <v>26</v>
      </c>
      <c r="J20" s="59">
        <v>25.88</v>
      </c>
      <c r="K20" s="59">
        <v>25.38</v>
      </c>
      <c r="L20" s="59">
        <v>24.6</v>
      </c>
      <c r="M20" s="59">
        <v>21</v>
      </c>
      <c r="N20" s="59">
        <v>20</v>
      </c>
      <c r="O20" s="59"/>
      <c r="P20" s="443">
        <f>AVERAGE(C20:N20)</f>
        <v>24.889166666666668</v>
      </c>
      <c r="Q20" s="54"/>
      <c r="R20" s="439" t="s">
        <v>225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</row>
    <row r="21" spans="1:49" ht="9.75" customHeight="1">
      <c r="A21" s="58" t="s">
        <v>67</v>
      </c>
      <c r="B21" s="365" t="s">
        <v>286</v>
      </c>
      <c r="C21" s="441">
        <v>20.13</v>
      </c>
      <c r="D21" s="441">
        <v>18.5</v>
      </c>
      <c r="E21" s="441">
        <v>18.5</v>
      </c>
      <c r="F21" s="441">
        <v>18.5</v>
      </c>
      <c r="G21" s="441">
        <v>18.5</v>
      </c>
      <c r="H21" s="441">
        <v>18.5</v>
      </c>
      <c r="I21" s="441">
        <v>19.25</v>
      </c>
      <c r="J21" s="441">
        <v>19.5</v>
      </c>
      <c r="K21" s="441">
        <v>19.5</v>
      </c>
      <c r="L21" s="441">
        <v>19.5</v>
      </c>
      <c r="M21" s="441">
        <v>19.5</v>
      </c>
      <c r="N21" s="441">
        <v>20</v>
      </c>
      <c r="O21" s="441"/>
      <c r="P21" s="443">
        <f>AVERAGE(C21:N21)</f>
        <v>19.156666666666666</v>
      </c>
      <c r="Q21" s="444"/>
      <c r="R21" s="340">
        <f>(((G21)/(G20))-1)*100</f>
        <v>-28.846153846153843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</row>
    <row r="22" spans="1:49" ht="9.75" customHeight="1">
      <c r="A22" s="58"/>
      <c r="B22" s="365" t="s">
        <v>320</v>
      </c>
      <c r="C22" s="441">
        <v>18.25</v>
      </c>
      <c r="D22" s="441">
        <v>17.65</v>
      </c>
      <c r="E22" s="441">
        <v>17.44</v>
      </c>
      <c r="F22" s="441">
        <v>18.25</v>
      </c>
      <c r="G22" s="441">
        <v>19.5</v>
      </c>
      <c r="H22" s="441">
        <v>20.5</v>
      </c>
      <c r="I22" s="441">
        <v>21.44</v>
      </c>
      <c r="J22" s="441">
        <v>22.63</v>
      </c>
      <c r="K22" s="441">
        <v>22.7</v>
      </c>
      <c r="L22" s="441">
        <v>22.75</v>
      </c>
      <c r="M22" s="441">
        <v>22.75</v>
      </c>
      <c r="N22" s="441">
        <v>24</v>
      </c>
      <c r="O22" s="441"/>
      <c r="P22" s="443">
        <f>AVERAGE(C22:N22)</f>
        <v>20.654999999999998</v>
      </c>
      <c r="Q22" s="444"/>
      <c r="R22" s="340">
        <f>(((G22)/(G21))-1)*100</f>
        <v>5.405405405405395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</row>
    <row r="23" spans="1:49" ht="9.75" customHeight="1">
      <c r="A23" s="58"/>
      <c r="B23" s="221" t="s">
        <v>325</v>
      </c>
      <c r="C23" s="215">
        <v>27</v>
      </c>
      <c r="D23" s="215">
        <v>30.5</v>
      </c>
      <c r="E23" s="215">
        <v>30.5</v>
      </c>
      <c r="F23" s="215">
        <v>30.5</v>
      </c>
      <c r="G23" s="215">
        <v>30.5</v>
      </c>
      <c r="H23" s="215">
        <v>31.5</v>
      </c>
      <c r="I23" s="215">
        <v>34</v>
      </c>
      <c r="J23" s="215">
        <v>36.1</v>
      </c>
      <c r="K23" s="215">
        <v>38.5</v>
      </c>
      <c r="L23" s="215">
        <v>38.5</v>
      </c>
      <c r="M23" s="216">
        <v>38.5</v>
      </c>
      <c r="N23" s="216" t="s">
        <v>128</v>
      </c>
      <c r="O23" s="215"/>
      <c r="P23" s="217">
        <f>AVERAGE(C23:N23)</f>
        <v>33.28181818181818</v>
      </c>
      <c r="Q23" s="219"/>
      <c r="R23" s="340">
        <f>(((G23)/(G22))-1)*100</f>
        <v>56.41025641025641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</row>
    <row r="24" spans="1:49" ht="9.75" customHeight="1">
      <c r="A24" s="58"/>
      <c r="B24" s="221" t="s">
        <v>513</v>
      </c>
      <c r="C24" s="215">
        <v>40.13</v>
      </c>
      <c r="D24" s="216" t="s">
        <v>128</v>
      </c>
      <c r="E24" s="216" t="s">
        <v>128</v>
      </c>
      <c r="F24" s="216" t="s">
        <v>128</v>
      </c>
      <c r="G24" s="215">
        <v>25</v>
      </c>
      <c r="H24" s="215">
        <v>25</v>
      </c>
      <c r="I24" s="215"/>
      <c r="J24" s="215"/>
      <c r="K24" s="215"/>
      <c r="L24" s="215"/>
      <c r="M24" s="216"/>
      <c r="N24" s="216"/>
      <c r="O24" s="215"/>
      <c r="P24" s="217">
        <f>AVERAGE(C24:N24)</f>
        <v>30.043333333333333</v>
      </c>
      <c r="Q24" s="219"/>
      <c r="R24" s="340">
        <f>(((G24)/(G23))-1)*100</f>
        <v>-18.032786885245898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</row>
    <row r="25" spans="1:49" ht="3.75" customHeight="1">
      <c r="A25" s="58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4"/>
      <c r="Q25" s="54"/>
      <c r="R25" s="119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1:49" ht="9.75" customHeight="1">
      <c r="A26" s="58" t="s">
        <v>68</v>
      </c>
      <c r="B26" s="52" t="s">
        <v>273</v>
      </c>
      <c r="C26" s="59">
        <v>16.42</v>
      </c>
      <c r="D26" s="59">
        <v>17.5</v>
      </c>
      <c r="E26" s="59">
        <v>17.5</v>
      </c>
      <c r="F26" s="59">
        <v>17.5</v>
      </c>
      <c r="G26" s="59">
        <v>17.5</v>
      </c>
      <c r="H26" s="59">
        <v>17.5</v>
      </c>
      <c r="I26" s="59">
        <v>17.5</v>
      </c>
      <c r="J26" s="59">
        <v>16.5</v>
      </c>
      <c r="K26" s="59">
        <v>16.5</v>
      </c>
      <c r="L26" s="59">
        <v>16.5</v>
      </c>
      <c r="M26" s="59">
        <v>16.5</v>
      </c>
      <c r="N26" s="59">
        <v>16.5</v>
      </c>
      <c r="O26" s="59"/>
      <c r="P26" s="99">
        <f>AVERAGE(C26:N26)</f>
        <v>16.993333333333336</v>
      </c>
      <c r="Q26" s="54"/>
      <c r="R26" s="439" t="s">
        <v>225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ht="9.75" customHeight="1">
      <c r="A27" s="58"/>
      <c r="B27" s="365" t="s">
        <v>286</v>
      </c>
      <c r="C27" s="441">
        <v>16.31</v>
      </c>
      <c r="D27" s="441">
        <v>15.56</v>
      </c>
      <c r="E27" s="441">
        <v>15.6</v>
      </c>
      <c r="F27" s="441">
        <v>16</v>
      </c>
      <c r="G27" s="441">
        <v>16</v>
      </c>
      <c r="H27" s="441">
        <v>16</v>
      </c>
      <c r="I27" s="441">
        <v>16</v>
      </c>
      <c r="J27" s="441">
        <v>17.5</v>
      </c>
      <c r="K27" s="441">
        <v>17.8</v>
      </c>
      <c r="L27" s="441">
        <v>18</v>
      </c>
      <c r="M27" s="441">
        <v>18</v>
      </c>
      <c r="N27" s="441">
        <v>18</v>
      </c>
      <c r="O27" s="441"/>
      <c r="P27" s="443">
        <f>AVERAGE(C27:N27)</f>
        <v>16.730833333333333</v>
      </c>
      <c r="Q27" s="444"/>
      <c r="R27" s="340">
        <f>(((G27)/(G26))-1)*100</f>
        <v>-8.571428571428575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</row>
    <row r="28" spans="1:49" ht="9.75" customHeight="1">
      <c r="A28" s="58"/>
      <c r="B28" s="365" t="s">
        <v>320</v>
      </c>
      <c r="C28" s="441">
        <v>18</v>
      </c>
      <c r="D28" s="441">
        <v>18</v>
      </c>
      <c r="E28" s="441">
        <v>20</v>
      </c>
      <c r="F28" s="441">
        <v>20</v>
      </c>
      <c r="G28" s="441">
        <v>21.75</v>
      </c>
      <c r="H28" s="441">
        <v>22.38</v>
      </c>
      <c r="I28" s="441">
        <v>24.75</v>
      </c>
      <c r="J28" s="441">
        <v>26</v>
      </c>
      <c r="K28" s="441">
        <v>26</v>
      </c>
      <c r="L28" s="441">
        <v>26.5</v>
      </c>
      <c r="M28" s="441">
        <v>28</v>
      </c>
      <c r="N28" s="441">
        <v>28.5</v>
      </c>
      <c r="O28" s="441"/>
      <c r="P28" s="443">
        <f>AVERAGE(C28:N28)</f>
        <v>23.323333333333334</v>
      </c>
      <c r="Q28" s="444"/>
      <c r="R28" s="340">
        <f>(((G28)/(G27))-1)*100</f>
        <v>35.9375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</row>
    <row r="29" spans="1:49" ht="9.75" customHeight="1">
      <c r="A29" s="58"/>
      <c r="B29" s="221" t="s">
        <v>325</v>
      </c>
      <c r="C29" s="215">
        <v>31.33</v>
      </c>
      <c r="D29" s="215">
        <v>32</v>
      </c>
      <c r="E29" s="215">
        <v>32</v>
      </c>
      <c r="F29" s="215">
        <v>32</v>
      </c>
      <c r="G29" s="215">
        <v>32</v>
      </c>
      <c r="H29" s="215">
        <v>32.75</v>
      </c>
      <c r="I29" s="215">
        <v>35.75</v>
      </c>
      <c r="J29" s="215">
        <v>38</v>
      </c>
      <c r="K29" s="215">
        <v>40</v>
      </c>
      <c r="L29" s="215">
        <v>40</v>
      </c>
      <c r="M29" s="215">
        <v>40</v>
      </c>
      <c r="N29" s="215">
        <v>41.5</v>
      </c>
      <c r="O29" s="215"/>
      <c r="P29" s="217">
        <f>AVERAGE(C29:N29)</f>
        <v>35.61083333333333</v>
      </c>
      <c r="Q29" s="219"/>
      <c r="R29" s="340">
        <f>(((G29)/(G28))-1)*100</f>
        <v>47.12643678160919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1:49" ht="9.75" customHeight="1">
      <c r="A30" s="58"/>
      <c r="B30" s="221" t="s">
        <v>513</v>
      </c>
      <c r="C30" s="215">
        <v>41.5</v>
      </c>
      <c r="D30" s="216" t="s">
        <v>128</v>
      </c>
      <c r="E30" s="216" t="s">
        <v>128</v>
      </c>
      <c r="F30" s="216" t="s">
        <v>128</v>
      </c>
      <c r="G30" s="216" t="s">
        <v>128</v>
      </c>
      <c r="H30" s="216" t="s">
        <v>128</v>
      </c>
      <c r="I30" s="215"/>
      <c r="J30" s="215"/>
      <c r="K30" s="215"/>
      <c r="L30" s="215"/>
      <c r="M30" s="215"/>
      <c r="N30" s="215"/>
      <c r="O30" s="215"/>
      <c r="P30" s="216" t="s">
        <v>128</v>
      </c>
      <c r="Q30" s="219"/>
      <c r="R30" s="439" t="s">
        <v>225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</row>
    <row r="31" spans="1:49" ht="3.75" customHeight="1">
      <c r="A31" s="58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</row>
    <row r="32" spans="1:49" ht="9.75" customHeight="1">
      <c r="A32" s="58" t="s">
        <v>69</v>
      </c>
      <c r="B32" s="52" t="s">
        <v>273</v>
      </c>
      <c r="C32" s="59">
        <v>28.25</v>
      </c>
      <c r="D32" s="59">
        <v>27.5</v>
      </c>
      <c r="E32" s="59">
        <v>27.5</v>
      </c>
      <c r="F32" s="59">
        <v>27.5</v>
      </c>
      <c r="G32" s="59">
        <v>27.5</v>
      </c>
      <c r="H32" s="59">
        <v>27.5</v>
      </c>
      <c r="I32" s="59">
        <v>27.5</v>
      </c>
      <c r="J32" s="59">
        <v>27.5</v>
      </c>
      <c r="K32" s="59">
        <v>27.38</v>
      </c>
      <c r="L32" s="59">
        <v>27</v>
      </c>
      <c r="M32" s="59">
        <v>27</v>
      </c>
      <c r="N32" s="59">
        <v>26</v>
      </c>
      <c r="O32" s="59"/>
      <c r="P32" s="99">
        <f>AVERAGE(C32:N32)</f>
        <v>27.344166666666666</v>
      </c>
      <c r="Q32" s="54"/>
      <c r="R32" s="439" t="s">
        <v>225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</row>
    <row r="33" spans="1:49" ht="9.75" customHeight="1">
      <c r="A33" s="58"/>
      <c r="B33" s="365" t="s">
        <v>286</v>
      </c>
      <c r="C33" s="441">
        <v>22.75</v>
      </c>
      <c r="D33" s="441">
        <v>21.63</v>
      </c>
      <c r="E33" s="441">
        <v>21.5</v>
      </c>
      <c r="F33" s="441">
        <v>21.5</v>
      </c>
      <c r="G33" s="441">
        <v>21.88</v>
      </c>
      <c r="H33" s="441">
        <v>21.63</v>
      </c>
      <c r="I33" s="441">
        <v>21.25</v>
      </c>
      <c r="J33" s="441">
        <v>21.5</v>
      </c>
      <c r="K33" s="441">
        <v>20.7</v>
      </c>
      <c r="L33" s="441">
        <v>20.5</v>
      </c>
      <c r="M33" s="441">
        <v>20.5</v>
      </c>
      <c r="N33" s="503" t="s">
        <v>567</v>
      </c>
      <c r="O33" s="441"/>
      <c r="P33" s="443">
        <f>AVERAGE(C33:N33)</f>
        <v>21.39454545454545</v>
      </c>
      <c r="Q33" s="444"/>
      <c r="R33" s="340">
        <f>(((G33)/(G32))-1)*100</f>
        <v>-20.43636363636364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1:49" ht="9.75" customHeight="1">
      <c r="A34" s="58"/>
      <c r="B34" s="365" t="s">
        <v>320</v>
      </c>
      <c r="C34" s="441">
        <v>21.5</v>
      </c>
      <c r="D34" s="441">
        <v>23.1</v>
      </c>
      <c r="E34" s="441">
        <v>23.75</v>
      </c>
      <c r="F34" s="441">
        <v>24</v>
      </c>
      <c r="G34" s="441">
        <v>25</v>
      </c>
      <c r="H34" s="441">
        <v>25.5</v>
      </c>
      <c r="I34" s="441">
        <v>25.5</v>
      </c>
      <c r="J34" s="441">
        <v>25.88</v>
      </c>
      <c r="K34" s="441">
        <v>26</v>
      </c>
      <c r="L34" s="503" t="s">
        <v>567</v>
      </c>
      <c r="M34" s="503" t="s">
        <v>567</v>
      </c>
      <c r="N34" s="503" t="s">
        <v>567</v>
      </c>
      <c r="O34" s="441"/>
      <c r="P34" s="443">
        <f>AVERAGE(C34:N34)</f>
        <v>24.47</v>
      </c>
      <c r="Q34" s="444"/>
      <c r="R34" s="340">
        <f>(((G34)/(G33))-1)*100</f>
        <v>14.25959780621573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</row>
    <row r="35" spans="1:49" ht="9.75" customHeight="1">
      <c r="A35" s="58"/>
      <c r="B35" s="221" t="s">
        <v>325</v>
      </c>
      <c r="C35" s="215">
        <v>35.5</v>
      </c>
      <c r="D35" s="215">
        <v>40</v>
      </c>
      <c r="E35" s="215">
        <v>40</v>
      </c>
      <c r="F35" s="215">
        <v>40</v>
      </c>
      <c r="G35" s="215">
        <v>40.38</v>
      </c>
      <c r="H35" s="215">
        <v>40.5</v>
      </c>
      <c r="I35" s="216" t="s">
        <v>128</v>
      </c>
      <c r="J35" s="216" t="s">
        <v>128</v>
      </c>
      <c r="K35" s="216" t="s">
        <v>128</v>
      </c>
      <c r="L35" s="216" t="s">
        <v>128</v>
      </c>
      <c r="M35" s="216" t="s">
        <v>128</v>
      </c>
      <c r="N35" s="216" t="s">
        <v>128</v>
      </c>
      <c r="O35" s="215"/>
      <c r="P35" s="217">
        <f>AVERAGE(C35:N35)</f>
        <v>39.39666666666667</v>
      </c>
      <c r="Q35" s="219"/>
      <c r="R35" s="340">
        <f>(((G35)/(G34))-1)*100</f>
        <v>61.52000000000002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</row>
    <row r="36" spans="1:49" ht="9.75" customHeight="1">
      <c r="A36" s="58"/>
      <c r="B36" s="221" t="s">
        <v>513</v>
      </c>
      <c r="C36" s="215">
        <v>52</v>
      </c>
      <c r="D36" s="216" t="s">
        <v>128</v>
      </c>
      <c r="E36" s="216" t="s">
        <v>128</v>
      </c>
      <c r="F36" s="216" t="s">
        <v>128</v>
      </c>
      <c r="G36" s="216" t="s">
        <v>128</v>
      </c>
      <c r="H36" s="216" t="s">
        <v>128</v>
      </c>
      <c r="I36" s="216"/>
      <c r="J36" s="216"/>
      <c r="K36" s="216"/>
      <c r="L36" s="216"/>
      <c r="M36" s="216"/>
      <c r="N36" s="216"/>
      <c r="O36" s="215"/>
      <c r="P36" s="216" t="s">
        <v>128</v>
      </c>
      <c r="Q36" s="219"/>
      <c r="R36" s="439" t="s">
        <v>225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</row>
    <row r="37" spans="1:49" ht="3.75" customHeight="1">
      <c r="A37" s="5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ht="9.75" customHeight="1">
      <c r="A38" s="58" t="s">
        <v>70</v>
      </c>
      <c r="B38" s="52" t="s">
        <v>273</v>
      </c>
      <c r="C38" s="59">
        <v>29.25</v>
      </c>
      <c r="D38" s="59">
        <v>29.13</v>
      </c>
      <c r="E38" s="59">
        <v>28.9</v>
      </c>
      <c r="F38" s="59">
        <v>28.5</v>
      </c>
      <c r="G38" s="59">
        <v>28.5</v>
      </c>
      <c r="H38" s="59">
        <v>27.75</v>
      </c>
      <c r="I38" s="59">
        <v>26</v>
      </c>
      <c r="J38" s="59">
        <v>25</v>
      </c>
      <c r="K38" s="59">
        <v>25</v>
      </c>
      <c r="L38" s="442" t="s">
        <v>128</v>
      </c>
      <c r="M38" s="442" t="s">
        <v>128</v>
      </c>
      <c r="N38" s="59">
        <v>26</v>
      </c>
      <c r="O38" s="59"/>
      <c r="P38" s="99">
        <f>AVERAGE(C38:N38)</f>
        <v>27.403</v>
      </c>
      <c r="Q38" s="54"/>
      <c r="R38" s="439" t="s">
        <v>225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</row>
    <row r="39" spans="1:49" ht="9.75" customHeight="1">
      <c r="A39" s="58"/>
      <c r="B39" s="365" t="s">
        <v>286</v>
      </c>
      <c r="C39" s="441">
        <v>22.63</v>
      </c>
      <c r="D39" s="441">
        <v>21.5</v>
      </c>
      <c r="E39" s="441">
        <v>21.2</v>
      </c>
      <c r="F39" s="441">
        <v>20.5</v>
      </c>
      <c r="G39" s="441">
        <v>20.5</v>
      </c>
      <c r="H39" s="441">
        <v>20.5</v>
      </c>
      <c r="I39" s="441">
        <v>20.75</v>
      </c>
      <c r="J39" s="441">
        <v>21</v>
      </c>
      <c r="K39" s="441">
        <v>20.7</v>
      </c>
      <c r="L39" s="441">
        <v>20.5</v>
      </c>
      <c r="M39" s="441">
        <v>20.5</v>
      </c>
      <c r="N39" s="441">
        <v>20.8</v>
      </c>
      <c r="O39" s="441"/>
      <c r="P39" s="443">
        <f>AVERAGE(C39:N39)</f>
        <v>20.923333333333332</v>
      </c>
      <c r="Q39" s="444"/>
      <c r="R39" s="340">
        <f>(((G39)/(G38))-1)*100</f>
        <v>-28.07017543859649</v>
      </c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</row>
    <row r="40" spans="1:49" ht="9.75" customHeight="1">
      <c r="A40" s="58"/>
      <c r="B40" s="365" t="s">
        <v>320</v>
      </c>
      <c r="C40" s="441">
        <v>22.92</v>
      </c>
      <c r="D40" s="441">
        <v>23.55</v>
      </c>
      <c r="E40" s="441">
        <v>23.5</v>
      </c>
      <c r="F40" s="441">
        <v>23.5</v>
      </c>
      <c r="G40" s="441">
        <v>25.5</v>
      </c>
      <c r="H40" s="441">
        <v>25.5</v>
      </c>
      <c r="I40" s="441">
        <v>25.5</v>
      </c>
      <c r="J40" s="441">
        <v>28.38</v>
      </c>
      <c r="K40" s="441">
        <v>30</v>
      </c>
      <c r="L40" s="441">
        <v>30</v>
      </c>
      <c r="M40" s="441">
        <v>30</v>
      </c>
      <c r="N40" s="441">
        <v>34</v>
      </c>
      <c r="O40" s="441"/>
      <c r="P40" s="443">
        <f>AVERAGE(C40:N40)</f>
        <v>26.8625</v>
      </c>
      <c r="Q40" s="444"/>
      <c r="R40" s="340">
        <f>(((G40)/(G39))-1)*100</f>
        <v>24.390243902439025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1:49" ht="9.75" customHeight="1">
      <c r="A41" s="58"/>
      <c r="B41" s="221" t="s">
        <v>325</v>
      </c>
      <c r="C41" s="215">
        <v>34</v>
      </c>
      <c r="D41" s="215">
        <v>37</v>
      </c>
      <c r="E41" s="215">
        <v>37</v>
      </c>
      <c r="F41" s="215">
        <v>37</v>
      </c>
      <c r="G41" s="215">
        <v>37</v>
      </c>
      <c r="H41" s="216" t="s">
        <v>128</v>
      </c>
      <c r="I41" s="216" t="s">
        <v>128</v>
      </c>
      <c r="J41" s="216" t="s">
        <v>128</v>
      </c>
      <c r="K41" s="216" t="s">
        <v>128</v>
      </c>
      <c r="L41" s="216" t="s">
        <v>128</v>
      </c>
      <c r="M41" s="216" t="s">
        <v>128</v>
      </c>
      <c r="N41" s="216" t="s">
        <v>128</v>
      </c>
      <c r="O41" s="215"/>
      <c r="P41" s="217">
        <f>AVERAGE(C41:N41)</f>
        <v>36.4</v>
      </c>
      <c r="Q41" s="219"/>
      <c r="R41" s="340">
        <f>(((G41)/(G40))-1)*100</f>
        <v>45.09803921568627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1:49" ht="9.75" customHeight="1">
      <c r="A42" s="58"/>
      <c r="B42" s="221" t="s">
        <v>513</v>
      </c>
      <c r="C42" s="216" t="s">
        <v>128</v>
      </c>
      <c r="D42" s="216" t="s">
        <v>128</v>
      </c>
      <c r="E42" s="216" t="s">
        <v>128</v>
      </c>
      <c r="F42" s="216" t="s">
        <v>128</v>
      </c>
      <c r="G42" s="216" t="s">
        <v>128</v>
      </c>
      <c r="H42" s="216" t="s">
        <v>128</v>
      </c>
      <c r="I42" s="216"/>
      <c r="J42" s="216"/>
      <c r="K42" s="216"/>
      <c r="L42" s="216"/>
      <c r="M42" s="216"/>
      <c r="N42" s="216"/>
      <c r="O42" s="215"/>
      <c r="P42" s="216" t="s">
        <v>128</v>
      </c>
      <c r="Q42" s="219"/>
      <c r="R42" s="439" t="s">
        <v>225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</row>
    <row r="43" spans="1:49" ht="3.75" customHeight="1">
      <c r="A43" s="58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4"/>
      <c r="Q43" s="54"/>
      <c r="R43" s="119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</row>
    <row r="44" spans="1:49" ht="9.75" customHeight="1">
      <c r="A44" s="58" t="s">
        <v>71</v>
      </c>
      <c r="B44" s="52" t="s">
        <v>273</v>
      </c>
      <c r="C44" s="59">
        <v>21</v>
      </c>
      <c r="D44" s="59">
        <v>19.13</v>
      </c>
      <c r="E44" s="59">
        <v>18.5</v>
      </c>
      <c r="F44" s="59">
        <v>18.5</v>
      </c>
      <c r="G44" s="59">
        <v>18.88</v>
      </c>
      <c r="H44" s="59">
        <v>20.63</v>
      </c>
      <c r="I44" s="59">
        <v>20.6</v>
      </c>
      <c r="J44" s="59">
        <v>19.75</v>
      </c>
      <c r="K44" s="59">
        <v>19.31</v>
      </c>
      <c r="L44" s="59">
        <v>18.55</v>
      </c>
      <c r="M44" s="59">
        <v>18.88</v>
      </c>
      <c r="N44" s="59">
        <v>18.8</v>
      </c>
      <c r="O44" s="59"/>
      <c r="P44" s="99">
        <f>AVERAGE(C44:N44)</f>
        <v>19.3775</v>
      </c>
      <c r="Q44" s="54"/>
      <c r="R44" s="439" t="s">
        <v>225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1:49" ht="9.75" customHeight="1">
      <c r="A45" s="58"/>
      <c r="B45" s="365" t="s">
        <v>286</v>
      </c>
      <c r="C45" s="441">
        <v>18.5</v>
      </c>
      <c r="D45" s="441">
        <v>18.5</v>
      </c>
      <c r="E45" s="441">
        <v>19.9</v>
      </c>
      <c r="F45" s="441">
        <v>20.5</v>
      </c>
      <c r="G45" s="441">
        <v>21.5</v>
      </c>
      <c r="H45" s="441">
        <v>21.5</v>
      </c>
      <c r="I45" s="441">
        <v>21.88</v>
      </c>
      <c r="J45" s="441">
        <v>21.63</v>
      </c>
      <c r="K45" s="441">
        <v>21.8</v>
      </c>
      <c r="L45" s="441">
        <v>22</v>
      </c>
      <c r="M45" s="441">
        <v>21.38</v>
      </c>
      <c r="N45" s="441">
        <v>22</v>
      </c>
      <c r="O45" s="441"/>
      <c r="P45" s="443">
        <f>AVERAGE(C45:N45)</f>
        <v>20.924166666666668</v>
      </c>
      <c r="Q45" s="444"/>
      <c r="R45" s="340">
        <f>(((G45)/(G44))-1)*100</f>
        <v>13.8771186440678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1:49" ht="9.75" customHeight="1">
      <c r="A46" s="58"/>
      <c r="B46" s="365" t="s">
        <v>320</v>
      </c>
      <c r="C46" s="445" t="s">
        <v>128</v>
      </c>
      <c r="D46" s="441">
        <v>20</v>
      </c>
      <c r="E46" s="441">
        <v>21.13</v>
      </c>
      <c r="F46" s="441">
        <v>21.5</v>
      </c>
      <c r="G46" s="441">
        <v>22.13</v>
      </c>
      <c r="H46" s="441">
        <v>23</v>
      </c>
      <c r="I46" s="441">
        <v>23.63</v>
      </c>
      <c r="J46" s="441">
        <v>26.06</v>
      </c>
      <c r="K46" s="441">
        <v>26.5</v>
      </c>
      <c r="L46" s="441">
        <v>26.5</v>
      </c>
      <c r="M46" s="441">
        <v>26.5</v>
      </c>
      <c r="N46" s="441">
        <v>26.38</v>
      </c>
      <c r="O46" s="441"/>
      <c r="P46" s="443">
        <f>AVERAGE(C46:N46)</f>
        <v>23.939090909090908</v>
      </c>
      <c r="Q46" s="444"/>
      <c r="R46" s="340">
        <f>(((G46)/(G45))-1)*100</f>
        <v>2.930232558139534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</row>
    <row r="47" spans="1:49" ht="9.75" customHeight="1">
      <c r="A47" s="58"/>
      <c r="B47" s="221" t="s">
        <v>325</v>
      </c>
      <c r="C47" s="215">
        <v>26.5</v>
      </c>
      <c r="D47" s="215">
        <v>30</v>
      </c>
      <c r="E47" s="215">
        <v>30.13</v>
      </c>
      <c r="F47" s="215">
        <v>30.5</v>
      </c>
      <c r="G47" s="215">
        <v>30.56</v>
      </c>
      <c r="H47" s="215">
        <v>31.75</v>
      </c>
      <c r="I47" s="215">
        <v>33.69</v>
      </c>
      <c r="J47" s="215">
        <v>35.25</v>
      </c>
      <c r="K47" s="215">
        <v>35.75</v>
      </c>
      <c r="L47" s="216" t="s">
        <v>224</v>
      </c>
      <c r="M47" s="216" t="s">
        <v>224</v>
      </c>
      <c r="N47" s="216" t="s">
        <v>224</v>
      </c>
      <c r="O47" s="215"/>
      <c r="P47" s="217">
        <f>AVERAGE(C47:N47)</f>
        <v>31.57</v>
      </c>
      <c r="Q47" s="219"/>
      <c r="R47" s="340">
        <f>(((G47)/(G46))-1)*100</f>
        <v>38.09308630817894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1:49" ht="9.75" customHeight="1">
      <c r="A48" s="58"/>
      <c r="B48" s="221" t="s">
        <v>513</v>
      </c>
      <c r="C48" s="215">
        <v>43.5</v>
      </c>
      <c r="D48" s="216" t="s">
        <v>128</v>
      </c>
      <c r="E48" s="216" t="s">
        <v>128</v>
      </c>
      <c r="F48" s="216" t="s">
        <v>128</v>
      </c>
      <c r="G48" s="216">
        <v>32.5</v>
      </c>
      <c r="H48" s="215">
        <v>32.5</v>
      </c>
      <c r="I48" s="215"/>
      <c r="J48" s="215"/>
      <c r="K48" s="215"/>
      <c r="L48" s="216"/>
      <c r="M48" s="216"/>
      <c r="N48" s="216"/>
      <c r="O48" s="215"/>
      <c r="P48" s="217">
        <f>AVERAGE(C48:N48)</f>
        <v>36.166666666666664</v>
      </c>
      <c r="Q48" s="219"/>
      <c r="R48" s="340">
        <f>(((G48)/(G47))-1)*100</f>
        <v>6.348167539267013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1:49" ht="3.75" customHeight="1">
      <c r="A49" s="58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4"/>
      <c r="Q49" s="54"/>
      <c r="R49" s="119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1:49" ht="9.75" customHeight="1">
      <c r="A50" s="58" t="s">
        <v>73</v>
      </c>
      <c r="B50" s="52" t="s">
        <v>273</v>
      </c>
      <c r="C50" s="59">
        <v>22.33</v>
      </c>
      <c r="D50" s="59">
        <v>22.5</v>
      </c>
      <c r="E50" s="59">
        <v>22.5</v>
      </c>
      <c r="F50" s="59">
        <v>22.5</v>
      </c>
      <c r="G50" s="59">
        <v>22.5</v>
      </c>
      <c r="H50" s="59">
        <v>22.5</v>
      </c>
      <c r="I50" s="59">
        <v>22.8</v>
      </c>
      <c r="J50" s="59">
        <v>22.88</v>
      </c>
      <c r="K50" s="59">
        <v>22.38</v>
      </c>
      <c r="L50" s="59">
        <v>22</v>
      </c>
      <c r="M50" s="59">
        <v>22</v>
      </c>
      <c r="N50" s="59">
        <v>22.4</v>
      </c>
      <c r="O50" s="59"/>
      <c r="P50" s="99">
        <f>AVERAGE(C50:N50)</f>
        <v>22.44083333333333</v>
      </c>
      <c r="Q50" s="54"/>
      <c r="R50" s="439" t="s">
        <v>225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1:49" ht="9.75" customHeight="1">
      <c r="A51" s="58"/>
      <c r="B51" s="365" t="s">
        <v>286</v>
      </c>
      <c r="C51" s="441">
        <v>21.63</v>
      </c>
      <c r="D51" s="441">
        <v>19.75</v>
      </c>
      <c r="E51" s="441">
        <v>19.9</v>
      </c>
      <c r="F51" s="441">
        <v>19.5</v>
      </c>
      <c r="G51" s="441">
        <v>19.5</v>
      </c>
      <c r="H51" s="441">
        <v>19.5</v>
      </c>
      <c r="I51" s="441">
        <v>19.5</v>
      </c>
      <c r="J51" s="441">
        <v>19.5</v>
      </c>
      <c r="K51" s="441">
        <v>19.5</v>
      </c>
      <c r="L51" s="441">
        <v>19.5</v>
      </c>
      <c r="M51" s="441">
        <v>19.5</v>
      </c>
      <c r="N51" s="441">
        <v>19.2</v>
      </c>
      <c r="O51" s="441"/>
      <c r="P51" s="443">
        <f>AVERAGE(C51:N51)</f>
        <v>19.706666666666667</v>
      </c>
      <c r="Q51" s="444"/>
      <c r="R51" s="340">
        <f>(((G51)/(G50))-1)*100</f>
        <v>-13.33333333333333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</row>
    <row r="52" spans="1:49" ht="9.75" customHeight="1">
      <c r="A52" s="58"/>
      <c r="B52" s="365" t="s">
        <v>320</v>
      </c>
      <c r="C52" s="441">
        <v>21.5</v>
      </c>
      <c r="D52" s="441">
        <v>21.1</v>
      </c>
      <c r="E52" s="441">
        <v>21</v>
      </c>
      <c r="F52" s="441">
        <v>22</v>
      </c>
      <c r="G52" s="441">
        <v>22</v>
      </c>
      <c r="H52" s="441">
        <v>22.5</v>
      </c>
      <c r="I52" s="441">
        <v>22.5</v>
      </c>
      <c r="J52" s="441">
        <v>23.63</v>
      </c>
      <c r="K52" s="441">
        <v>24</v>
      </c>
      <c r="L52" s="441">
        <v>24</v>
      </c>
      <c r="M52" s="441">
        <v>24</v>
      </c>
      <c r="N52" s="441">
        <v>25.33</v>
      </c>
      <c r="O52" s="441"/>
      <c r="P52" s="443">
        <f>AVERAGE(C52:N52)</f>
        <v>22.796666666666667</v>
      </c>
      <c r="Q52" s="444"/>
      <c r="R52" s="340">
        <f>(((G52)/(G51))-1)*100</f>
        <v>12.82051282051282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1:49" ht="9.75" customHeight="1">
      <c r="A53" s="58"/>
      <c r="B53" s="221" t="s">
        <v>325</v>
      </c>
      <c r="C53" s="215">
        <v>25.5</v>
      </c>
      <c r="D53" s="215">
        <v>27.9</v>
      </c>
      <c r="E53" s="215">
        <v>29.75</v>
      </c>
      <c r="F53" s="215">
        <v>30</v>
      </c>
      <c r="G53" s="215">
        <v>34.63</v>
      </c>
      <c r="H53" s="215">
        <v>37.88</v>
      </c>
      <c r="I53" s="215">
        <v>41</v>
      </c>
      <c r="J53" s="215">
        <v>41</v>
      </c>
      <c r="K53" s="215">
        <v>40.5</v>
      </c>
      <c r="L53" s="216" t="s">
        <v>128</v>
      </c>
      <c r="M53" s="216" t="s">
        <v>128</v>
      </c>
      <c r="N53" s="216" t="s">
        <v>128</v>
      </c>
      <c r="O53" s="215"/>
      <c r="P53" s="217">
        <f>AVERAGE(C53:N53)</f>
        <v>34.239999999999995</v>
      </c>
      <c r="Q53" s="219"/>
      <c r="R53" s="340">
        <f>(((G53)/(G52))-1)*100</f>
        <v>57.40909090909092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1:49" ht="9.75" customHeight="1">
      <c r="A54" s="58"/>
      <c r="B54" s="221" t="s">
        <v>513</v>
      </c>
      <c r="C54" s="215">
        <v>43.5</v>
      </c>
      <c r="D54" s="215">
        <v>44.25</v>
      </c>
      <c r="E54" s="215">
        <v>41.5</v>
      </c>
      <c r="F54" s="215">
        <v>41.5</v>
      </c>
      <c r="G54" s="215">
        <v>40.75</v>
      </c>
      <c r="H54" s="215">
        <v>39.5</v>
      </c>
      <c r="I54" s="215"/>
      <c r="J54" s="215"/>
      <c r="K54" s="215"/>
      <c r="L54" s="216"/>
      <c r="M54" s="216"/>
      <c r="N54" s="216"/>
      <c r="O54" s="215"/>
      <c r="P54" s="217">
        <f>AVERAGE(C54:N54)</f>
        <v>41.833333333333336</v>
      </c>
      <c r="Q54" s="219"/>
      <c r="R54" s="340">
        <f>(((G54)/(G53))-1)*100</f>
        <v>17.672538261622872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</row>
    <row r="55" spans="1:49" ht="3.75" customHeight="1">
      <c r="A55" s="58"/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4"/>
      <c r="Q55" s="54"/>
      <c r="R55" s="119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1:49" ht="9.75" customHeight="1">
      <c r="A56" s="58" t="s">
        <v>74</v>
      </c>
      <c r="B56" s="52" t="s">
        <v>273</v>
      </c>
      <c r="C56" s="59">
        <v>25.75</v>
      </c>
      <c r="D56" s="59">
        <v>24.5</v>
      </c>
      <c r="E56" s="59">
        <v>24.5</v>
      </c>
      <c r="F56" s="59">
        <v>24.5</v>
      </c>
      <c r="G56" s="59">
        <v>24.88</v>
      </c>
      <c r="H56" s="59">
        <v>25</v>
      </c>
      <c r="I56" s="59">
        <v>25</v>
      </c>
      <c r="J56" s="59">
        <v>25</v>
      </c>
      <c r="K56" s="59">
        <v>25</v>
      </c>
      <c r="L56" s="61" t="s">
        <v>75</v>
      </c>
      <c r="M56" s="61" t="s">
        <v>75</v>
      </c>
      <c r="N56" s="61" t="s">
        <v>75</v>
      </c>
      <c r="O56" s="59"/>
      <c r="P56" s="99">
        <f>AVERAGE(C56:N56)</f>
        <v>24.903333333333332</v>
      </c>
      <c r="Q56" s="54"/>
      <c r="R56" s="439" t="s">
        <v>225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1:49" ht="9.75" customHeight="1">
      <c r="A57" s="58"/>
      <c r="B57" s="365" t="s">
        <v>286</v>
      </c>
      <c r="C57" s="441">
        <v>20</v>
      </c>
      <c r="D57" s="441">
        <v>20.88</v>
      </c>
      <c r="E57" s="441">
        <v>23.75</v>
      </c>
      <c r="F57" s="446" t="s">
        <v>75</v>
      </c>
      <c r="G57" s="446" t="s">
        <v>75</v>
      </c>
      <c r="H57" s="446" t="s">
        <v>75</v>
      </c>
      <c r="I57" s="446" t="s">
        <v>75</v>
      </c>
      <c r="J57" s="446" t="s">
        <v>75</v>
      </c>
      <c r="K57" s="446" t="s">
        <v>75</v>
      </c>
      <c r="L57" s="446" t="s">
        <v>75</v>
      </c>
      <c r="M57" s="446" t="s">
        <v>75</v>
      </c>
      <c r="N57" s="441">
        <v>24.5</v>
      </c>
      <c r="O57" s="441"/>
      <c r="P57" s="443">
        <v>21.54</v>
      </c>
      <c r="Q57" s="444"/>
      <c r="R57" s="439" t="s">
        <v>225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1:49" ht="9.75" customHeight="1">
      <c r="A58" s="58"/>
      <c r="B58" s="365" t="s">
        <v>320</v>
      </c>
      <c r="C58" s="446" t="s">
        <v>75</v>
      </c>
      <c r="D58" s="446" t="s">
        <v>75</v>
      </c>
      <c r="E58" s="441">
        <v>35</v>
      </c>
      <c r="F58" s="446" t="s">
        <v>75</v>
      </c>
      <c r="G58" s="446" t="s">
        <v>75</v>
      </c>
      <c r="H58" s="446" t="s">
        <v>75</v>
      </c>
      <c r="I58" s="446" t="s">
        <v>75</v>
      </c>
      <c r="J58" s="446" t="s">
        <v>75</v>
      </c>
      <c r="K58" s="446" t="s">
        <v>75</v>
      </c>
      <c r="L58" s="446" t="s">
        <v>75</v>
      </c>
      <c r="M58" s="446" t="s">
        <v>75</v>
      </c>
      <c r="N58" s="446" t="s">
        <v>75</v>
      </c>
      <c r="O58" s="441"/>
      <c r="P58" s="443">
        <v>35</v>
      </c>
      <c r="Q58" s="444"/>
      <c r="R58" s="439" t="s">
        <v>225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1:49" ht="9.75" customHeight="1">
      <c r="A59" s="58"/>
      <c r="B59" s="221" t="s">
        <v>325</v>
      </c>
      <c r="C59" s="220" t="s">
        <v>75</v>
      </c>
      <c r="D59" s="220" t="s">
        <v>75</v>
      </c>
      <c r="E59" s="220" t="s">
        <v>75</v>
      </c>
      <c r="F59" s="220" t="s">
        <v>75</v>
      </c>
      <c r="G59" s="220" t="s">
        <v>75</v>
      </c>
      <c r="H59" s="220" t="s">
        <v>75</v>
      </c>
      <c r="I59" s="220" t="s">
        <v>75</v>
      </c>
      <c r="J59" s="220" t="s">
        <v>75</v>
      </c>
      <c r="K59" s="220" t="s">
        <v>75</v>
      </c>
      <c r="L59" s="220" t="s">
        <v>75</v>
      </c>
      <c r="M59" s="220" t="s">
        <v>75</v>
      </c>
      <c r="N59" s="220" t="s">
        <v>75</v>
      </c>
      <c r="O59" s="215"/>
      <c r="P59" s="220" t="s">
        <v>426</v>
      </c>
      <c r="Q59" s="219"/>
      <c r="R59" s="439" t="s">
        <v>225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1:49" ht="9.75" customHeight="1">
      <c r="A60" s="58"/>
      <c r="B60" s="221" t="s">
        <v>513</v>
      </c>
      <c r="C60" s="220" t="s">
        <v>75</v>
      </c>
      <c r="D60" s="220" t="s">
        <v>75</v>
      </c>
      <c r="E60" s="220" t="s">
        <v>75</v>
      </c>
      <c r="F60" s="220" t="s">
        <v>75</v>
      </c>
      <c r="G60" s="220" t="s">
        <v>75</v>
      </c>
      <c r="H60" s="220" t="s">
        <v>75</v>
      </c>
      <c r="I60" s="220"/>
      <c r="J60" s="220"/>
      <c r="K60" s="220"/>
      <c r="L60" s="220"/>
      <c r="M60" s="220"/>
      <c r="N60" s="220"/>
      <c r="O60" s="215"/>
      <c r="P60" s="220" t="s">
        <v>426</v>
      </c>
      <c r="Q60" s="219"/>
      <c r="R60" s="439" t="s">
        <v>225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1:49" ht="3.75" customHeight="1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1:49" ht="9.75" customHeight="1">
      <c r="A62" s="58" t="s">
        <v>76</v>
      </c>
      <c r="B62" s="52" t="s">
        <v>273</v>
      </c>
      <c r="C62" s="59">
        <v>22.33</v>
      </c>
      <c r="D62" s="59">
        <v>22.63</v>
      </c>
      <c r="E62" s="59">
        <v>22.8</v>
      </c>
      <c r="F62" s="59">
        <v>22.5</v>
      </c>
      <c r="G62" s="59">
        <v>22.5</v>
      </c>
      <c r="H62" s="59">
        <v>22.5</v>
      </c>
      <c r="I62" s="59">
        <v>22.6</v>
      </c>
      <c r="J62" s="59">
        <v>22.5</v>
      </c>
      <c r="K62" s="59">
        <v>22.38</v>
      </c>
      <c r="L62" s="59">
        <v>22</v>
      </c>
      <c r="M62" s="59">
        <v>22</v>
      </c>
      <c r="N62" s="59">
        <v>22.4</v>
      </c>
      <c r="O62" s="59"/>
      <c r="P62" s="99">
        <f>AVERAGE(C62:N62)</f>
        <v>22.42833333333333</v>
      </c>
      <c r="Q62" s="54"/>
      <c r="R62" s="439" t="s">
        <v>225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1:49" ht="9.75" customHeight="1">
      <c r="A63" s="58"/>
      <c r="B63" s="365" t="s">
        <v>286</v>
      </c>
      <c r="C63" s="441">
        <v>21.5</v>
      </c>
      <c r="D63" s="441">
        <v>20.38</v>
      </c>
      <c r="E63" s="441">
        <v>19.9</v>
      </c>
      <c r="F63" s="441">
        <v>19.5</v>
      </c>
      <c r="G63" s="441">
        <v>19.5</v>
      </c>
      <c r="H63" s="441">
        <v>19.5</v>
      </c>
      <c r="I63" s="441">
        <v>19.5</v>
      </c>
      <c r="J63" s="441">
        <v>19.5</v>
      </c>
      <c r="K63" s="441">
        <v>19.5</v>
      </c>
      <c r="L63" s="441">
        <v>19.5</v>
      </c>
      <c r="M63" s="441">
        <v>19.5</v>
      </c>
      <c r="N63" s="441">
        <v>19.2</v>
      </c>
      <c r="O63" s="441"/>
      <c r="P63" s="443">
        <f>AVERAGE(C63:N63)</f>
        <v>19.74833333333333</v>
      </c>
      <c r="Q63" s="444"/>
      <c r="R63" s="340">
        <f>(((G63)/(G62))-1)*100</f>
        <v>-13.33333333333333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</row>
    <row r="64" spans="1:49" ht="9.75" customHeight="1">
      <c r="A64" s="58"/>
      <c r="B64" s="365" t="s">
        <v>320</v>
      </c>
      <c r="C64" s="441">
        <v>20.33</v>
      </c>
      <c r="D64" s="441">
        <v>21</v>
      </c>
      <c r="E64" s="441">
        <v>21</v>
      </c>
      <c r="F64" s="441">
        <v>21</v>
      </c>
      <c r="G64" s="441">
        <v>21.25</v>
      </c>
      <c r="H64" s="441">
        <v>21.5</v>
      </c>
      <c r="I64" s="441">
        <v>21.83</v>
      </c>
      <c r="J64" s="441">
        <v>22.25</v>
      </c>
      <c r="K64" s="441">
        <v>22.5</v>
      </c>
      <c r="L64" s="441">
        <v>22.5</v>
      </c>
      <c r="M64" s="441">
        <v>22.5</v>
      </c>
      <c r="N64" s="441">
        <v>23.5</v>
      </c>
      <c r="O64" s="441"/>
      <c r="P64" s="443">
        <f>AVERAGE(C64:N64)</f>
        <v>21.763333333333332</v>
      </c>
      <c r="Q64" s="444"/>
      <c r="R64" s="340">
        <f>(((G64)/(G63))-1)*100</f>
        <v>8.974358974358964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</row>
    <row r="65" spans="1:49" ht="9.75" customHeight="1">
      <c r="A65" s="58"/>
      <c r="B65" s="221" t="s">
        <v>325</v>
      </c>
      <c r="C65" s="215">
        <v>25.5</v>
      </c>
      <c r="D65" s="215">
        <v>26.3</v>
      </c>
      <c r="E65" s="215">
        <v>26.5</v>
      </c>
      <c r="F65" s="215">
        <v>26.5</v>
      </c>
      <c r="G65" s="215">
        <v>26.88</v>
      </c>
      <c r="H65" s="215">
        <v>29.63</v>
      </c>
      <c r="I65" s="215">
        <v>31.67</v>
      </c>
      <c r="J65" s="215">
        <v>32</v>
      </c>
      <c r="K65" s="220" t="s">
        <v>75</v>
      </c>
      <c r="L65" s="220" t="s">
        <v>75</v>
      </c>
      <c r="M65" s="220" t="s">
        <v>75</v>
      </c>
      <c r="N65" s="220" t="s">
        <v>75</v>
      </c>
      <c r="O65" s="215"/>
      <c r="P65" s="217">
        <f>AVERAGE(C65:N65)</f>
        <v>28.122500000000002</v>
      </c>
      <c r="Q65" s="219"/>
      <c r="R65" s="340">
        <f>(((G65)/(G64))-1)*100</f>
        <v>26.49411764705882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</row>
    <row r="66" spans="1:49" ht="9.75" customHeight="1">
      <c r="A66" s="58"/>
      <c r="B66" s="221" t="s">
        <v>513</v>
      </c>
      <c r="C66" s="215">
        <v>37.5</v>
      </c>
      <c r="D66" s="215">
        <v>37.5</v>
      </c>
      <c r="E66" s="215">
        <v>37.5</v>
      </c>
      <c r="F66" s="215">
        <v>37.5</v>
      </c>
      <c r="G66" s="215">
        <v>38.5</v>
      </c>
      <c r="H66" s="215">
        <v>38.83</v>
      </c>
      <c r="I66" s="215"/>
      <c r="J66" s="215"/>
      <c r="K66" s="220"/>
      <c r="L66" s="220"/>
      <c r="M66" s="220"/>
      <c r="N66" s="220"/>
      <c r="O66" s="215"/>
      <c r="P66" s="217">
        <f>AVERAGE(C66:N66)</f>
        <v>37.88833333333333</v>
      </c>
      <c r="Q66" s="219"/>
      <c r="R66" s="340">
        <f>(((G66)/(G65))-1)*100</f>
        <v>43.22916666666667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</row>
    <row r="67" spans="1:49" ht="3.75" customHeight="1">
      <c r="A67" s="58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</row>
    <row r="68" spans="1:49" ht="9.75" customHeight="1">
      <c r="A68" s="58" t="s">
        <v>77</v>
      </c>
      <c r="B68" s="52" t="s">
        <v>273</v>
      </c>
      <c r="C68" s="59">
        <v>39.5</v>
      </c>
      <c r="D68" s="59">
        <v>39.5</v>
      </c>
      <c r="E68" s="59">
        <v>39</v>
      </c>
      <c r="F68" s="59">
        <v>39</v>
      </c>
      <c r="G68" s="59">
        <v>39.13</v>
      </c>
      <c r="H68" s="59">
        <v>39.63</v>
      </c>
      <c r="I68" s="59">
        <v>39.6</v>
      </c>
      <c r="J68" s="59">
        <v>40</v>
      </c>
      <c r="K68" s="59">
        <v>40</v>
      </c>
      <c r="L68" s="59">
        <v>40</v>
      </c>
      <c r="M68" s="59">
        <v>40</v>
      </c>
      <c r="N68" s="59">
        <v>39.95</v>
      </c>
      <c r="O68" s="59"/>
      <c r="P68" s="99">
        <f>AVERAGE(C68:N68)</f>
        <v>39.60916666666667</v>
      </c>
      <c r="Q68" s="54"/>
      <c r="R68" s="439" t="s">
        <v>225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</row>
    <row r="69" spans="1:49" ht="9.75" customHeight="1">
      <c r="A69" s="58"/>
      <c r="B69" s="365" t="s">
        <v>286</v>
      </c>
      <c r="C69" s="441">
        <v>36.17</v>
      </c>
      <c r="D69" s="441">
        <v>34</v>
      </c>
      <c r="E69" s="441">
        <v>34.5</v>
      </c>
      <c r="F69" s="441">
        <v>34.67</v>
      </c>
      <c r="G69" s="441">
        <v>35</v>
      </c>
      <c r="H69" s="441">
        <v>35</v>
      </c>
      <c r="I69" s="441">
        <v>35.25</v>
      </c>
      <c r="J69" s="441">
        <v>35.63</v>
      </c>
      <c r="K69" s="441">
        <v>35.5</v>
      </c>
      <c r="L69" s="441">
        <v>37.88</v>
      </c>
      <c r="M69" s="446" t="s">
        <v>75</v>
      </c>
      <c r="N69" s="446" t="s">
        <v>75</v>
      </c>
      <c r="O69" s="441"/>
      <c r="P69" s="443">
        <f>AVERAGE(C69:N69)</f>
        <v>35.36</v>
      </c>
      <c r="Q69" s="444"/>
      <c r="R69" s="340">
        <f>(((G69)/(G68))-1)*100</f>
        <v>-10.554561717352417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</row>
    <row r="70" spans="1:49" ht="9.75" customHeight="1">
      <c r="A70" s="58"/>
      <c r="B70" s="365" t="s">
        <v>320</v>
      </c>
      <c r="C70" s="445" t="s">
        <v>128</v>
      </c>
      <c r="D70" s="441">
        <v>44.5</v>
      </c>
      <c r="E70" s="441">
        <v>44.25</v>
      </c>
      <c r="F70" s="441">
        <v>44.17</v>
      </c>
      <c r="G70" s="441">
        <v>44.5</v>
      </c>
      <c r="H70" s="441">
        <v>44.5</v>
      </c>
      <c r="I70" s="441">
        <v>44.5</v>
      </c>
      <c r="J70" s="445" t="s">
        <v>128</v>
      </c>
      <c r="K70" s="445" t="s">
        <v>128</v>
      </c>
      <c r="L70" s="445" t="s">
        <v>128</v>
      </c>
      <c r="M70" s="445" t="s">
        <v>184</v>
      </c>
      <c r="N70" s="445" t="s">
        <v>184</v>
      </c>
      <c r="O70" s="441"/>
      <c r="P70" s="443">
        <f>AVERAGE(C70:N70)</f>
        <v>44.403333333333336</v>
      </c>
      <c r="Q70" s="444"/>
      <c r="R70" s="340">
        <f>(((G70)/(G69))-1)*100</f>
        <v>27.142857142857135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</row>
    <row r="71" spans="1:49" ht="9.75" customHeight="1">
      <c r="A71" s="58"/>
      <c r="B71" s="221" t="s">
        <v>325</v>
      </c>
      <c r="C71" s="215">
        <v>40</v>
      </c>
      <c r="D71" s="215">
        <v>40</v>
      </c>
      <c r="E71" s="215">
        <v>40</v>
      </c>
      <c r="F71" s="215">
        <v>40</v>
      </c>
      <c r="G71" s="215">
        <v>40</v>
      </c>
      <c r="H71" s="215">
        <v>40.75</v>
      </c>
      <c r="I71" s="215">
        <v>41.5</v>
      </c>
      <c r="J71" s="226" t="s">
        <v>128</v>
      </c>
      <c r="K71" s="226" t="s">
        <v>128</v>
      </c>
      <c r="L71" s="226" t="s">
        <v>128</v>
      </c>
      <c r="M71" s="226" t="s">
        <v>184</v>
      </c>
      <c r="N71" s="226" t="s">
        <v>184</v>
      </c>
      <c r="O71" s="215"/>
      <c r="P71" s="217">
        <f>AVERAGE(C71:N71)</f>
        <v>40.32142857142857</v>
      </c>
      <c r="Q71" s="219"/>
      <c r="R71" s="340">
        <f>(((G71)/(G70))-1)*100</f>
        <v>-10.1123595505618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</row>
    <row r="72" spans="1:49" ht="9.75" customHeight="1">
      <c r="A72" s="58"/>
      <c r="B72" s="221" t="s">
        <v>513</v>
      </c>
      <c r="C72" s="226" t="s">
        <v>128</v>
      </c>
      <c r="D72" s="215">
        <v>60.5</v>
      </c>
      <c r="E72" s="220" t="s">
        <v>75</v>
      </c>
      <c r="F72" s="220" t="s">
        <v>75</v>
      </c>
      <c r="G72" s="215">
        <v>55</v>
      </c>
      <c r="H72" s="215">
        <v>55.33</v>
      </c>
      <c r="I72" s="215"/>
      <c r="J72" s="226"/>
      <c r="K72" s="226"/>
      <c r="L72" s="226"/>
      <c r="M72" s="226"/>
      <c r="N72" s="226"/>
      <c r="O72" s="215"/>
      <c r="P72" s="217">
        <f>AVERAGE(C72:N72)</f>
        <v>56.94333333333333</v>
      </c>
      <c r="Q72" s="219"/>
      <c r="R72" s="340">
        <f>(((G72)/(G71))-1)*100</f>
        <v>37.5</v>
      </c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</row>
    <row r="73" spans="1:49" ht="3.75" customHeight="1">
      <c r="A73" s="58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</row>
    <row r="74" spans="1:49" ht="9.75" customHeight="1">
      <c r="A74" s="58" t="s">
        <v>78</v>
      </c>
      <c r="B74" s="52" t="s">
        <v>273</v>
      </c>
      <c r="C74" s="59">
        <v>41.5</v>
      </c>
      <c r="D74" s="59">
        <v>41.5</v>
      </c>
      <c r="E74" s="59">
        <v>41.8</v>
      </c>
      <c r="F74" s="59">
        <v>41.75</v>
      </c>
      <c r="G74" s="59">
        <v>42</v>
      </c>
      <c r="H74" s="59">
        <v>42</v>
      </c>
      <c r="I74" s="59">
        <v>41.9</v>
      </c>
      <c r="J74" s="59">
        <v>42</v>
      </c>
      <c r="K74" s="59">
        <v>42</v>
      </c>
      <c r="L74" s="59">
        <v>42</v>
      </c>
      <c r="M74" s="59">
        <v>42</v>
      </c>
      <c r="N74" s="59">
        <v>42.3</v>
      </c>
      <c r="O74" s="59"/>
      <c r="P74" s="99">
        <f>AVERAGE(C74:N74)</f>
        <v>41.895833333333336</v>
      </c>
      <c r="Q74" s="54"/>
      <c r="R74" s="439" t="s">
        <v>225</v>
      </c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</row>
    <row r="75" spans="1:49" ht="9.75" customHeight="1">
      <c r="A75" s="58"/>
      <c r="B75" s="365" t="s">
        <v>286</v>
      </c>
      <c r="C75" s="441">
        <v>42.75</v>
      </c>
      <c r="D75" s="441">
        <v>43.25</v>
      </c>
      <c r="E75" s="441">
        <v>43.6</v>
      </c>
      <c r="F75" s="441">
        <v>44.33</v>
      </c>
      <c r="G75" s="441">
        <v>45</v>
      </c>
      <c r="H75" s="441">
        <v>45</v>
      </c>
      <c r="I75" s="441">
        <v>45.25</v>
      </c>
      <c r="J75" s="441">
        <v>46.38</v>
      </c>
      <c r="K75" s="441">
        <v>46.6</v>
      </c>
      <c r="L75" s="441">
        <v>48</v>
      </c>
      <c r="M75" s="441">
        <v>49.5</v>
      </c>
      <c r="N75" s="446" t="s">
        <v>75</v>
      </c>
      <c r="O75" s="441"/>
      <c r="P75" s="443">
        <f>AVERAGE(C75:N75)</f>
        <v>45.42363636363637</v>
      </c>
      <c r="Q75" s="444"/>
      <c r="R75" s="340">
        <f>(((G75)/(G74))-1)*100</f>
        <v>7.14285714285714</v>
      </c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</row>
    <row r="76" spans="1:49" ht="9.75" customHeight="1">
      <c r="A76" s="58"/>
      <c r="B76" s="365" t="s">
        <v>320</v>
      </c>
      <c r="C76" s="445" t="s">
        <v>128</v>
      </c>
      <c r="D76" s="445" t="s">
        <v>128</v>
      </c>
      <c r="E76" s="441">
        <v>60</v>
      </c>
      <c r="F76" s="441">
        <v>61.33</v>
      </c>
      <c r="G76" s="441">
        <v>62.38</v>
      </c>
      <c r="H76" s="441">
        <v>63</v>
      </c>
      <c r="I76" s="441">
        <v>63.5</v>
      </c>
      <c r="J76" s="445" t="s">
        <v>128</v>
      </c>
      <c r="K76" s="445" t="s">
        <v>128</v>
      </c>
      <c r="L76" s="445" t="s">
        <v>128</v>
      </c>
      <c r="M76" s="446" t="s">
        <v>75</v>
      </c>
      <c r="N76" s="446" t="s">
        <v>75</v>
      </c>
      <c r="O76" s="441"/>
      <c r="P76" s="443">
        <f>AVERAGE(C76:N76)</f>
        <v>62.04200000000001</v>
      </c>
      <c r="Q76" s="444"/>
      <c r="R76" s="340">
        <f>(((G76)/(G75))-1)*100</f>
        <v>38.62222222222223</v>
      </c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</row>
    <row r="77" spans="1:49" ht="9.75" customHeight="1">
      <c r="A77" s="58"/>
      <c r="B77" s="221" t="s">
        <v>325</v>
      </c>
      <c r="C77" s="215">
        <v>60</v>
      </c>
      <c r="D77" s="215">
        <v>60</v>
      </c>
      <c r="E77" s="215">
        <v>60.13</v>
      </c>
      <c r="F77" s="215">
        <v>60</v>
      </c>
      <c r="G77" s="215">
        <v>60</v>
      </c>
      <c r="H77" s="215">
        <v>61.25</v>
      </c>
      <c r="I77" s="215">
        <v>62.5</v>
      </c>
      <c r="J77" s="215">
        <v>63</v>
      </c>
      <c r="K77" s="226" t="s">
        <v>128</v>
      </c>
      <c r="L77" s="226" t="s">
        <v>128</v>
      </c>
      <c r="M77" s="220" t="s">
        <v>75</v>
      </c>
      <c r="N77" s="220" t="s">
        <v>75</v>
      </c>
      <c r="O77" s="215"/>
      <c r="P77" s="217">
        <f>AVERAGE(C77:N77)</f>
        <v>60.86</v>
      </c>
      <c r="Q77" s="219"/>
      <c r="R77" s="340">
        <f>(((G77)/(G76))-1)*100</f>
        <v>-3.815325424815652</v>
      </c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</row>
    <row r="78" spans="1:49" ht="9.75" customHeight="1">
      <c r="A78" s="58"/>
      <c r="B78" s="221" t="s">
        <v>513</v>
      </c>
      <c r="C78" s="226" t="s">
        <v>128</v>
      </c>
      <c r="D78" s="215">
        <v>70</v>
      </c>
      <c r="E78" s="215">
        <v>70</v>
      </c>
      <c r="F78" s="215">
        <v>70</v>
      </c>
      <c r="G78" s="215">
        <v>70</v>
      </c>
      <c r="H78" s="215">
        <v>70</v>
      </c>
      <c r="I78" s="215"/>
      <c r="J78" s="226"/>
      <c r="K78" s="226"/>
      <c r="L78" s="226"/>
      <c r="M78" s="220"/>
      <c r="N78" s="220"/>
      <c r="O78" s="215"/>
      <c r="P78" s="217">
        <f>AVERAGE(C78:N78)</f>
        <v>70</v>
      </c>
      <c r="Q78" s="219"/>
      <c r="R78" s="340">
        <f>(((G78)/(G77))-1)*100</f>
        <v>16.666666666666675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</row>
    <row r="79" spans="1:49" ht="3.75" customHeight="1">
      <c r="A79" s="58"/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</row>
    <row r="80" spans="1:49" ht="9.75" customHeight="1">
      <c r="A80" s="52" t="s">
        <v>247</v>
      </c>
      <c r="B80" s="52" t="s">
        <v>273</v>
      </c>
      <c r="C80" s="59">
        <v>26.75</v>
      </c>
      <c r="D80" s="59">
        <v>29.75</v>
      </c>
      <c r="E80" s="59">
        <v>29.9</v>
      </c>
      <c r="F80" s="59">
        <v>29.5</v>
      </c>
      <c r="G80" s="59">
        <v>29.38</v>
      </c>
      <c r="H80" s="59">
        <v>29.5</v>
      </c>
      <c r="I80" s="61" t="s">
        <v>75</v>
      </c>
      <c r="J80" s="61" t="s">
        <v>75</v>
      </c>
      <c r="K80" s="61" t="s">
        <v>75</v>
      </c>
      <c r="L80" s="61" t="s">
        <v>75</v>
      </c>
      <c r="M80" s="59">
        <v>25</v>
      </c>
      <c r="N80" s="59">
        <v>26.5</v>
      </c>
      <c r="O80" s="61"/>
      <c r="P80" s="443">
        <f>AVERAGE(C80:N80)</f>
        <v>28.285</v>
      </c>
      <c r="Q80" s="54"/>
      <c r="R80" s="439" t="s">
        <v>225</v>
      </c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</row>
    <row r="81" spans="1:49" ht="9.75" customHeight="1">
      <c r="A81" s="58"/>
      <c r="B81" s="365" t="s">
        <v>286</v>
      </c>
      <c r="C81" s="441">
        <v>27.38</v>
      </c>
      <c r="D81" s="441">
        <v>28.25</v>
      </c>
      <c r="E81" s="447">
        <v>30</v>
      </c>
      <c r="F81" s="446" t="s">
        <v>75</v>
      </c>
      <c r="G81" s="446" t="s">
        <v>75</v>
      </c>
      <c r="H81" s="441">
        <v>30</v>
      </c>
      <c r="I81" s="446" t="s">
        <v>75</v>
      </c>
      <c r="J81" s="446" t="s">
        <v>75</v>
      </c>
      <c r="K81" s="446" t="s">
        <v>75</v>
      </c>
      <c r="L81" s="446" t="s">
        <v>75</v>
      </c>
      <c r="M81" s="446" t="s">
        <v>75</v>
      </c>
      <c r="N81" s="441">
        <v>24.6</v>
      </c>
      <c r="O81" s="446"/>
      <c r="P81" s="443">
        <f>AVERAGE(C81:N81)</f>
        <v>28.046</v>
      </c>
      <c r="Q81" s="444"/>
      <c r="R81" s="439" t="s">
        <v>225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</row>
    <row r="82" spans="1:49" ht="9.75" customHeight="1">
      <c r="A82" s="58"/>
      <c r="B82" s="365" t="s">
        <v>320</v>
      </c>
      <c r="C82" s="441">
        <v>25.5</v>
      </c>
      <c r="D82" s="441">
        <v>27.1</v>
      </c>
      <c r="E82" s="447">
        <v>27.88</v>
      </c>
      <c r="F82" s="446">
        <v>28.5</v>
      </c>
      <c r="G82" s="441">
        <v>28.83</v>
      </c>
      <c r="H82" s="441">
        <v>28.38</v>
      </c>
      <c r="I82" s="446">
        <v>29.5</v>
      </c>
      <c r="J82" s="446">
        <v>29.5</v>
      </c>
      <c r="K82" s="441">
        <v>29.5</v>
      </c>
      <c r="L82" s="441">
        <v>29.5</v>
      </c>
      <c r="M82" s="441">
        <v>29.5</v>
      </c>
      <c r="N82" s="441">
        <v>29</v>
      </c>
      <c r="O82" s="446"/>
      <c r="P82" s="443">
        <f>AVERAGE(C82:N82)</f>
        <v>28.5575</v>
      </c>
      <c r="Q82" s="444"/>
      <c r="R82" s="439" t="s">
        <v>225</v>
      </c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</row>
    <row r="83" spans="1:49" ht="9.75" customHeight="1">
      <c r="A83" s="58"/>
      <c r="B83" s="221" t="s">
        <v>325</v>
      </c>
      <c r="C83" s="215">
        <v>30.5</v>
      </c>
      <c r="D83" s="215">
        <v>32.5</v>
      </c>
      <c r="E83" s="223">
        <v>32.5</v>
      </c>
      <c r="F83" s="220">
        <v>31.17</v>
      </c>
      <c r="G83" s="215">
        <v>29.88</v>
      </c>
      <c r="H83" s="215">
        <v>31.38</v>
      </c>
      <c r="I83" s="220">
        <v>32.83</v>
      </c>
      <c r="J83" s="220">
        <v>34.67</v>
      </c>
      <c r="K83" s="215">
        <v>35.5</v>
      </c>
      <c r="L83" s="215">
        <v>40.5</v>
      </c>
      <c r="M83" s="215">
        <v>40.5</v>
      </c>
      <c r="N83" s="215">
        <v>42.13</v>
      </c>
      <c r="O83" s="220"/>
      <c r="P83" s="217">
        <f>AVERAGE(C83:N83)</f>
        <v>34.505</v>
      </c>
      <c r="Q83" s="219"/>
      <c r="R83" s="340">
        <f>(((G83)/(G82))-1)*100</f>
        <v>3.6420395421435936</v>
      </c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ht="9.75" customHeight="1">
      <c r="A84" s="58"/>
      <c r="B84" s="221" t="s">
        <v>513</v>
      </c>
      <c r="C84" s="215">
        <v>42.5</v>
      </c>
      <c r="D84" s="215">
        <v>40</v>
      </c>
      <c r="E84" s="215">
        <v>40</v>
      </c>
      <c r="F84" s="220" t="s">
        <v>75</v>
      </c>
      <c r="G84" s="215">
        <v>29</v>
      </c>
      <c r="H84" s="215">
        <v>29.17</v>
      </c>
      <c r="I84" s="220"/>
      <c r="J84" s="220"/>
      <c r="K84" s="215"/>
      <c r="L84" s="215"/>
      <c r="M84" s="215"/>
      <c r="N84" s="215"/>
      <c r="O84" s="220"/>
      <c r="P84" s="217">
        <f>AVERAGE(C84:N84)</f>
        <v>36.134</v>
      </c>
      <c r="Q84" s="219"/>
      <c r="R84" s="340">
        <f>(((G84)/(G83))-1)*100</f>
        <v>-2.9451137884872747</v>
      </c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</row>
    <row r="85" spans="1:49" ht="3.75" customHeight="1">
      <c r="A85" s="58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4"/>
      <c r="Q85" s="54"/>
      <c r="R85" s="119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</row>
    <row r="86" spans="1:49" ht="9.75" customHeight="1">
      <c r="A86" s="58" t="s">
        <v>79</v>
      </c>
      <c r="B86" s="156" t="s">
        <v>273</v>
      </c>
      <c r="C86" s="157">
        <v>28</v>
      </c>
      <c r="D86" s="157">
        <v>28.06</v>
      </c>
      <c r="E86" s="100">
        <v>28.45</v>
      </c>
      <c r="F86" s="100">
        <v>28.5</v>
      </c>
      <c r="G86" s="100">
        <v>28.5</v>
      </c>
      <c r="H86" s="100">
        <v>28.5</v>
      </c>
      <c r="I86" s="100">
        <v>28.5</v>
      </c>
      <c r="J86" s="100">
        <v>29.5</v>
      </c>
      <c r="K86" s="100">
        <v>30.5</v>
      </c>
      <c r="L86" s="100">
        <v>30.5</v>
      </c>
      <c r="M86" s="100">
        <v>31.38</v>
      </c>
      <c r="N86" s="157">
        <v>31.75</v>
      </c>
      <c r="O86" s="100"/>
      <c r="P86" s="99">
        <f>AVERAGE(C86:N86)</f>
        <v>29.345</v>
      </c>
      <c r="Q86" s="158"/>
      <c r="R86" s="439" t="s">
        <v>225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</row>
    <row r="87" spans="1:49" ht="9.75" customHeight="1">
      <c r="A87" s="55"/>
      <c r="B87" s="448" t="s">
        <v>286</v>
      </c>
      <c r="C87" s="449">
        <v>32.83</v>
      </c>
      <c r="D87" s="449">
        <v>33.19</v>
      </c>
      <c r="E87" s="447">
        <v>34</v>
      </c>
      <c r="F87" s="447">
        <v>40</v>
      </c>
      <c r="G87" s="447">
        <v>40</v>
      </c>
      <c r="H87" s="447">
        <v>40.25</v>
      </c>
      <c r="I87" s="446" t="s">
        <v>75</v>
      </c>
      <c r="J87" s="447">
        <v>47</v>
      </c>
      <c r="K87" s="446" t="s">
        <v>75</v>
      </c>
      <c r="L87" s="446" t="s">
        <v>75</v>
      </c>
      <c r="M87" s="446" t="s">
        <v>75</v>
      </c>
      <c r="N87" s="449" t="s">
        <v>128</v>
      </c>
      <c r="O87" s="447"/>
      <c r="P87" s="443">
        <f>AVERAGE(C87:N87)</f>
        <v>38.18142857142857</v>
      </c>
      <c r="Q87" s="450"/>
      <c r="R87" s="340">
        <f>(((G87)/(G86))-1)*100</f>
        <v>40.35087719298245</v>
      </c>
      <c r="S87" s="341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</row>
    <row r="88" spans="1:49" ht="9.75" customHeight="1">
      <c r="A88" s="55"/>
      <c r="B88" s="365" t="s">
        <v>320</v>
      </c>
      <c r="C88" s="445" t="s">
        <v>128</v>
      </c>
      <c r="D88" s="449">
        <v>47.75</v>
      </c>
      <c r="E88" s="447">
        <v>48</v>
      </c>
      <c r="F88" s="447">
        <v>48</v>
      </c>
      <c r="G88" s="447">
        <v>50</v>
      </c>
      <c r="H88" s="447">
        <v>49.75</v>
      </c>
      <c r="I88" s="446" t="s">
        <v>75</v>
      </c>
      <c r="J88" s="446" t="s">
        <v>75</v>
      </c>
      <c r="K88" s="446" t="s">
        <v>75</v>
      </c>
      <c r="L88" s="446" t="s">
        <v>75</v>
      </c>
      <c r="M88" s="446" t="s">
        <v>75</v>
      </c>
      <c r="N88" s="449" t="s">
        <v>128</v>
      </c>
      <c r="O88" s="447"/>
      <c r="P88" s="443">
        <f>AVERAGE(C88:N88)</f>
        <v>48.7</v>
      </c>
      <c r="Q88" s="450"/>
      <c r="R88" s="340">
        <f>(((G88)/(G87))-1)*100</f>
        <v>25</v>
      </c>
      <c r="S88" s="341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</row>
    <row r="89" spans="1:49" ht="9.75" customHeight="1">
      <c r="A89" s="55"/>
      <c r="B89" s="221" t="s">
        <v>325</v>
      </c>
      <c r="C89" s="222">
        <v>38.5</v>
      </c>
      <c r="D89" s="222">
        <v>38.5</v>
      </c>
      <c r="E89" s="223">
        <v>38.5</v>
      </c>
      <c r="F89" s="223">
        <v>38.5</v>
      </c>
      <c r="G89" s="223">
        <v>38.5</v>
      </c>
      <c r="H89" s="223">
        <v>38.5</v>
      </c>
      <c r="I89" s="223">
        <v>38.5</v>
      </c>
      <c r="J89" s="223">
        <v>38.5</v>
      </c>
      <c r="K89" s="215">
        <v>38.5</v>
      </c>
      <c r="L89" s="220" t="s">
        <v>75</v>
      </c>
      <c r="M89" s="220" t="s">
        <v>75</v>
      </c>
      <c r="N89" s="222" t="s">
        <v>128</v>
      </c>
      <c r="O89" s="223"/>
      <c r="P89" s="217">
        <f>AVERAGE(C89:N89)</f>
        <v>38.5</v>
      </c>
      <c r="Q89" s="341"/>
      <c r="R89" s="340">
        <f>(((G89)/(G88))-1)*100</f>
        <v>-23</v>
      </c>
      <c r="S89" s="341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</row>
    <row r="90" spans="1:49" ht="9.75" customHeight="1">
      <c r="A90" s="55"/>
      <c r="B90" s="221" t="s">
        <v>513</v>
      </c>
      <c r="C90" s="226" t="s">
        <v>128</v>
      </c>
      <c r="D90" s="222">
        <v>45</v>
      </c>
      <c r="E90" s="223">
        <v>45</v>
      </c>
      <c r="F90" s="223">
        <v>45</v>
      </c>
      <c r="G90" s="223">
        <v>45</v>
      </c>
      <c r="H90" s="223">
        <v>45</v>
      </c>
      <c r="I90" s="223"/>
      <c r="J90" s="223"/>
      <c r="K90" s="215"/>
      <c r="L90" s="220"/>
      <c r="M90" s="220"/>
      <c r="N90" s="222"/>
      <c r="O90" s="223"/>
      <c r="P90" s="217">
        <f>AVERAGE(C90:N90)</f>
        <v>45</v>
      </c>
      <c r="Q90" s="341"/>
      <c r="R90" s="340">
        <f>(((G90)/(G89))-1)*100</f>
        <v>16.883116883116877</v>
      </c>
      <c r="S90" s="341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</row>
    <row r="91" spans="1:49" ht="12.75" customHeight="1">
      <c r="A91" s="153" t="s">
        <v>321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01"/>
      <c r="P91" s="101"/>
      <c r="Q91" s="101"/>
      <c r="R91" s="101"/>
      <c r="S91" s="101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</row>
    <row r="92" spans="1:49" ht="9.75" customHeight="1">
      <c r="A92" s="63" t="s">
        <v>246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</row>
    <row r="93" spans="1:49" ht="9.75" customHeight="1">
      <c r="A93" s="62" t="s">
        <v>80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</row>
    <row r="94" spans="1:49" ht="9.75" customHeight="1">
      <c r="A94" s="62" t="s">
        <v>81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</row>
    <row r="95" spans="1:49" ht="9.75" customHeight="1">
      <c r="A95" s="63" t="s">
        <v>502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</row>
    <row r="96" spans="1:49" ht="12.75" customHeight="1">
      <c r="A96" s="63" t="s">
        <v>280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</row>
    <row r="97" spans="1:49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</row>
    <row r="98" spans="1:49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</row>
    <row r="99" ht="12.75">
      <c r="A99" s="188" t="s">
        <v>300</v>
      </c>
    </row>
    <row r="100" ht="12.75">
      <c r="A100" s="54"/>
    </row>
    <row r="101" ht="12.75">
      <c r="A101" s="188" t="s">
        <v>301</v>
      </c>
    </row>
  </sheetData>
  <hyperlinks>
    <hyperlink ref="A101" r:id="rId1" display="Link to Bean Market News Annual reports"/>
    <hyperlink ref="A99" r:id="rId2" display="Link to Bean Market News"/>
  </hyperlinks>
  <printOptions horizontalCentered="1"/>
  <pageMargins left="0.417" right="0.417" top="0.25" bottom="0.6" header="0" footer="0.2"/>
  <pageSetup fitToHeight="1" fitToWidth="1" horizontalDpi="600" verticalDpi="600" orientation="portrait" scale="83" r:id="rId3"/>
  <headerFooter alignWithMargins="0">
    <oddFooter>&amp;C&amp;"Arial,Italic"&amp;9Vegetables and Melons Outlook&amp;"Arial,Regular"/VGS-331/February 25, 2009
Economic Research Service, USDA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T25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0.00390625" style="0" customWidth="1"/>
    <col min="2" max="2" width="6.7109375" style="0" customWidth="1"/>
    <col min="3" max="3" width="1.7109375" style="0" customWidth="1"/>
    <col min="4" max="14" width="6.28125" style="0" customWidth="1"/>
    <col min="15" max="15" width="9.57421875" style="0" customWidth="1"/>
    <col min="16" max="16" width="3.00390625" style="0" customWidth="1"/>
    <col min="19" max="19" width="2.7109375" style="0" customWidth="1"/>
  </cols>
  <sheetData>
    <row r="1" spans="18:20" ht="10.5" customHeight="1">
      <c r="R1" s="54" t="s">
        <v>271</v>
      </c>
      <c r="S1" s="54"/>
      <c r="T1" s="54" t="s">
        <v>271</v>
      </c>
    </row>
    <row r="2" spans="1:20" ht="12.75">
      <c r="A2" s="179" t="s">
        <v>382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202" t="s">
        <v>525</v>
      </c>
      <c r="S2" s="202"/>
      <c r="T2" s="202" t="s">
        <v>524</v>
      </c>
    </row>
    <row r="3" spans="1:20" ht="12.75">
      <c r="A3" s="251"/>
      <c r="B3" s="380" t="s">
        <v>125</v>
      </c>
      <c r="C3" s="380"/>
      <c r="D3" s="238"/>
      <c r="E3" s="238"/>
      <c r="F3" s="238"/>
      <c r="G3" s="238"/>
      <c r="H3" s="255"/>
      <c r="I3" s="255"/>
      <c r="J3" s="255"/>
      <c r="K3" s="256"/>
      <c r="L3" s="256"/>
      <c r="M3" s="256"/>
      <c r="N3" s="256"/>
      <c r="O3" s="239" t="s">
        <v>396</v>
      </c>
      <c r="R3" s="203" t="s">
        <v>267</v>
      </c>
      <c r="S3" s="203"/>
      <c r="T3" s="203" t="s">
        <v>384</v>
      </c>
    </row>
    <row r="4" spans="1:20" ht="10.5" customHeight="1">
      <c r="A4" s="252" t="s">
        <v>1</v>
      </c>
      <c r="B4" s="241" t="s">
        <v>245</v>
      </c>
      <c r="C4" s="241"/>
      <c r="D4" s="241">
        <v>1999</v>
      </c>
      <c r="E4" s="241">
        <v>2000</v>
      </c>
      <c r="F4" s="242">
        <v>2001</v>
      </c>
      <c r="G4" s="242">
        <v>2002</v>
      </c>
      <c r="H4" s="242">
        <v>2003</v>
      </c>
      <c r="I4" s="242">
        <v>2004</v>
      </c>
      <c r="J4" s="241" t="s">
        <v>253</v>
      </c>
      <c r="K4" s="241" t="s">
        <v>288</v>
      </c>
      <c r="L4" s="241" t="s">
        <v>389</v>
      </c>
      <c r="M4" s="241" t="s">
        <v>546</v>
      </c>
      <c r="N4" s="241" t="s">
        <v>545</v>
      </c>
      <c r="O4" s="241" t="s">
        <v>547</v>
      </c>
      <c r="R4" s="6">
        <v>2009</v>
      </c>
      <c r="S4" s="6"/>
      <c r="T4" s="6">
        <v>2009</v>
      </c>
    </row>
    <row r="5" spans="1:20" ht="12.75">
      <c r="A5" s="20"/>
      <c r="B5" s="5"/>
      <c r="C5" s="5"/>
      <c r="D5" s="176" t="s">
        <v>251</v>
      </c>
      <c r="E5" s="9"/>
      <c r="F5" s="9"/>
      <c r="G5" s="9"/>
      <c r="H5" s="9"/>
      <c r="I5" s="9"/>
      <c r="J5" s="9"/>
      <c r="K5" s="9"/>
      <c r="L5" s="9"/>
      <c r="M5" s="9"/>
      <c r="N5" s="493"/>
      <c r="O5" s="483" t="s">
        <v>395</v>
      </c>
      <c r="R5" s="192" t="s">
        <v>252</v>
      </c>
      <c r="S5" s="192"/>
      <c r="T5" s="192" t="s">
        <v>252</v>
      </c>
    </row>
    <row r="6" spans="1:15" ht="4.5" customHeight="1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494"/>
      <c r="O6" s="21"/>
    </row>
    <row r="7" spans="1:20" ht="10.5" customHeight="1">
      <c r="A7" s="11" t="s">
        <v>117</v>
      </c>
      <c r="B7" s="381">
        <v>2080</v>
      </c>
      <c r="C7" s="381"/>
      <c r="D7" s="381">
        <v>2020</v>
      </c>
      <c r="E7" s="381">
        <v>2240</v>
      </c>
      <c r="F7" s="381">
        <v>2140</v>
      </c>
      <c r="G7" s="381">
        <v>2150</v>
      </c>
      <c r="H7" s="381">
        <v>2220</v>
      </c>
      <c r="I7" s="381">
        <v>2250</v>
      </c>
      <c r="J7" s="381">
        <v>2350</v>
      </c>
      <c r="K7" s="381">
        <v>2150</v>
      </c>
      <c r="L7" s="381">
        <v>2310</v>
      </c>
      <c r="M7" s="381">
        <v>2310</v>
      </c>
      <c r="N7" s="384">
        <f>AVERAGE(K7:M7)</f>
        <v>2256.6666666666665</v>
      </c>
      <c r="O7" s="396">
        <f>((N7/M7)-1)*100</f>
        <v>-2.3088023088023157</v>
      </c>
      <c r="R7" s="152">
        <f>AVERAGE(I7:M7)</f>
        <v>2274</v>
      </c>
      <c r="S7" s="152"/>
      <c r="T7" s="152">
        <f>AVERAGE(K7:M7)</f>
        <v>2256.6666666666665</v>
      </c>
    </row>
    <row r="8" spans="1:20" ht="10.5" customHeight="1">
      <c r="A8" s="21" t="s">
        <v>116</v>
      </c>
      <c r="B8" s="381">
        <v>2160</v>
      </c>
      <c r="C8" s="381"/>
      <c r="D8" s="381">
        <v>2080</v>
      </c>
      <c r="E8" s="381">
        <v>2000</v>
      </c>
      <c r="F8" s="381">
        <v>1700</v>
      </c>
      <c r="G8" s="381">
        <v>1870</v>
      </c>
      <c r="H8" s="381">
        <v>1910</v>
      </c>
      <c r="I8" s="381">
        <v>2100</v>
      </c>
      <c r="J8" s="381">
        <v>1650</v>
      </c>
      <c r="K8" s="381">
        <v>1600</v>
      </c>
      <c r="L8" s="381">
        <v>1700</v>
      </c>
      <c r="M8" s="381">
        <v>1770</v>
      </c>
      <c r="N8" s="384">
        <f>AVERAGE(K8:M8)</f>
        <v>1690</v>
      </c>
      <c r="O8" s="396">
        <f>((N8/M8)-1)*100</f>
        <v>-4.519774011299438</v>
      </c>
      <c r="R8" s="152">
        <f>AVERAGE(I8:M8)</f>
        <v>1764</v>
      </c>
      <c r="S8" s="152"/>
      <c r="T8" s="152">
        <f>AVERAGE(K8:M8)</f>
        <v>1690</v>
      </c>
    </row>
    <row r="9" spans="1:20" ht="10.5" customHeight="1">
      <c r="A9" s="11" t="s">
        <v>10</v>
      </c>
      <c r="B9" s="381">
        <v>2050</v>
      </c>
      <c r="C9" s="381"/>
      <c r="D9" s="381">
        <v>2050</v>
      </c>
      <c r="E9" s="381">
        <v>1950</v>
      </c>
      <c r="F9" s="381">
        <v>1950</v>
      </c>
      <c r="G9" s="381">
        <v>2050</v>
      </c>
      <c r="H9" s="381">
        <v>2050</v>
      </c>
      <c r="I9" s="381">
        <v>2100</v>
      </c>
      <c r="J9" s="381">
        <v>1900</v>
      </c>
      <c r="K9" s="381">
        <v>1850</v>
      </c>
      <c r="L9" s="381">
        <v>1800</v>
      </c>
      <c r="M9" s="381">
        <v>1850</v>
      </c>
      <c r="N9" s="384">
        <f>AVERAGE(K9:M9)</f>
        <v>1833.3333333333333</v>
      </c>
      <c r="O9" s="396">
        <f>((N9/M9)-1)*100</f>
        <v>-0.9009009009009028</v>
      </c>
      <c r="R9" s="152">
        <f>AVERAGE(I9:M9)</f>
        <v>1900</v>
      </c>
      <c r="S9" s="152"/>
      <c r="T9" s="152">
        <f>AVERAGE(K9:M9)</f>
        <v>1833.3333333333333</v>
      </c>
    </row>
    <row r="10" spans="1:20" ht="10.5" customHeight="1">
      <c r="A10" s="11" t="s">
        <v>8</v>
      </c>
      <c r="B10" s="381">
        <v>1952</v>
      </c>
      <c r="C10" s="381"/>
      <c r="D10" s="381">
        <v>1860</v>
      </c>
      <c r="E10" s="381">
        <v>1840</v>
      </c>
      <c r="F10" s="381">
        <v>1760</v>
      </c>
      <c r="G10" s="381">
        <v>1980</v>
      </c>
      <c r="H10" s="381">
        <v>1840</v>
      </c>
      <c r="I10" s="381">
        <v>2020</v>
      </c>
      <c r="J10" s="381">
        <v>2130</v>
      </c>
      <c r="K10" s="381">
        <v>1860</v>
      </c>
      <c r="L10" s="381">
        <v>2090</v>
      </c>
      <c r="M10" s="381">
        <v>1850</v>
      </c>
      <c r="N10" s="384">
        <f>AVERAGE(K10:M10)</f>
        <v>1933.3333333333333</v>
      </c>
      <c r="O10" s="396">
        <f>((N10/M10)-1)*100</f>
        <v>4.504504504504503</v>
      </c>
      <c r="R10" s="152">
        <f>AVERAGE(I10:M10)</f>
        <v>1990</v>
      </c>
      <c r="S10" s="152"/>
      <c r="T10" s="152">
        <f>AVERAGE(K10:M10)</f>
        <v>1933.3333333333333</v>
      </c>
    </row>
    <row r="11" spans="1:20" ht="10.5" customHeight="1">
      <c r="A11" s="11" t="s">
        <v>7</v>
      </c>
      <c r="B11" s="381">
        <v>1742</v>
      </c>
      <c r="C11" s="381"/>
      <c r="D11" s="381">
        <v>1900</v>
      </c>
      <c r="E11" s="381">
        <v>1800</v>
      </c>
      <c r="F11" s="381">
        <v>1700</v>
      </c>
      <c r="G11" s="381">
        <v>2170</v>
      </c>
      <c r="H11" s="381">
        <v>1600</v>
      </c>
      <c r="I11" s="381">
        <v>1550</v>
      </c>
      <c r="J11" s="381">
        <v>1650</v>
      </c>
      <c r="K11" s="381">
        <v>1900</v>
      </c>
      <c r="L11" s="381">
        <v>1600</v>
      </c>
      <c r="M11" s="381">
        <v>1500</v>
      </c>
      <c r="N11" s="384">
        <f>AVERAGE(K11:M11)</f>
        <v>1666.6666666666667</v>
      </c>
      <c r="O11" s="396">
        <f>((N11/M11)-1)*100</f>
        <v>11.111111111111116</v>
      </c>
      <c r="R11" s="152">
        <f>AVERAGE(I11:M11)</f>
        <v>1640</v>
      </c>
      <c r="S11" s="152"/>
      <c r="T11" s="152">
        <f>AVERAGE(K11:M11)</f>
        <v>1666.6666666666667</v>
      </c>
    </row>
    <row r="12" spans="1:15" ht="6" customHeight="1">
      <c r="A12" s="11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4"/>
      <c r="O12" s="396"/>
    </row>
    <row r="13" spans="1:20" ht="10.5" customHeight="1">
      <c r="A13" s="11" t="s">
        <v>6</v>
      </c>
      <c r="B13" s="381">
        <v>1908</v>
      </c>
      <c r="C13" s="381"/>
      <c r="D13" s="381">
        <v>2000</v>
      </c>
      <c r="E13" s="381">
        <v>2070</v>
      </c>
      <c r="F13" s="381">
        <v>2150</v>
      </c>
      <c r="G13" s="381">
        <v>2100</v>
      </c>
      <c r="H13" s="381">
        <v>2130</v>
      </c>
      <c r="I13" s="381">
        <v>2160</v>
      </c>
      <c r="J13" s="381">
        <v>2250</v>
      </c>
      <c r="K13" s="381">
        <v>2200</v>
      </c>
      <c r="L13" s="381">
        <v>2260</v>
      </c>
      <c r="M13" s="381">
        <v>2290</v>
      </c>
      <c r="N13" s="384">
        <f>AVERAGE(K13:M13)</f>
        <v>2250</v>
      </c>
      <c r="O13" s="396">
        <f>((N13/M13)-1)*100</f>
        <v>-1.7467248908296984</v>
      </c>
      <c r="R13" s="152">
        <f>AVERAGE(I13:M13)</f>
        <v>2232</v>
      </c>
      <c r="S13" s="152"/>
      <c r="T13" s="152">
        <f>AVERAGE(K13:M13)</f>
        <v>2250</v>
      </c>
    </row>
    <row r="14" spans="1:20" ht="10.5" customHeight="1">
      <c r="A14" s="11" t="s">
        <v>5</v>
      </c>
      <c r="B14" s="381">
        <v>1534</v>
      </c>
      <c r="C14" s="381"/>
      <c r="D14" s="381">
        <v>2100</v>
      </c>
      <c r="E14" s="381">
        <v>1500</v>
      </c>
      <c r="F14" s="381">
        <v>600</v>
      </c>
      <c r="G14" s="381">
        <v>1850</v>
      </c>
      <c r="H14" s="381">
        <v>1500</v>
      </c>
      <c r="I14" s="381">
        <v>1700</v>
      </c>
      <c r="J14" s="381">
        <v>1700</v>
      </c>
      <c r="K14" s="381">
        <v>1900</v>
      </c>
      <c r="L14" s="381">
        <v>1600</v>
      </c>
      <c r="M14" s="381">
        <v>1850</v>
      </c>
      <c r="N14" s="384">
        <f>AVERAGE(K14:M14)</f>
        <v>1783.3333333333333</v>
      </c>
      <c r="O14" s="396">
        <f>((N14/M14)-1)*100</f>
        <v>-3.603603603603611</v>
      </c>
      <c r="R14" s="152">
        <f>AVERAGE(I14:M14)</f>
        <v>1750</v>
      </c>
      <c r="S14" s="152"/>
      <c r="T14" s="152">
        <f>AVERAGE(K14:M14)</f>
        <v>1783.3333333333333</v>
      </c>
    </row>
    <row r="15" spans="1:20" ht="10.5" customHeight="1">
      <c r="A15" s="11" t="s">
        <v>9</v>
      </c>
      <c r="B15" s="381">
        <v>1528</v>
      </c>
      <c r="C15" s="381"/>
      <c r="D15" s="381">
        <v>1550</v>
      </c>
      <c r="E15" s="381">
        <v>1600</v>
      </c>
      <c r="F15" s="381">
        <v>1500</v>
      </c>
      <c r="G15" s="381">
        <v>1720</v>
      </c>
      <c r="H15" s="381">
        <v>1700</v>
      </c>
      <c r="I15" s="381">
        <v>1150</v>
      </c>
      <c r="J15" s="381">
        <v>1800</v>
      </c>
      <c r="K15" s="381">
        <v>1650</v>
      </c>
      <c r="L15" s="381">
        <v>1800</v>
      </c>
      <c r="M15" s="381">
        <v>1950</v>
      </c>
      <c r="N15" s="384">
        <f>AVERAGE(K15:M15)</f>
        <v>1800</v>
      </c>
      <c r="O15" s="396">
        <f>((N15/M15)-1)*100</f>
        <v>-7.692307692307687</v>
      </c>
      <c r="R15" s="152">
        <f>AVERAGE(I15:M15)</f>
        <v>1670</v>
      </c>
      <c r="S15" s="152"/>
      <c r="T15" s="152">
        <f>AVERAGE(K15:M15)</f>
        <v>1800</v>
      </c>
    </row>
    <row r="16" spans="1:20" ht="10.5" customHeight="1">
      <c r="A16" s="11" t="s">
        <v>4</v>
      </c>
      <c r="B16" s="381">
        <v>1318</v>
      </c>
      <c r="C16" s="381"/>
      <c r="D16" s="381">
        <v>1450</v>
      </c>
      <c r="E16" s="381">
        <v>1450</v>
      </c>
      <c r="F16" s="381">
        <v>1550</v>
      </c>
      <c r="G16" s="381">
        <v>1540</v>
      </c>
      <c r="H16" s="381">
        <v>1500</v>
      </c>
      <c r="I16" s="381">
        <v>1000</v>
      </c>
      <c r="J16" s="381">
        <v>1520</v>
      </c>
      <c r="K16" s="381">
        <v>1200</v>
      </c>
      <c r="L16" s="381">
        <v>1620</v>
      </c>
      <c r="M16" s="381">
        <v>1570</v>
      </c>
      <c r="N16" s="384">
        <f>AVERAGE(K16:M16)</f>
        <v>1463.3333333333333</v>
      </c>
      <c r="O16" s="396">
        <f>((N16/M16)-1)*100</f>
        <v>-6.794055201698523</v>
      </c>
      <c r="R16" s="152">
        <f>AVERAGE(I16:M16)</f>
        <v>1382</v>
      </c>
      <c r="S16" s="152"/>
      <c r="T16" s="152">
        <f>AVERAGE(K16:M16)</f>
        <v>1463.3333333333333</v>
      </c>
    </row>
    <row r="17" spans="1:20" ht="10.5" customHeight="1">
      <c r="A17" s="21" t="s">
        <v>111</v>
      </c>
      <c r="B17" s="381">
        <v>1486</v>
      </c>
      <c r="C17" s="381"/>
      <c r="D17" s="381">
        <v>1370</v>
      </c>
      <c r="E17" s="381">
        <v>1460</v>
      </c>
      <c r="F17" s="381">
        <v>870</v>
      </c>
      <c r="G17" s="381">
        <v>1360</v>
      </c>
      <c r="H17" s="381">
        <v>1860</v>
      </c>
      <c r="I17" s="381">
        <v>1050</v>
      </c>
      <c r="J17" s="381">
        <v>1230</v>
      </c>
      <c r="K17" s="381">
        <v>1450</v>
      </c>
      <c r="L17" s="381">
        <v>1500</v>
      </c>
      <c r="M17" s="381">
        <v>1930</v>
      </c>
      <c r="N17" s="384">
        <f>AVERAGE(K17:M17)</f>
        <v>1626.6666666666667</v>
      </c>
      <c r="O17" s="396">
        <f>((N17/M17)-1)*100</f>
        <v>-15.716753022452501</v>
      </c>
      <c r="R17" s="152">
        <f>AVERAGE(I17:M17)</f>
        <v>1432</v>
      </c>
      <c r="S17" s="152"/>
      <c r="T17" s="152">
        <f>AVERAGE(K17:M17)</f>
        <v>1626.6666666666667</v>
      </c>
    </row>
    <row r="18" spans="1:15" ht="5.25" customHeight="1">
      <c r="A18" s="1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4"/>
      <c r="O18" s="396"/>
    </row>
    <row r="19" spans="1:20" ht="10.5" customHeight="1">
      <c r="A19" s="11" t="s">
        <v>118</v>
      </c>
      <c r="B19" s="381">
        <v>936</v>
      </c>
      <c r="C19" s="381"/>
      <c r="D19" s="381">
        <v>1490</v>
      </c>
      <c r="E19" s="381">
        <v>950</v>
      </c>
      <c r="F19" s="381">
        <v>1320</v>
      </c>
      <c r="G19" s="381">
        <v>970</v>
      </c>
      <c r="H19" s="381">
        <v>1170</v>
      </c>
      <c r="I19" s="381">
        <v>800</v>
      </c>
      <c r="J19" s="381">
        <v>1520</v>
      </c>
      <c r="K19" s="381">
        <v>1320</v>
      </c>
      <c r="L19" s="381">
        <v>1500</v>
      </c>
      <c r="M19" s="381">
        <v>1300</v>
      </c>
      <c r="N19" s="384">
        <f>AVERAGE(K19:M19)</f>
        <v>1373.3333333333333</v>
      </c>
      <c r="O19" s="396">
        <f>((N19/M19)-1)*100</f>
        <v>5.641025641025643</v>
      </c>
      <c r="R19" s="152">
        <f>AVERAGE(I19:M19)</f>
        <v>1288</v>
      </c>
      <c r="S19" s="152"/>
      <c r="T19" s="152">
        <f>AVERAGE(K19:M19)</f>
        <v>1373.3333333333333</v>
      </c>
    </row>
    <row r="20" spans="1:15" ht="6.75" customHeight="1">
      <c r="A20" s="10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4"/>
      <c r="O20" s="396"/>
    </row>
    <row r="21" spans="1:20" ht="10.5" customHeight="1">
      <c r="A21" s="253" t="s">
        <v>12</v>
      </c>
      <c r="B21" s="382">
        <v>1609.8</v>
      </c>
      <c r="C21" s="382"/>
      <c r="D21" s="382">
        <v>1762</v>
      </c>
      <c r="E21" s="382">
        <v>1642</v>
      </c>
      <c r="F21" s="382">
        <v>1569</v>
      </c>
      <c r="G21" s="382">
        <v>1743</v>
      </c>
      <c r="H21" s="382">
        <v>1670</v>
      </c>
      <c r="I21" s="383">
        <v>1459</v>
      </c>
      <c r="J21" s="384">
        <v>1746</v>
      </c>
      <c r="K21" s="384">
        <v>1577</v>
      </c>
      <c r="L21" s="384">
        <v>1730</v>
      </c>
      <c r="M21" s="428">
        <v>1768</v>
      </c>
      <c r="N21" s="384">
        <f>AVERAGE(K21:M21)</f>
        <v>1691.6666666666667</v>
      </c>
      <c r="O21" s="397">
        <f>((N21/M21)-1)*100</f>
        <v>-4.3174962292609305</v>
      </c>
      <c r="Q21" s="125"/>
      <c r="R21" s="152">
        <f>AVERAGE(I21:M21)</f>
        <v>1656</v>
      </c>
      <c r="S21" s="152"/>
      <c r="T21" s="152">
        <f>AVERAGE(K21:M21)</f>
        <v>1691.6666666666667</v>
      </c>
    </row>
    <row r="22" spans="10:20" ht="2.25" customHeight="1">
      <c r="J22" s="141"/>
      <c r="K22" s="141"/>
      <c r="L22" s="141"/>
      <c r="M22" s="141"/>
      <c r="N22" s="141"/>
      <c r="O22" s="141"/>
      <c r="R22" s="141"/>
      <c r="S22" s="141"/>
      <c r="T22" s="141"/>
    </row>
    <row r="23" ht="12" customHeight="1">
      <c r="A23" s="98" t="s">
        <v>538</v>
      </c>
    </row>
    <row r="24" spans="1:12" ht="10.5" customHeight="1">
      <c r="A24" s="98" t="s">
        <v>548</v>
      </c>
      <c r="H24" s="205"/>
      <c r="L24" s="125"/>
    </row>
    <row r="25" ht="15" customHeight="1">
      <c r="A25" s="98" t="s">
        <v>388</v>
      </c>
    </row>
  </sheetData>
  <printOptions horizontalCentered="1"/>
  <pageMargins left="0.417" right="0.417" top="0.25" bottom="0.6" header="0" footer="0.2"/>
  <pageSetup fitToHeight="1" fitToWidth="1" horizontalDpi="600" verticalDpi="600" orientation="portrait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1"/>
    <pageSetUpPr fitToPage="1"/>
  </sheetPr>
  <dimension ref="A2:R31"/>
  <sheetViews>
    <sheetView showGridLines="0" workbookViewId="0" topLeftCell="A1">
      <selection activeCell="C7" sqref="C7"/>
    </sheetView>
  </sheetViews>
  <sheetFormatPr defaultColWidth="9.7109375" defaultRowHeight="12.75"/>
  <cols>
    <col min="1" max="1" width="13.140625" style="41" customWidth="1"/>
    <col min="2" max="7" width="5.28125" style="41" customWidth="1"/>
    <col min="8" max="8" width="5.00390625" style="41" customWidth="1"/>
    <col min="9" max="9" width="5.28125" style="41" customWidth="1"/>
    <col min="10" max="11" width="5.00390625" style="41" customWidth="1"/>
    <col min="12" max="12" width="5.7109375" style="41" customWidth="1"/>
    <col min="13" max="13" width="0.85546875" style="41" customWidth="1"/>
    <col min="14" max="15" width="6.57421875" style="41" customWidth="1"/>
    <col min="16" max="16" width="0.71875" style="41" customWidth="1"/>
    <col min="17" max="17" width="9.140625" style="41" customWidth="1"/>
    <col min="18" max="16384" width="9.7109375" style="41" customWidth="1"/>
  </cols>
  <sheetData>
    <row r="2" spans="1:18" ht="12">
      <c r="A2" s="170" t="s">
        <v>508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">
      <c r="A3" s="257"/>
      <c r="B3" s="258" t="s">
        <v>504</v>
      </c>
      <c r="C3" s="259"/>
      <c r="D3" s="259"/>
      <c r="E3" s="260"/>
      <c r="F3" s="259"/>
      <c r="G3" s="259"/>
      <c r="H3" s="259"/>
      <c r="I3" s="259"/>
      <c r="J3" s="260"/>
      <c r="K3" s="259"/>
      <c r="L3" s="259"/>
      <c r="M3" s="261"/>
      <c r="N3" s="258" t="s">
        <v>19</v>
      </c>
      <c r="O3" s="259"/>
      <c r="P3" s="257"/>
      <c r="Q3" s="262" t="s">
        <v>20</v>
      </c>
      <c r="R3" s="40"/>
    </row>
    <row r="4" spans="1:18" ht="12">
      <c r="A4" s="263" t="s">
        <v>21</v>
      </c>
      <c r="B4" s="264" t="s">
        <v>22</v>
      </c>
      <c r="C4" s="265" t="s">
        <v>23</v>
      </c>
      <c r="D4" s="265" t="s">
        <v>24</v>
      </c>
      <c r="E4" s="265" t="s">
        <v>25</v>
      </c>
      <c r="F4" s="264" t="s">
        <v>26</v>
      </c>
      <c r="G4" s="265" t="s">
        <v>27</v>
      </c>
      <c r="H4" s="264" t="s">
        <v>28</v>
      </c>
      <c r="I4" s="265" t="s">
        <v>29</v>
      </c>
      <c r="J4" s="265" t="s">
        <v>30</v>
      </c>
      <c r="K4" s="265" t="s">
        <v>31</v>
      </c>
      <c r="L4" s="263" t="s">
        <v>32</v>
      </c>
      <c r="M4" s="266"/>
      <c r="N4" s="267">
        <v>2007</v>
      </c>
      <c r="O4" s="267">
        <v>2008</v>
      </c>
      <c r="P4" s="266"/>
      <c r="Q4" s="267" t="s">
        <v>390</v>
      </c>
      <c r="R4" s="40"/>
    </row>
    <row r="5" spans="1:18" ht="12">
      <c r="A5" s="42"/>
      <c r="B5" s="484" t="s">
        <v>2</v>
      </c>
      <c r="C5" s="43"/>
      <c r="D5" s="43"/>
      <c r="E5" s="44"/>
      <c r="F5" s="43"/>
      <c r="G5" s="43"/>
      <c r="H5" s="43"/>
      <c r="I5" s="43"/>
      <c r="J5" s="44"/>
      <c r="K5" s="43"/>
      <c r="L5" s="43"/>
      <c r="M5" s="43"/>
      <c r="N5" s="43"/>
      <c r="O5" s="43"/>
      <c r="P5" s="42"/>
      <c r="Q5" s="485" t="s">
        <v>17</v>
      </c>
      <c r="R5" s="40"/>
    </row>
    <row r="6" spans="1:18" ht="9.75" customHeight="1">
      <c r="A6" s="42"/>
      <c r="B6" s="42"/>
      <c r="C6" s="45" t="s">
        <v>15</v>
      </c>
      <c r="D6" s="42"/>
      <c r="E6" s="42"/>
      <c r="F6" s="42"/>
      <c r="G6" s="42"/>
      <c r="H6" s="45" t="s">
        <v>15</v>
      </c>
      <c r="I6" s="42"/>
      <c r="J6" s="42"/>
      <c r="K6" s="42"/>
      <c r="L6" s="42"/>
      <c r="M6" s="42"/>
      <c r="N6" s="42"/>
      <c r="O6" s="42"/>
      <c r="P6" s="42"/>
      <c r="Q6" s="257"/>
      <c r="R6" s="40"/>
    </row>
    <row r="7" spans="1:18" ht="10.5" customHeight="1">
      <c r="A7" s="45" t="s">
        <v>33</v>
      </c>
      <c r="B7" s="134"/>
      <c r="C7" s="134"/>
      <c r="D7" s="134">
        <v>3.2</v>
      </c>
      <c r="E7" s="134">
        <v>62</v>
      </c>
      <c r="F7" s="134">
        <v>58</v>
      </c>
      <c r="G7" s="134"/>
      <c r="H7" s="134"/>
      <c r="I7" s="134">
        <v>123</v>
      </c>
      <c r="J7" s="134"/>
      <c r="K7" s="134">
        <v>1</v>
      </c>
      <c r="L7" s="187">
        <f>+O7-SUM(B7:K7)</f>
        <v>3.4000000000000057</v>
      </c>
      <c r="M7" s="135" t="s">
        <v>15</v>
      </c>
      <c r="N7" s="137">
        <v>221.9</v>
      </c>
      <c r="O7" s="137">
        <v>250.6</v>
      </c>
      <c r="P7" s="46"/>
      <c r="Q7" s="268">
        <f>+((O7/N7)-1)*100</f>
        <v>12.933753943217653</v>
      </c>
      <c r="R7" s="378"/>
    </row>
    <row r="8" spans="1:18" ht="10.5" customHeight="1">
      <c r="A8" s="45" t="s">
        <v>34</v>
      </c>
      <c r="B8" s="134"/>
      <c r="C8" s="134"/>
      <c r="D8" s="134">
        <v>2.6</v>
      </c>
      <c r="E8" s="134"/>
      <c r="F8" s="134"/>
      <c r="G8" s="134">
        <v>64.3</v>
      </c>
      <c r="H8" s="134"/>
      <c r="I8" s="134">
        <v>6.7</v>
      </c>
      <c r="J8" s="134"/>
      <c r="K8" s="134">
        <v>2.5</v>
      </c>
      <c r="L8" s="187">
        <f>+O8-SUM(B8:K8)</f>
        <v>0</v>
      </c>
      <c r="M8" s="134"/>
      <c r="N8" s="137">
        <v>59.5</v>
      </c>
      <c r="O8" s="137">
        <v>76.1</v>
      </c>
      <c r="P8" s="46"/>
      <c r="Q8" s="268">
        <f>+((O8/N8)-1)*100</f>
        <v>27.899159663865536</v>
      </c>
      <c r="R8" s="378"/>
    </row>
    <row r="9" spans="1:18" ht="10.5" customHeight="1">
      <c r="A9" s="45" t="s">
        <v>35</v>
      </c>
      <c r="B9" s="134"/>
      <c r="C9" s="134">
        <v>36</v>
      </c>
      <c r="D9" s="134">
        <v>20.5</v>
      </c>
      <c r="E9" s="134">
        <v>1.8</v>
      </c>
      <c r="F9" s="134">
        <v>15.7</v>
      </c>
      <c r="G9" s="134">
        <v>51.2</v>
      </c>
      <c r="H9" s="134"/>
      <c r="I9" s="134">
        <v>446</v>
      </c>
      <c r="J9" s="134">
        <v>7</v>
      </c>
      <c r="K9" s="134">
        <v>25</v>
      </c>
      <c r="L9" s="187">
        <f>+O9-SUM(B9:K9)</f>
        <v>26.09999999999991</v>
      </c>
      <c r="M9" s="134"/>
      <c r="N9" s="137">
        <v>694.2</v>
      </c>
      <c r="O9" s="137">
        <v>629.3</v>
      </c>
      <c r="P9" s="46"/>
      <c r="Q9" s="268">
        <f>+((O9/N9)-1)*100</f>
        <v>-9.348890809564981</v>
      </c>
      <c r="R9" s="378"/>
    </row>
    <row r="10" spans="1:18" ht="10.5" customHeight="1">
      <c r="A10" s="48" t="s">
        <v>36</v>
      </c>
      <c r="B10" s="134">
        <v>2</v>
      </c>
      <c r="C10" s="134">
        <v>8</v>
      </c>
      <c r="D10" s="134">
        <v>1.4</v>
      </c>
      <c r="E10" s="134">
        <v>9.5</v>
      </c>
      <c r="F10" s="134">
        <v>14.2</v>
      </c>
      <c r="G10" s="134">
        <v>13.1</v>
      </c>
      <c r="H10" s="134">
        <v>7.2</v>
      </c>
      <c r="I10" s="134"/>
      <c r="J10" s="134"/>
      <c r="K10" s="134"/>
      <c r="L10" s="187">
        <f>+O10-SUM(B10:K10)</f>
        <v>0.8999999999999986</v>
      </c>
      <c r="M10" s="134"/>
      <c r="N10" s="137">
        <v>47.4</v>
      </c>
      <c r="O10" s="137">
        <v>56.3</v>
      </c>
      <c r="P10" s="46"/>
      <c r="Q10" s="268">
        <f>+((O10/N10)-1)*100</f>
        <v>18.77637130801688</v>
      </c>
      <c r="R10" s="378"/>
    </row>
    <row r="11" spans="1:18" ht="10.5" customHeight="1">
      <c r="A11" s="48" t="s">
        <v>37</v>
      </c>
      <c r="B11" s="134">
        <v>0.6</v>
      </c>
      <c r="C11" s="134"/>
      <c r="D11" s="134">
        <v>0.9</v>
      </c>
      <c r="E11" s="134">
        <v>2.5</v>
      </c>
      <c r="F11" s="134">
        <v>35</v>
      </c>
      <c r="G11" s="134"/>
      <c r="H11" s="134">
        <v>1.7</v>
      </c>
      <c r="I11" s="134">
        <v>1.4</v>
      </c>
      <c r="J11" s="134">
        <v>1.8</v>
      </c>
      <c r="K11" s="134"/>
      <c r="L11" s="187">
        <f>+O11-SUM(B11:K11)</f>
        <v>6.899999999999999</v>
      </c>
      <c r="M11" s="136"/>
      <c r="N11" s="137">
        <v>40.2</v>
      </c>
      <c r="O11" s="137">
        <v>50.8</v>
      </c>
      <c r="Q11" s="268">
        <f>+((O11/N11)-1)*100</f>
        <v>26.368159203980078</v>
      </c>
      <c r="R11" s="379"/>
    </row>
    <row r="12" spans="1:18" ht="4.5" customHeight="1">
      <c r="A12" s="42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7" t="s">
        <v>15</v>
      </c>
      <c r="O12" s="137" t="s">
        <v>15</v>
      </c>
      <c r="P12" s="46"/>
      <c r="Q12" s="268"/>
      <c r="R12" s="47"/>
    </row>
    <row r="13" spans="1:18" ht="10.5" customHeight="1">
      <c r="A13" s="45" t="s">
        <v>38</v>
      </c>
      <c r="B13" s="134">
        <v>15.5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87">
        <f>+O13-SUM(B13:K13)</f>
        <v>0</v>
      </c>
      <c r="M13" s="134"/>
      <c r="N13" s="137">
        <v>13.9</v>
      </c>
      <c r="O13" s="137">
        <v>15.5</v>
      </c>
      <c r="P13" s="46"/>
      <c r="Q13" s="268">
        <f>+((O13/N13)-1)*100</f>
        <v>11.51079136690647</v>
      </c>
      <c r="R13" s="378"/>
    </row>
    <row r="14" spans="1:18" ht="10.5" customHeight="1">
      <c r="A14" s="45" t="s">
        <v>39</v>
      </c>
      <c r="B14" s="134">
        <v>11.7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87">
        <f>+O14-SUM(B14:K14)</f>
        <v>0</v>
      </c>
      <c r="M14" s="134"/>
      <c r="N14" s="137">
        <v>16</v>
      </c>
      <c r="O14" s="137">
        <v>11.7</v>
      </c>
      <c r="P14" s="46"/>
      <c r="Q14" s="268">
        <f>+((O14/N14)-1)*100</f>
        <v>-26.875000000000004</v>
      </c>
      <c r="R14" s="378"/>
    </row>
    <row r="15" spans="1:18" ht="10.5" customHeight="1">
      <c r="A15" s="45" t="s">
        <v>40</v>
      </c>
      <c r="B15" s="134">
        <v>7.1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87">
        <f>+O15-SUM(B15:K15)</f>
        <v>22.200000000000003</v>
      </c>
      <c r="M15" s="134"/>
      <c r="N15" s="137">
        <v>27.8</v>
      </c>
      <c r="O15" s="137">
        <v>29.3</v>
      </c>
      <c r="P15" s="46"/>
      <c r="Q15" s="268">
        <f>+((O15/N15)-1)*100</f>
        <v>5.395683453237421</v>
      </c>
      <c r="R15" s="378"/>
    </row>
    <row r="16" spans="1:18" ht="10.5" customHeight="1">
      <c r="A16" s="45" t="s">
        <v>41</v>
      </c>
      <c r="B16" s="134"/>
      <c r="C16" s="134"/>
      <c r="D16" s="134">
        <v>6.3</v>
      </c>
      <c r="E16" s="134"/>
      <c r="F16" s="134">
        <v>8.6</v>
      </c>
      <c r="G16" s="134"/>
      <c r="H16" s="134"/>
      <c r="I16" s="134">
        <v>12.5</v>
      </c>
      <c r="J16" s="134">
        <v>3.2</v>
      </c>
      <c r="K16" s="134"/>
      <c r="L16" s="187">
        <f>+O16-SUM(B16:K16)</f>
        <v>0</v>
      </c>
      <c r="M16" s="134"/>
      <c r="N16" s="137">
        <v>30.8</v>
      </c>
      <c r="O16" s="137">
        <v>30.6</v>
      </c>
      <c r="P16" s="46"/>
      <c r="Q16" s="268">
        <f>+((O16/N16)-1)*100</f>
        <v>-0.649350649350644</v>
      </c>
      <c r="R16" s="378"/>
    </row>
    <row r="17" spans="1:18" ht="4.5" customHeight="1">
      <c r="A17" s="42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7"/>
      <c r="O17" s="137"/>
      <c r="P17" s="46"/>
      <c r="Q17" s="268"/>
      <c r="R17" s="47"/>
    </row>
    <row r="18" spans="1:18" ht="10.5" customHeight="1">
      <c r="A18" s="45" t="s">
        <v>42</v>
      </c>
      <c r="B18" s="134"/>
      <c r="C18" s="134"/>
      <c r="D18" s="134">
        <v>9.8</v>
      </c>
      <c r="E18" s="134">
        <v>22.4</v>
      </c>
      <c r="F18" s="134">
        <v>1.6</v>
      </c>
      <c r="G18" s="134"/>
      <c r="H18" s="134"/>
      <c r="I18" s="134">
        <v>6</v>
      </c>
      <c r="J18" s="134">
        <v>2.5</v>
      </c>
      <c r="K18" s="134"/>
      <c r="L18" s="187">
        <f aca="true" t="shared" si="0" ref="L18:L24">+O18-SUM(B18:K18)</f>
        <v>0</v>
      </c>
      <c r="M18" s="134"/>
      <c r="N18" s="137">
        <v>30.6</v>
      </c>
      <c r="O18" s="137">
        <v>42.3</v>
      </c>
      <c r="P18" s="46"/>
      <c r="Q18" s="268">
        <f aca="true" t="shared" si="1" ref="Q18:Q24">+((O18/N18)-1)*100</f>
        <v>38.23529411764704</v>
      </c>
      <c r="R18" s="378"/>
    </row>
    <row r="19" spans="1:18" ht="10.5" customHeight="1">
      <c r="A19" s="45" t="s">
        <v>43</v>
      </c>
      <c r="B19" s="134">
        <v>1.3</v>
      </c>
      <c r="C19" s="134"/>
      <c r="D19" s="134">
        <v>0.6</v>
      </c>
      <c r="E19" s="134">
        <v>7.2</v>
      </c>
      <c r="F19" s="134"/>
      <c r="G19" s="134"/>
      <c r="H19" s="134"/>
      <c r="I19" s="134"/>
      <c r="J19" s="134"/>
      <c r="K19" s="134"/>
      <c r="L19" s="187">
        <f t="shared" si="0"/>
        <v>0</v>
      </c>
      <c r="M19" s="134"/>
      <c r="N19" s="137">
        <v>8.6</v>
      </c>
      <c r="O19" s="137">
        <v>9.1</v>
      </c>
      <c r="P19" s="46"/>
      <c r="Q19" s="268">
        <f t="shared" si="1"/>
        <v>5.813953488372103</v>
      </c>
      <c r="R19" s="378"/>
    </row>
    <row r="20" spans="1:18" ht="10.5" customHeight="1">
      <c r="A20" s="45" t="s">
        <v>45</v>
      </c>
      <c r="B20" s="134"/>
      <c r="C20" s="134"/>
      <c r="D20" s="134">
        <v>1.7</v>
      </c>
      <c r="E20" s="134">
        <v>91</v>
      </c>
      <c r="F20" s="134">
        <v>12.6</v>
      </c>
      <c r="G20" s="134">
        <v>3.1</v>
      </c>
      <c r="H20" s="134">
        <v>7.4</v>
      </c>
      <c r="I20" s="134">
        <v>53.5</v>
      </c>
      <c r="J20" s="134">
        <v>2</v>
      </c>
      <c r="K20" s="134"/>
      <c r="L20" s="187">
        <f t="shared" si="0"/>
        <v>0.5999999999999943</v>
      </c>
      <c r="M20" s="134"/>
      <c r="N20" s="137">
        <v>175.7</v>
      </c>
      <c r="O20" s="137">
        <v>171.9</v>
      </c>
      <c r="P20" s="46"/>
      <c r="Q20" s="268">
        <f t="shared" si="1"/>
        <v>-2.1627774615822326</v>
      </c>
      <c r="R20" s="378"/>
    </row>
    <row r="21" spans="1:18" ht="10.5" customHeight="1">
      <c r="A21" s="45" t="s">
        <v>44</v>
      </c>
      <c r="B21" s="134">
        <f>+B22+B23</f>
        <v>6.4</v>
      </c>
      <c r="C21" s="134"/>
      <c r="D21" s="134">
        <f>+D22+D23</f>
        <v>31</v>
      </c>
      <c r="E21" s="134"/>
      <c r="F21" s="134"/>
      <c r="G21" s="134"/>
      <c r="H21" s="134"/>
      <c r="I21" s="134">
        <f>+I22+I23</f>
        <v>9.3</v>
      </c>
      <c r="J21" s="134">
        <f>+J22+J23</f>
        <v>29.5</v>
      </c>
      <c r="K21" s="134"/>
      <c r="L21" s="187">
        <f t="shared" si="0"/>
        <v>5.699999999999989</v>
      </c>
      <c r="M21" s="134"/>
      <c r="N21" s="134">
        <f>+N22+N23</f>
        <v>125.19999999999999</v>
      </c>
      <c r="O21" s="134">
        <f>+O22+O23</f>
        <v>81.89999999999999</v>
      </c>
      <c r="P21" s="46"/>
      <c r="Q21" s="268">
        <f t="shared" si="1"/>
        <v>-34.584664536741215</v>
      </c>
      <c r="R21" s="378"/>
    </row>
    <row r="22" spans="1:18" ht="10.5" customHeight="1">
      <c r="A22" s="48" t="s">
        <v>181</v>
      </c>
      <c r="B22" s="134"/>
      <c r="C22" s="134"/>
      <c r="D22" s="134">
        <v>4.3</v>
      </c>
      <c r="E22" s="134"/>
      <c r="F22" s="134"/>
      <c r="G22" s="134"/>
      <c r="H22" s="134"/>
      <c r="I22" s="134">
        <v>4</v>
      </c>
      <c r="J22" s="134"/>
      <c r="K22" s="134"/>
      <c r="L22" s="187">
        <f t="shared" si="0"/>
        <v>1.799999999999999</v>
      </c>
      <c r="M22" s="134"/>
      <c r="N22" s="137">
        <v>11.1</v>
      </c>
      <c r="O22" s="137">
        <v>10.1</v>
      </c>
      <c r="P22" s="46"/>
      <c r="Q22" s="268">
        <f t="shared" si="1"/>
        <v>-9.009009009009006</v>
      </c>
      <c r="R22" s="47"/>
    </row>
    <row r="23" spans="1:18" ht="10.5" customHeight="1">
      <c r="A23" s="48" t="s">
        <v>182</v>
      </c>
      <c r="B23" s="134">
        <v>6.4</v>
      </c>
      <c r="C23" s="134"/>
      <c r="D23" s="134">
        <v>26.7</v>
      </c>
      <c r="E23" s="134"/>
      <c r="F23" s="134"/>
      <c r="G23" s="134"/>
      <c r="H23" s="134"/>
      <c r="I23" s="134">
        <v>5.3</v>
      </c>
      <c r="J23" s="134">
        <v>29.5</v>
      </c>
      <c r="K23" s="134"/>
      <c r="L23" s="187">
        <f t="shared" si="0"/>
        <v>3.8999999999999915</v>
      </c>
      <c r="M23" s="134"/>
      <c r="N23" s="137">
        <v>114.1</v>
      </c>
      <c r="O23" s="137">
        <v>71.8</v>
      </c>
      <c r="P23" s="46"/>
      <c r="Q23" s="268">
        <f t="shared" si="1"/>
        <v>-37.072743207712534</v>
      </c>
      <c r="R23" s="47"/>
    </row>
    <row r="24" spans="1:18" ht="10.5" customHeight="1">
      <c r="A24" s="45" t="s">
        <v>46</v>
      </c>
      <c r="B24" s="134">
        <f aca="true" t="shared" si="2" ref="B24:K24">+B26-SUM(B7:B21)</f>
        <v>7.400000000000006</v>
      </c>
      <c r="C24" s="134">
        <f t="shared" si="2"/>
        <v>4</v>
      </c>
      <c r="D24" s="134">
        <f t="shared" si="2"/>
        <v>2</v>
      </c>
      <c r="E24" s="134">
        <f t="shared" si="2"/>
        <v>3.6000000000000227</v>
      </c>
      <c r="F24" s="134">
        <f t="shared" si="2"/>
        <v>4.300000000000011</v>
      </c>
      <c r="G24" s="134">
        <f t="shared" si="2"/>
        <v>3.3000000000000114</v>
      </c>
      <c r="H24" s="134">
        <f t="shared" si="2"/>
        <v>0.6999999999999993</v>
      </c>
      <c r="I24" s="134">
        <f t="shared" si="2"/>
        <v>1.6000000000000227</v>
      </c>
      <c r="J24" s="134">
        <f t="shared" si="2"/>
        <v>4</v>
      </c>
      <c r="K24" s="134">
        <f t="shared" si="2"/>
        <v>3</v>
      </c>
      <c r="L24" s="187">
        <f t="shared" si="0"/>
        <v>5.699999999999925</v>
      </c>
      <c r="M24" s="134"/>
      <c r="N24" s="134">
        <v>35.2</v>
      </c>
      <c r="O24" s="134">
        <v>39.6</v>
      </c>
      <c r="P24" s="46"/>
      <c r="Q24" s="268">
        <f t="shared" si="1"/>
        <v>12.5</v>
      </c>
      <c r="R24" s="378"/>
    </row>
    <row r="25" spans="1:18" ht="9" customHeight="1">
      <c r="A25" s="42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7"/>
      <c r="O25" s="137"/>
      <c r="P25" s="46"/>
      <c r="Q25" s="269"/>
      <c r="R25" s="47"/>
    </row>
    <row r="26" spans="1:18" ht="10.5" customHeight="1">
      <c r="A26" s="462" t="s">
        <v>47</v>
      </c>
      <c r="B26" s="463">
        <v>52</v>
      </c>
      <c r="C26" s="463">
        <v>48</v>
      </c>
      <c r="D26" s="463">
        <v>80</v>
      </c>
      <c r="E26" s="463">
        <v>200</v>
      </c>
      <c r="F26" s="463">
        <v>150</v>
      </c>
      <c r="G26" s="463">
        <v>135</v>
      </c>
      <c r="H26" s="463">
        <v>17</v>
      </c>
      <c r="I26" s="463">
        <v>660</v>
      </c>
      <c r="J26" s="463">
        <v>50</v>
      </c>
      <c r="K26" s="463">
        <v>31.5</v>
      </c>
      <c r="L26" s="464">
        <f>+O26-SUM(B26:K26)</f>
        <v>71.5</v>
      </c>
      <c r="M26" s="463"/>
      <c r="N26" s="465">
        <v>1527.4</v>
      </c>
      <c r="O26" s="465">
        <v>1495</v>
      </c>
      <c r="P26" s="466"/>
      <c r="Q26" s="270">
        <f>+((O26/N26)-1)*100</f>
        <v>-2.121251800445212</v>
      </c>
      <c r="R26" s="47"/>
    </row>
    <row r="27" spans="1:18" ht="15.75" customHeight="1">
      <c r="A27" s="49" t="s">
        <v>563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0"/>
    </row>
    <row r="28" spans="1:18" ht="4.5" customHeight="1">
      <c r="A28" s="440"/>
      <c r="B28" s="50"/>
      <c r="C28" s="42"/>
      <c r="D28" s="42"/>
      <c r="E28" s="42"/>
      <c r="F28" s="42"/>
      <c r="G28" s="42"/>
      <c r="I28" s="42"/>
      <c r="J28" s="42"/>
      <c r="K28" s="394"/>
      <c r="L28" s="394"/>
      <c r="M28" s="42"/>
      <c r="N28" s="42"/>
      <c r="O28" s="394"/>
      <c r="P28" s="42"/>
      <c r="Q28" s="42"/>
      <c r="R28" s="40"/>
    </row>
    <row r="29" spans="1:17" ht="12">
      <c r="A29" s="98" t="s">
        <v>551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ht="12">
      <c r="O30" s="136"/>
    </row>
    <row r="31" ht="12">
      <c r="A31" s="371"/>
    </row>
  </sheetData>
  <printOptions horizontalCentered="1"/>
  <pageMargins left="0.417" right="0.417" top="0.25" bottom="0.6" header="0" footer="0.2"/>
  <pageSetup fitToHeight="1" fitToWidth="1" horizontalDpi="600" verticalDpi="600" orientation="portrait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1"/>
    <pageSetUpPr fitToPage="1"/>
  </sheetPr>
  <dimension ref="A2:S30"/>
  <sheetViews>
    <sheetView showGridLines="0" workbookViewId="0" topLeftCell="A1">
      <selection activeCell="C7" sqref="C7"/>
    </sheetView>
  </sheetViews>
  <sheetFormatPr defaultColWidth="9.7109375" defaultRowHeight="12.75"/>
  <cols>
    <col min="1" max="1" width="13.140625" style="41" customWidth="1"/>
    <col min="2" max="7" width="5.28125" style="41" customWidth="1"/>
    <col min="8" max="8" width="5.00390625" style="41" customWidth="1"/>
    <col min="9" max="9" width="5.7109375" style="41" customWidth="1"/>
    <col min="10" max="10" width="5.140625" style="41" customWidth="1"/>
    <col min="11" max="12" width="5.00390625" style="41" customWidth="1"/>
    <col min="13" max="13" width="5.7109375" style="41" customWidth="1"/>
    <col min="14" max="14" width="0.85546875" style="41" customWidth="1"/>
    <col min="15" max="16" width="6.57421875" style="41" customWidth="1"/>
    <col min="17" max="17" width="0.71875" style="41" customWidth="1"/>
    <col min="18" max="18" width="9.140625" style="41" customWidth="1"/>
    <col min="19" max="16384" width="9.7109375" style="41" customWidth="1"/>
  </cols>
  <sheetData>
    <row r="2" spans="1:19" ht="12">
      <c r="A2" s="170" t="s">
        <v>550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12">
      <c r="A3" s="257"/>
      <c r="B3" s="258" t="s">
        <v>367</v>
      </c>
      <c r="C3" s="259"/>
      <c r="D3" s="259"/>
      <c r="E3" s="260"/>
      <c r="F3" s="259"/>
      <c r="G3" s="259"/>
      <c r="H3" s="259"/>
      <c r="I3" s="259"/>
      <c r="J3" s="259"/>
      <c r="K3" s="260"/>
      <c r="L3" s="259"/>
      <c r="M3" s="259"/>
      <c r="N3" s="261"/>
      <c r="O3" s="258" t="s">
        <v>19</v>
      </c>
      <c r="P3" s="259"/>
      <c r="Q3" s="257"/>
      <c r="R3" s="262" t="s">
        <v>20</v>
      </c>
      <c r="S3" s="40"/>
    </row>
    <row r="4" spans="1:19" ht="12">
      <c r="A4" s="263" t="s">
        <v>21</v>
      </c>
      <c r="B4" s="264" t="s">
        <v>22</v>
      </c>
      <c r="C4" s="265" t="s">
        <v>23</v>
      </c>
      <c r="D4" s="265" t="s">
        <v>24</v>
      </c>
      <c r="E4" s="265" t="s">
        <v>25</v>
      </c>
      <c r="F4" s="264" t="s">
        <v>26</v>
      </c>
      <c r="G4" s="265" t="s">
        <v>27</v>
      </c>
      <c r="H4" s="264" t="s">
        <v>28</v>
      </c>
      <c r="I4" s="264" t="s">
        <v>29</v>
      </c>
      <c r="J4" s="264" t="s">
        <v>560</v>
      </c>
      <c r="K4" s="265" t="s">
        <v>30</v>
      </c>
      <c r="L4" s="265" t="s">
        <v>31</v>
      </c>
      <c r="M4" s="263" t="s">
        <v>32</v>
      </c>
      <c r="N4" s="266"/>
      <c r="O4" s="267">
        <v>2007</v>
      </c>
      <c r="P4" s="267">
        <v>2008</v>
      </c>
      <c r="Q4" s="266"/>
      <c r="R4" s="267" t="s">
        <v>390</v>
      </c>
      <c r="S4" s="40"/>
    </row>
    <row r="5" spans="1:19" ht="12">
      <c r="A5" s="42"/>
      <c r="B5" s="484" t="s">
        <v>2</v>
      </c>
      <c r="C5" s="43"/>
      <c r="D5" s="43"/>
      <c r="E5" s="44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2"/>
      <c r="R5" s="485" t="s">
        <v>17</v>
      </c>
      <c r="S5" s="40"/>
    </row>
    <row r="6" spans="1:19" ht="9.75" customHeight="1">
      <c r="A6" s="42"/>
      <c r="B6" s="42"/>
      <c r="C6" s="45" t="s">
        <v>15</v>
      </c>
      <c r="D6" s="42"/>
      <c r="E6" s="42"/>
      <c r="F6" s="42"/>
      <c r="G6" s="42"/>
      <c r="H6" s="45" t="s">
        <v>15</v>
      </c>
      <c r="I6" s="42"/>
      <c r="J6" s="42"/>
      <c r="K6" s="42"/>
      <c r="L6" s="42"/>
      <c r="M6" s="42"/>
      <c r="N6" s="42"/>
      <c r="O6" s="42"/>
      <c r="P6" s="42"/>
      <c r="Q6" s="42"/>
      <c r="R6" s="257"/>
      <c r="S6" s="40"/>
    </row>
    <row r="7" spans="1:19" ht="10.5" customHeight="1">
      <c r="A7" s="45" t="s">
        <v>33</v>
      </c>
      <c r="B7" s="344"/>
      <c r="C7" s="344"/>
      <c r="D7" s="344">
        <v>79</v>
      </c>
      <c r="E7" s="344">
        <v>1162</v>
      </c>
      <c r="F7" s="344">
        <v>1124</v>
      </c>
      <c r="G7" s="344"/>
      <c r="H7" s="344"/>
      <c r="I7" s="344">
        <v>2087</v>
      </c>
      <c r="J7" s="344"/>
      <c r="K7" s="344"/>
      <c r="L7" s="344">
        <v>21</v>
      </c>
      <c r="M7" s="345">
        <f>+P7-SUM(B7:L7)</f>
        <v>69</v>
      </c>
      <c r="N7" s="346" t="s">
        <v>15</v>
      </c>
      <c r="O7" s="344">
        <v>3832</v>
      </c>
      <c r="P7" s="344">
        <v>4542</v>
      </c>
      <c r="Q7" s="46"/>
      <c r="R7" s="268">
        <f>+((P7/O7)-1)*100</f>
        <v>18.528183716075162</v>
      </c>
      <c r="S7" s="47"/>
    </row>
    <row r="8" spans="1:19" ht="10.5" customHeight="1">
      <c r="A8" s="45" t="s">
        <v>34</v>
      </c>
      <c r="B8" s="344"/>
      <c r="C8" s="344"/>
      <c r="D8" s="344">
        <v>59</v>
      </c>
      <c r="E8" s="344"/>
      <c r="F8" s="344"/>
      <c r="G8" s="344">
        <v>1369</v>
      </c>
      <c r="H8" s="344"/>
      <c r="I8" s="344">
        <v>110</v>
      </c>
      <c r="J8" s="344"/>
      <c r="K8" s="344"/>
      <c r="L8" s="344">
        <v>60</v>
      </c>
      <c r="M8" s="345">
        <f>+P8-SUM(B8:L8)</f>
        <v>0</v>
      </c>
      <c r="N8" s="344"/>
      <c r="O8" s="344">
        <v>1186</v>
      </c>
      <c r="P8" s="344">
        <v>1598</v>
      </c>
      <c r="Q8" s="46"/>
      <c r="R8" s="268">
        <f>+((P8/O8)-1)*100</f>
        <v>34.738617200674526</v>
      </c>
      <c r="S8" s="47"/>
    </row>
    <row r="9" spans="1:19" ht="10.5" customHeight="1">
      <c r="A9" s="45" t="s">
        <v>35</v>
      </c>
      <c r="B9" s="344"/>
      <c r="C9" s="344">
        <v>496</v>
      </c>
      <c r="D9" s="344">
        <v>465</v>
      </c>
      <c r="E9" s="344">
        <v>32</v>
      </c>
      <c r="F9" s="344">
        <v>274</v>
      </c>
      <c r="G9" s="344">
        <v>1075</v>
      </c>
      <c r="H9" s="344"/>
      <c r="I9" s="344">
        <v>6660</v>
      </c>
      <c r="J9" s="344"/>
      <c r="K9" s="344">
        <v>160</v>
      </c>
      <c r="L9" s="344">
        <v>558</v>
      </c>
      <c r="M9" s="345">
        <f>+P9-SUM(B9:L9)</f>
        <v>537</v>
      </c>
      <c r="N9" s="344"/>
      <c r="O9" s="344">
        <v>11778</v>
      </c>
      <c r="P9" s="344">
        <v>10257</v>
      </c>
      <c r="Q9" s="46"/>
      <c r="R9" s="268">
        <f>+((P9/O9)-1)*100</f>
        <v>-12.91390728476821</v>
      </c>
      <c r="S9" s="47"/>
    </row>
    <row r="10" spans="1:19" ht="10.5" customHeight="1">
      <c r="A10" s="48" t="s">
        <v>36</v>
      </c>
      <c r="B10" s="344">
        <v>26</v>
      </c>
      <c r="C10" s="344">
        <v>116</v>
      </c>
      <c r="D10" s="344">
        <v>33</v>
      </c>
      <c r="E10" s="344">
        <v>117</v>
      </c>
      <c r="F10" s="344">
        <v>274</v>
      </c>
      <c r="G10" s="344">
        <v>297</v>
      </c>
      <c r="H10" s="344">
        <v>141</v>
      </c>
      <c r="I10" s="344"/>
      <c r="J10" s="344"/>
      <c r="K10" s="344"/>
      <c r="L10" s="344"/>
      <c r="M10" s="345">
        <f>+P10-SUM(B10:L10)</f>
        <v>19</v>
      </c>
      <c r="N10" s="344"/>
      <c r="O10" s="344">
        <v>813</v>
      </c>
      <c r="P10" s="344">
        <v>1023</v>
      </c>
      <c r="Q10" s="46"/>
      <c r="R10" s="268">
        <f>+((P10/O10)-1)*100</f>
        <v>25.830258302583033</v>
      </c>
      <c r="S10" s="47"/>
    </row>
    <row r="11" spans="1:18" ht="10.5" customHeight="1">
      <c r="A11" s="48" t="s">
        <v>37</v>
      </c>
      <c r="B11" s="344">
        <v>8</v>
      </c>
      <c r="C11" s="344"/>
      <c r="D11" s="344">
        <v>17</v>
      </c>
      <c r="E11" s="344">
        <v>29</v>
      </c>
      <c r="F11" s="344">
        <v>710</v>
      </c>
      <c r="G11" s="344"/>
      <c r="H11" s="344">
        <v>39</v>
      </c>
      <c r="I11" s="344">
        <v>20</v>
      </c>
      <c r="J11" s="344"/>
      <c r="K11" s="344">
        <v>25</v>
      </c>
      <c r="L11" s="344"/>
      <c r="M11" s="345">
        <f>+P11-SUM(B11:L11)</f>
        <v>144</v>
      </c>
      <c r="N11" s="347"/>
      <c r="O11" s="344">
        <v>663</v>
      </c>
      <c r="P11" s="344">
        <v>992</v>
      </c>
      <c r="R11" s="268">
        <f>+((P11/O11)-1)*100</f>
        <v>49.62292609351433</v>
      </c>
    </row>
    <row r="12" spans="1:19" ht="4.5" customHeight="1">
      <c r="A12" s="42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46"/>
      <c r="R12" s="268"/>
      <c r="S12" s="47"/>
    </row>
    <row r="13" spans="1:19" ht="10.5" customHeight="1">
      <c r="A13" s="45" t="s">
        <v>38</v>
      </c>
      <c r="B13" s="344">
        <v>317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5">
        <f>+P13-SUM(B13:L13)</f>
        <v>0</v>
      </c>
      <c r="N13" s="344"/>
      <c r="O13" s="344">
        <v>302</v>
      </c>
      <c r="P13" s="344">
        <v>317</v>
      </c>
      <c r="Q13" s="46"/>
      <c r="R13" s="268">
        <f>+((P13/O13)-1)*100</f>
        <v>4.966887417218535</v>
      </c>
      <c r="S13" s="47"/>
    </row>
    <row r="14" spans="1:19" ht="10.5" customHeight="1">
      <c r="A14" s="45" t="s">
        <v>39</v>
      </c>
      <c r="B14" s="344">
        <v>239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5">
        <f>+P14-SUM(B14:L14)</f>
        <v>0</v>
      </c>
      <c r="N14" s="344"/>
      <c r="O14" s="344">
        <v>377</v>
      </c>
      <c r="P14" s="344">
        <v>239</v>
      </c>
      <c r="Q14" s="46"/>
      <c r="R14" s="268">
        <f>+((P14/O14)-1)*100</f>
        <v>-36.604774535809014</v>
      </c>
      <c r="S14" s="47"/>
    </row>
    <row r="15" spans="1:19" ht="10.5" customHeight="1">
      <c r="A15" s="45" t="s">
        <v>40</v>
      </c>
      <c r="B15" s="344">
        <v>125</v>
      </c>
      <c r="C15" s="344"/>
      <c r="D15" s="344"/>
      <c r="E15" s="344"/>
      <c r="F15" s="344"/>
      <c r="G15" s="344"/>
      <c r="H15" s="344"/>
      <c r="I15" s="344"/>
      <c r="J15" s="344">
        <v>269</v>
      </c>
      <c r="K15" s="344"/>
      <c r="L15" s="344"/>
      <c r="M15" s="345">
        <f>+P15-SUM(B15:L15)</f>
        <v>0</v>
      </c>
      <c r="N15" s="344"/>
      <c r="O15" s="344">
        <v>497</v>
      </c>
      <c r="P15" s="344">
        <v>394</v>
      </c>
      <c r="Q15" s="46"/>
      <c r="R15" s="268">
        <f>+((P15/O15)-1)*100</f>
        <v>-20.724346076458755</v>
      </c>
      <c r="S15" s="47"/>
    </row>
    <row r="16" spans="1:19" ht="10.5" customHeight="1">
      <c r="A16" s="45" t="s">
        <v>41</v>
      </c>
      <c r="B16" s="344"/>
      <c r="C16" s="344"/>
      <c r="D16" s="344">
        <v>140</v>
      </c>
      <c r="E16" s="344"/>
      <c r="F16" s="344">
        <v>143</v>
      </c>
      <c r="G16" s="344"/>
      <c r="H16" s="344"/>
      <c r="I16" s="344">
        <v>211</v>
      </c>
      <c r="J16" s="344"/>
      <c r="K16" s="344">
        <v>63</v>
      </c>
      <c r="L16" s="344"/>
      <c r="M16" s="345">
        <f>+P16-SUM(B16:L16)</f>
        <v>0</v>
      </c>
      <c r="N16" s="344"/>
      <c r="O16" s="344">
        <v>578</v>
      </c>
      <c r="P16" s="344">
        <v>557</v>
      </c>
      <c r="Q16" s="46"/>
      <c r="R16" s="268">
        <f>+((P16/O16)-1)*100</f>
        <v>-3.633217993079585</v>
      </c>
      <c r="S16" s="47"/>
    </row>
    <row r="17" spans="1:19" ht="4.5" customHeight="1">
      <c r="A17" s="42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46"/>
      <c r="R17" s="268"/>
      <c r="S17" s="47"/>
    </row>
    <row r="18" spans="1:19" ht="10.5" customHeight="1">
      <c r="A18" s="45" t="s">
        <v>42</v>
      </c>
      <c r="B18" s="344"/>
      <c r="C18" s="344"/>
      <c r="D18" s="344">
        <v>215</v>
      </c>
      <c r="E18" s="344">
        <v>425</v>
      </c>
      <c r="F18" s="344">
        <v>29</v>
      </c>
      <c r="G18" s="344"/>
      <c r="H18" s="344"/>
      <c r="I18" s="344">
        <v>85</v>
      </c>
      <c r="J18" s="344"/>
      <c r="K18" s="344">
        <v>62</v>
      </c>
      <c r="L18" s="344"/>
      <c r="M18" s="345">
        <f aca="true" t="shared" si="0" ref="M18:M24">+P18-SUM(B18:L18)</f>
        <v>0</v>
      </c>
      <c r="N18" s="344"/>
      <c r="O18" s="344">
        <v>537</v>
      </c>
      <c r="P18" s="344">
        <v>816</v>
      </c>
      <c r="Q18" s="46"/>
      <c r="R18" s="268">
        <f aca="true" t="shared" si="1" ref="R18:R24">+((P18/O18)-1)*100</f>
        <v>51.955307262569825</v>
      </c>
      <c r="S18" s="47"/>
    </row>
    <row r="19" spans="1:19" ht="10.5" customHeight="1">
      <c r="A19" s="45" t="s">
        <v>43</v>
      </c>
      <c r="B19" s="344">
        <v>21</v>
      </c>
      <c r="C19" s="344"/>
      <c r="D19" s="344">
        <v>12</v>
      </c>
      <c r="E19" s="344">
        <v>108</v>
      </c>
      <c r="F19" s="344"/>
      <c r="G19" s="344"/>
      <c r="H19" s="344"/>
      <c r="I19" s="344"/>
      <c r="J19" s="344"/>
      <c r="K19" s="344"/>
      <c r="L19" s="344"/>
      <c r="M19" s="345">
        <f t="shared" si="0"/>
        <v>0</v>
      </c>
      <c r="N19" s="344"/>
      <c r="O19" s="344">
        <v>124</v>
      </c>
      <c r="P19" s="344">
        <v>141</v>
      </c>
      <c r="Q19" s="46"/>
      <c r="R19" s="268">
        <f t="shared" si="1"/>
        <v>13.709677419354849</v>
      </c>
      <c r="S19" s="47"/>
    </row>
    <row r="20" spans="1:19" ht="10.5" customHeight="1">
      <c r="A20" s="45" t="s">
        <v>44</v>
      </c>
      <c r="B20" s="344">
        <f>+B21+B22</f>
        <v>116</v>
      </c>
      <c r="C20" s="344"/>
      <c r="D20" s="344">
        <f>+D21+D22</f>
        <v>362</v>
      </c>
      <c r="E20" s="344"/>
      <c r="F20" s="344"/>
      <c r="G20" s="344"/>
      <c r="H20" s="344"/>
      <c r="I20" s="344">
        <f>+I21+I22</f>
        <v>119</v>
      </c>
      <c r="J20" s="344"/>
      <c r="K20" s="344">
        <f>+K21+K22</f>
        <v>446</v>
      </c>
      <c r="L20" s="344"/>
      <c r="M20" s="345">
        <f t="shared" si="0"/>
        <v>55</v>
      </c>
      <c r="N20" s="344"/>
      <c r="O20" s="344">
        <f>+O21+O22</f>
        <v>1515</v>
      </c>
      <c r="P20" s="344">
        <f>+P21+P22</f>
        <v>1098</v>
      </c>
      <c r="Q20" s="46"/>
      <c r="R20" s="268">
        <f t="shared" si="1"/>
        <v>-27.524752475247528</v>
      </c>
      <c r="S20" s="47"/>
    </row>
    <row r="21" spans="1:19" ht="10.5" customHeight="1">
      <c r="A21" s="48" t="s">
        <v>181</v>
      </c>
      <c r="B21" s="344"/>
      <c r="C21" s="344"/>
      <c r="D21" s="344">
        <v>45</v>
      </c>
      <c r="E21" s="344"/>
      <c r="F21" s="344"/>
      <c r="G21" s="344"/>
      <c r="H21" s="344"/>
      <c r="I21" s="344">
        <v>44</v>
      </c>
      <c r="J21" s="344"/>
      <c r="K21" s="344"/>
      <c r="L21" s="344"/>
      <c r="M21" s="345">
        <f t="shared" si="0"/>
        <v>20</v>
      </c>
      <c r="N21" s="344"/>
      <c r="O21" s="344">
        <v>129</v>
      </c>
      <c r="P21" s="344">
        <v>109</v>
      </c>
      <c r="Q21" s="46"/>
      <c r="R21" s="268">
        <f t="shared" si="1"/>
        <v>-15.503875968992254</v>
      </c>
      <c r="S21" s="47"/>
    </row>
    <row r="22" spans="1:19" ht="10.5" customHeight="1">
      <c r="A22" s="48" t="s">
        <v>182</v>
      </c>
      <c r="B22" s="344">
        <v>116</v>
      </c>
      <c r="C22" s="344"/>
      <c r="D22" s="344">
        <v>317</v>
      </c>
      <c r="E22" s="344"/>
      <c r="F22" s="344"/>
      <c r="G22" s="344"/>
      <c r="H22" s="344"/>
      <c r="I22" s="344">
        <v>75</v>
      </c>
      <c r="J22" s="344"/>
      <c r="K22" s="344">
        <v>446</v>
      </c>
      <c r="L22" s="344"/>
      <c r="M22" s="345">
        <f t="shared" si="0"/>
        <v>35</v>
      </c>
      <c r="N22" s="344"/>
      <c r="O22" s="344">
        <v>1386</v>
      </c>
      <c r="P22" s="344">
        <v>989</v>
      </c>
      <c r="Q22" s="46"/>
      <c r="R22" s="268">
        <f t="shared" si="1"/>
        <v>-28.64357864357865</v>
      </c>
      <c r="S22" s="47"/>
    </row>
    <row r="23" spans="1:19" ht="10.5" customHeight="1">
      <c r="A23" s="45" t="s">
        <v>45</v>
      </c>
      <c r="B23" s="344"/>
      <c r="C23" s="344"/>
      <c r="D23" s="344">
        <v>38</v>
      </c>
      <c r="E23" s="344">
        <v>1691</v>
      </c>
      <c r="F23" s="344">
        <v>201</v>
      </c>
      <c r="G23" s="344">
        <v>69</v>
      </c>
      <c r="H23" s="344">
        <v>133</v>
      </c>
      <c r="I23" s="344">
        <v>731</v>
      </c>
      <c r="J23" s="344"/>
      <c r="K23" s="344">
        <v>46</v>
      </c>
      <c r="L23" s="344"/>
      <c r="M23" s="345">
        <f t="shared" si="0"/>
        <v>14</v>
      </c>
      <c r="N23" s="344"/>
      <c r="O23" s="344">
        <v>2803</v>
      </c>
      <c r="P23" s="344">
        <v>2923</v>
      </c>
      <c r="Q23" s="46"/>
      <c r="R23" s="268">
        <f t="shared" si="1"/>
        <v>4.281127363539072</v>
      </c>
      <c r="S23" s="47"/>
    </row>
    <row r="24" spans="1:19" ht="10.5" customHeight="1">
      <c r="A24" s="45" t="s">
        <v>46</v>
      </c>
      <c r="B24" s="344">
        <v>108</v>
      </c>
      <c r="C24" s="344">
        <v>48</v>
      </c>
      <c r="D24" s="344">
        <v>42</v>
      </c>
      <c r="E24" s="344">
        <v>43</v>
      </c>
      <c r="F24" s="344">
        <v>73</v>
      </c>
      <c r="G24" s="344">
        <v>75</v>
      </c>
      <c r="H24" s="344">
        <v>11</v>
      </c>
      <c r="I24" s="344">
        <v>25</v>
      </c>
      <c r="J24" s="344">
        <v>14</v>
      </c>
      <c r="K24" s="344">
        <v>83</v>
      </c>
      <c r="L24" s="344">
        <v>66</v>
      </c>
      <c r="M24" s="345">
        <f t="shared" si="0"/>
        <v>73</v>
      </c>
      <c r="N24" s="344"/>
      <c r="O24" s="344">
        <v>581</v>
      </c>
      <c r="P24" s="344">
        <v>661</v>
      </c>
      <c r="Q24" s="46"/>
      <c r="R24" s="268">
        <f t="shared" si="1"/>
        <v>13.769363166953518</v>
      </c>
      <c r="S24" s="47"/>
    </row>
    <row r="25" spans="1:19" ht="9" customHeight="1">
      <c r="A25" s="42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46"/>
      <c r="R25" s="269"/>
      <c r="S25" s="47"/>
    </row>
    <row r="26" spans="1:19" ht="10.5" customHeight="1">
      <c r="A26" s="462" t="s">
        <v>47</v>
      </c>
      <c r="B26" s="467">
        <f aca="true" t="shared" si="2" ref="B26:L26">SUM(B7:B24)-B20</f>
        <v>960</v>
      </c>
      <c r="C26" s="467">
        <f t="shared" si="2"/>
        <v>660</v>
      </c>
      <c r="D26" s="467">
        <f t="shared" si="2"/>
        <v>1462</v>
      </c>
      <c r="E26" s="467">
        <f t="shared" si="2"/>
        <v>3607</v>
      </c>
      <c r="F26" s="467">
        <f t="shared" si="2"/>
        <v>2828</v>
      </c>
      <c r="G26" s="467">
        <f t="shared" si="2"/>
        <v>2885</v>
      </c>
      <c r="H26" s="467">
        <f t="shared" si="2"/>
        <v>324</v>
      </c>
      <c r="I26" s="467">
        <f t="shared" si="2"/>
        <v>10048</v>
      </c>
      <c r="J26" s="467">
        <f t="shared" si="2"/>
        <v>283</v>
      </c>
      <c r="K26" s="467">
        <f t="shared" si="2"/>
        <v>885</v>
      </c>
      <c r="L26" s="467">
        <f t="shared" si="2"/>
        <v>705</v>
      </c>
      <c r="M26" s="468">
        <f>+P26-SUM(B26:L26)</f>
        <v>911</v>
      </c>
      <c r="N26" s="467"/>
      <c r="O26" s="467">
        <f>SUM(O7:O24)-O21-O22</f>
        <v>25586</v>
      </c>
      <c r="P26" s="467">
        <f>SUM(P7:P24)-P21-P22</f>
        <v>25558</v>
      </c>
      <c r="Q26" s="466"/>
      <c r="R26" s="270">
        <f>+((P26/O26)-1)*100</f>
        <v>-0.10943484718205498</v>
      </c>
      <c r="S26" s="47"/>
    </row>
    <row r="27" spans="1:19" ht="12.75" customHeight="1">
      <c r="A27" s="49" t="s">
        <v>564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0"/>
    </row>
    <row r="28" spans="1:19" ht="18.75" customHeight="1">
      <c r="A28" s="98" t="s">
        <v>551</v>
      </c>
      <c r="B28" s="50"/>
      <c r="C28" s="42"/>
      <c r="D28" s="42"/>
      <c r="E28" s="42"/>
      <c r="F28" s="42"/>
      <c r="G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0"/>
    </row>
    <row r="29" spans="1:18" ht="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6" ht="12">
      <c r="A30" s="393" t="s">
        <v>385</v>
      </c>
      <c r="P30" s="136"/>
    </row>
  </sheetData>
  <printOptions horizontalCentered="1"/>
  <pageMargins left="0.417" right="0.417" top="0.25" bottom="0.6" header="0" footer="0.2"/>
  <pageSetup fitToHeight="1" fitToWidth="1" horizontalDpi="600" verticalDpi="600" orientation="portrait" scale="97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1"/>
    <pageSetUpPr fitToPage="1"/>
  </sheetPr>
  <dimension ref="A2:R31"/>
  <sheetViews>
    <sheetView showGridLines="0" workbookViewId="0" topLeftCell="A1">
      <selection activeCell="C7" sqref="C7"/>
    </sheetView>
  </sheetViews>
  <sheetFormatPr defaultColWidth="9.7109375" defaultRowHeight="12.75"/>
  <cols>
    <col min="1" max="1" width="13.140625" style="41" customWidth="1"/>
    <col min="2" max="7" width="5.28125" style="41" customWidth="1"/>
    <col min="8" max="8" width="5.00390625" style="41" customWidth="1"/>
    <col min="9" max="9" width="5.7109375" style="41" customWidth="1"/>
    <col min="10" max="11" width="5.00390625" style="41" customWidth="1"/>
    <col min="12" max="12" width="5.7109375" style="41" customWidth="1"/>
    <col min="13" max="13" width="0.85546875" style="41" customWidth="1"/>
    <col min="14" max="15" width="6.57421875" style="41" customWidth="1"/>
    <col min="16" max="16" width="0.71875" style="41" customWidth="1"/>
    <col min="17" max="17" width="9.140625" style="41" customWidth="1"/>
    <col min="18" max="16384" width="9.7109375" style="41" customWidth="1"/>
  </cols>
  <sheetData>
    <row r="2" spans="1:18" ht="12">
      <c r="A2" s="170" t="s">
        <v>549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">
      <c r="A3" s="257"/>
      <c r="B3" s="258" t="s">
        <v>367</v>
      </c>
      <c r="C3" s="259"/>
      <c r="D3" s="259"/>
      <c r="E3" s="260"/>
      <c r="F3" s="259"/>
      <c r="G3" s="259"/>
      <c r="H3" s="259"/>
      <c r="I3" s="259"/>
      <c r="J3" s="260"/>
      <c r="K3" s="259"/>
      <c r="L3" s="259"/>
      <c r="M3" s="261"/>
      <c r="N3" s="258" t="s">
        <v>19</v>
      </c>
      <c r="O3" s="259"/>
      <c r="P3" s="257"/>
      <c r="Q3" s="262" t="s">
        <v>20</v>
      </c>
      <c r="R3" s="40"/>
    </row>
    <row r="4" spans="1:18" ht="12">
      <c r="A4" s="263" t="s">
        <v>21</v>
      </c>
      <c r="B4" s="264" t="s">
        <v>22</v>
      </c>
      <c r="C4" s="265" t="s">
        <v>23</v>
      </c>
      <c r="D4" s="265" t="s">
        <v>24</v>
      </c>
      <c r="E4" s="265" t="s">
        <v>25</v>
      </c>
      <c r="F4" s="264" t="s">
        <v>26</v>
      </c>
      <c r="G4" s="265" t="s">
        <v>27</v>
      </c>
      <c r="H4" s="264" t="s">
        <v>28</v>
      </c>
      <c r="I4" s="265" t="s">
        <v>29</v>
      </c>
      <c r="J4" s="265" t="s">
        <v>30</v>
      </c>
      <c r="K4" s="265" t="s">
        <v>31</v>
      </c>
      <c r="L4" s="263" t="s">
        <v>32</v>
      </c>
      <c r="M4" s="266"/>
      <c r="N4" s="267">
        <v>2006</v>
      </c>
      <c r="O4" s="267">
        <v>2007</v>
      </c>
      <c r="P4" s="266"/>
      <c r="Q4" s="267" t="s">
        <v>284</v>
      </c>
      <c r="R4" s="40"/>
    </row>
    <row r="5" spans="1:18" ht="12">
      <c r="A5" s="42"/>
      <c r="B5" s="484" t="s">
        <v>2</v>
      </c>
      <c r="C5" s="43"/>
      <c r="D5" s="43"/>
      <c r="E5" s="44"/>
      <c r="F5" s="43"/>
      <c r="G5" s="43"/>
      <c r="H5" s="43"/>
      <c r="I5" s="43"/>
      <c r="J5" s="44"/>
      <c r="K5" s="43"/>
      <c r="L5" s="43"/>
      <c r="M5" s="43"/>
      <c r="N5" s="43"/>
      <c r="O5" s="43"/>
      <c r="P5" s="42"/>
      <c r="Q5" s="485" t="s">
        <v>17</v>
      </c>
      <c r="R5" s="40"/>
    </row>
    <row r="6" spans="1:18" ht="9.75" customHeight="1">
      <c r="A6" s="42"/>
      <c r="B6" s="42"/>
      <c r="C6" s="45" t="s">
        <v>15</v>
      </c>
      <c r="D6" s="42"/>
      <c r="E6" s="42"/>
      <c r="F6" s="42"/>
      <c r="G6" s="42"/>
      <c r="H6" s="45" t="s">
        <v>15</v>
      </c>
      <c r="I6" s="42"/>
      <c r="J6" s="42"/>
      <c r="K6" s="42"/>
      <c r="L6" s="42"/>
      <c r="M6" s="42"/>
      <c r="N6" s="42"/>
      <c r="O6" s="42"/>
      <c r="P6" s="42"/>
      <c r="Q6" s="257"/>
      <c r="R6" s="40"/>
    </row>
    <row r="7" spans="1:18" ht="10.5" customHeight="1">
      <c r="A7" s="45" t="s">
        <v>33</v>
      </c>
      <c r="B7" s="344"/>
      <c r="C7" s="344"/>
      <c r="D7" s="344">
        <v>88</v>
      </c>
      <c r="E7" s="344">
        <v>990</v>
      </c>
      <c r="F7" s="344">
        <v>999</v>
      </c>
      <c r="G7" s="344"/>
      <c r="H7" s="344"/>
      <c r="I7" s="344">
        <v>1636</v>
      </c>
      <c r="J7" s="344"/>
      <c r="K7" s="344">
        <v>20</v>
      </c>
      <c r="L7" s="345">
        <f>+O7-SUM(B7:K7)</f>
        <v>99</v>
      </c>
      <c r="M7" s="346" t="s">
        <v>15</v>
      </c>
      <c r="N7" s="344">
        <v>4353</v>
      </c>
      <c r="O7" s="344">
        <v>3832</v>
      </c>
      <c r="P7" s="46"/>
      <c r="Q7" s="268">
        <f>+((O7/N7)-1)*100</f>
        <v>-11.968757178957045</v>
      </c>
      <c r="R7" s="47"/>
    </row>
    <row r="8" spans="1:18" ht="10.5" customHeight="1">
      <c r="A8" s="45" t="s">
        <v>34</v>
      </c>
      <c r="B8" s="344"/>
      <c r="C8" s="344"/>
      <c r="D8" s="344">
        <v>49</v>
      </c>
      <c r="E8" s="344"/>
      <c r="F8" s="344"/>
      <c r="G8" s="344">
        <v>991</v>
      </c>
      <c r="H8" s="344"/>
      <c r="I8" s="344">
        <v>113</v>
      </c>
      <c r="J8" s="344"/>
      <c r="K8" s="344">
        <v>33</v>
      </c>
      <c r="L8" s="345">
        <f>+O8-SUM(B8:K8)</f>
        <v>0</v>
      </c>
      <c r="M8" s="344"/>
      <c r="N8" s="344">
        <v>1190</v>
      </c>
      <c r="O8" s="344">
        <v>1186</v>
      </c>
      <c r="P8" s="46"/>
      <c r="Q8" s="268">
        <f>+((O8/N8)-1)*100</f>
        <v>-0.3361344537815114</v>
      </c>
      <c r="R8" s="47"/>
    </row>
    <row r="9" spans="1:18" ht="10.5" customHeight="1">
      <c r="A9" s="45" t="s">
        <v>35</v>
      </c>
      <c r="B9" s="344"/>
      <c r="C9" s="344">
        <v>562</v>
      </c>
      <c r="D9" s="344">
        <v>620</v>
      </c>
      <c r="E9" s="344">
        <v>58</v>
      </c>
      <c r="F9" s="344">
        <v>367</v>
      </c>
      <c r="G9" s="344">
        <v>1132</v>
      </c>
      <c r="H9" s="344"/>
      <c r="I9" s="344">
        <v>7760</v>
      </c>
      <c r="J9" s="344">
        <v>230</v>
      </c>
      <c r="K9" s="344">
        <v>480</v>
      </c>
      <c r="L9" s="345">
        <f>+O9-SUM(B9:K9)</f>
        <v>569</v>
      </c>
      <c r="M9" s="344"/>
      <c r="N9" s="344">
        <v>9523</v>
      </c>
      <c r="O9" s="344">
        <v>11778</v>
      </c>
      <c r="P9" s="46"/>
      <c r="Q9" s="268">
        <f>+((O9/N9)-1)*100</f>
        <v>23.679512758584487</v>
      </c>
      <c r="R9" s="47"/>
    </row>
    <row r="10" spans="1:18" ht="10.5" customHeight="1">
      <c r="A10" s="48" t="s">
        <v>36</v>
      </c>
      <c r="B10" s="344">
        <v>22</v>
      </c>
      <c r="C10" s="344">
        <v>127</v>
      </c>
      <c r="D10" s="344">
        <v>28</v>
      </c>
      <c r="E10" s="344">
        <v>99</v>
      </c>
      <c r="F10" s="344">
        <v>199</v>
      </c>
      <c r="G10" s="344">
        <v>243</v>
      </c>
      <c r="H10" s="344">
        <v>95</v>
      </c>
      <c r="I10" s="344"/>
      <c r="J10" s="344"/>
      <c r="K10" s="344"/>
      <c r="L10" s="345">
        <f>+O10-SUM(B10:K10)</f>
        <v>0</v>
      </c>
      <c r="M10" s="344"/>
      <c r="N10" s="344">
        <v>770</v>
      </c>
      <c r="O10" s="344">
        <v>813</v>
      </c>
      <c r="P10" s="46"/>
      <c r="Q10" s="268">
        <f>+((O10/N10)-1)*100</f>
        <v>5.584415584415581</v>
      </c>
      <c r="R10" s="47"/>
    </row>
    <row r="11" spans="1:17" ht="10.5" customHeight="1">
      <c r="A11" s="48" t="s">
        <v>37</v>
      </c>
      <c r="B11" s="344">
        <v>5</v>
      </c>
      <c r="C11" s="344"/>
      <c r="D11" s="344">
        <v>16</v>
      </c>
      <c r="E11" s="344">
        <v>18</v>
      </c>
      <c r="F11" s="344">
        <v>477</v>
      </c>
      <c r="G11" s="344"/>
      <c r="H11" s="344">
        <v>22</v>
      </c>
      <c r="I11" s="344">
        <v>25</v>
      </c>
      <c r="J11" s="344"/>
      <c r="K11" s="344"/>
      <c r="L11" s="345">
        <f>+O11-SUM(B11:K11)</f>
        <v>100</v>
      </c>
      <c r="M11" s="347"/>
      <c r="N11" s="344">
        <v>824</v>
      </c>
      <c r="O11" s="344">
        <v>663</v>
      </c>
      <c r="Q11" s="268">
        <f>+((O11/N11)-1)*100</f>
        <v>-19.53883495145631</v>
      </c>
    </row>
    <row r="12" spans="1:18" ht="4.5" customHeight="1">
      <c r="A12" s="42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 t="s">
        <v>15</v>
      </c>
      <c r="O12" s="344"/>
      <c r="P12" s="46"/>
      <c r="Q12" s="268"/>
      <c r="R12" s="47"/>
    </row>
    <row r="13" spans="1:18" ht="10.5" customHeight="1">
      <c r="A13" s="45" t="s">
        <v>38</v>
      </c>
      <c r="B13" s="344">
        <v>302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5">
        <f>+O13-SUM(B13:K13)</f>
        <v>0</v>
      </c>
      <c r="M13" s="344"/>
      <c r="N13" s="344">
        <v>239</v>
      </c>
      <c r="O13" s="344">
        <v>302</v>
      </c>
      <c r="P13" s="46"/>
      <c r="Q13" s="268">
        <f>+((O13/N13)-1)*100</f>
        <v>26.35983263598327</v>
      </c>
      <c r="R13" s="47"/>
    </row>
    <row r="14" spans="1:18" ht="10.5" customHeight="1">
      <c r="A14" s="45" t="s">
        <v>39</v>
      </c>
      <c r="B14" s="344">
        <v>377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5">
        <f>+O14-SUM(B14:K14)</f>
        <v>0</v>
      </c>
      <c r="M14" s="344"/>
      <c r="N14" s="344">
        <v>304</v>
      </c>
      <c r="O14" s="344">
        <v>377</v>
      </c>
      <c r="P14" s="46"/>
      <c r="Q14" s="268">
        <f>+((O14/N14)-1)*100</f>
        <v>24.013157894736835</v>
      </c>
      <c r="R14" s="47"/>
    </row>
    <row r="15" spans="1:18" ht="10.5" customHeight="1">
      <c r="A15" s="45" t="s">
        <v>233</v>
      </c>
      <c r="B15" s="344"/>
      <c r="C15" s="344"/>
      <c r="D15" s="344">
        <v>10</v>
      </c>
      <c r="E15" s="344"/>
      <c r="F15" s="344"/>
      <c r="G15" s="344"/>
      <c r="H15" s="344"/>
      <c r="I15" s="344"/>
      <c r="J15" s="344"/>
      <c r="K15" s="344"/>
      <c r="L15" s="345">
        <f>+O15-SUM(B15:K15)</f>
        <v>0</v>
      </c>
      <c r="M15" s="344"/>
      <c r="N15" s="344">
        <v>46</v>
      </c>
      <c r="O15" s="344">
        <v>10</v>
      </c>
      <c r="P15" s="46"/>
      <c r="Q15" s="268">
        <f>+((O15/N15)-1)*100</f>
        <v>-78.26086956521739</v>
      </c>
      <c r="R15" s="47"/>
    </row>
    <row r="16" spans="1:18" ht="10.5" customHeight="1">
      <c r="A16" s="45" t="s">
        <v>40</v>
      </c>
      <c r="B16" s="344">
        <v>269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5">
        <f>+O16-SUM(B16:K16)</f>
        <v>228</v>
      </c>
      <c r="M16" s="344"/>
      <c r="N16" s="344">
        <v>533</v>
      </c>
      <c r="O16" s="344">
        <v>497</v>
      </c>
      <c r="P16" s="46"/>
      <c r="Q16" s="268">
        <f>+((O16/N16)-1)*100</f>
        <v>-6.754221388367732</v>
      </c>
      <c r="R16" s="47"/>
    </row>
    <row r="17" spans="1:18" ht="10.5" customHeight="1">
      <c r="A17" s="45" t="s">
        <v>41</v>
      </c>
      <c r="B17" s="344"/>
      <c r="C17" s="344"/>
      <c r="D17" s="344">
        <v>146</v>
      </c>
      <c r="E17" s="344"/>
      <c r="F17" s="344">
        <v>134</v>
      </c>
      <c r="G17" s="344"/>
      <c r="H17" s="344"/>
      <c r="I17" s="344">
        <v>234</v>
      </c>
      <c r="J17" s="344">
        <v>53</v>
      </c>
      <c r="K17" s="344"/>
      <c r="L17" s="345">
        <f>+O17-SUM(B17:K17)</f>
        <v>11</v>
      </c>
      <c r="M17" s="344"/>
      <c r="N17" s="344">
        <v>731</v>
      </c>
      <c r="O17" s="344">
        <v>578</v>
      </c>
      <c r="P17" s="46"/>
      <c r="Q17" s="268">
        <f>+((O17/N17)-1)*100</f>
        <v>-20.93023255813954</v>
      </c>
      <c r="R17" s="47"/>
    </row>
    <row r="18" spans="1:18" ht="4.5" customHeight="1">
      <c r="A18" s="42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46"/>
      <c r="Q18" s="268"/>
      <c r="R18" s="47"/>
    </row>
    <row r="19" spans="1:18" ht="10.5" customHeight="1">
      <c r="A19" s="45" t="s">
        <v>42</v>
      </c>
      <c r="B19" s="344"/>
      <c r="C19" s="344"/>
      <c r="D19" s="344">
        <v>104</v>
      </c>
      <c r="E19" s="344">
        <v>253</v>
      </c>
      <c r="F19" s="344">
        <v>29</v>
      </c>
      <c r="G19" s="344"/>
      <c r="H19" s="344"/>
      <c r="I19" s="344">
        <v>76</v>
      </c>
      <c r="J19" s="344">
        <v>75</v>
      </c>
      <c r="K19" s="344"/>
      <c r="L19" s="345">
        <f aca="true" t="shared" si="0" ref="L19:L25">+O19-SUM(B19:K19)</f>
        <v>0</v>
      </c>
      <c r="M19" s="344"/>
      <c r="N19" s="344">
        <v>649</v>
      </c>
      <c r="O19" s="344">
        <v>537</v>
      </c>
      <c r="P19" s="46"/>
      <c r="Q19" s="268">
        <f aca="true" t="shared" si="1" ref="Q19:Q25">+((O19/N19)-1)*100</f>
        <v>-17.2573189522342</v>
      </c>
      <c r="R19" s="47"/>
    </row>
    <row r="20" spans="1:18" ht="10.5" customHeight="1">
      <c r="A20" s="45" t="s">
        <v>43</v>
      </c>
      <c r="B20" s="344">
        <v>18</v>
      </c>
      <c r="C20" s="344"/>
      <c r="D20" s="344">
        <v>18</v>
      </c>
      <c r="E20" s="344">
        <v>88</v>
      </c>
      <c r="F20" s="344"/>
      <c r="G20" s="344"/>
      <c r="H20" s="344"/>
      <c r="I20" s="344"/>
      <c r="J20" s="344"/>
      <c r="K20" s="344"/>
      <c r="L20" s="345">
        <f t="shared" si="0"/>
        <v>0</v>
      </c>
      <c r="M20" s="344"/>
      <c r="N20" s="344">
        <v>149</v>
      </c>
      <c r="O20" s="344">
        <v>124</v>
      </c>
      <c r="P20" s="46"/>
      <c r="Q20" s="268">
        <f t="shared" si="1"/>
        <v>-16.778523489932883</v>
      </c>
      <c r="R20" s="47"/>
    </row>
    <row r="21" spans="1:18" ht="10.5" customHeight="1">
      <c r="A21" s="45" t="s">
        <v>44</v>
      </c>
      <c r="B21" s="344">
        <v>114</v>
      </c>
      <c r="C21" s="344"/>
      <c r="D21" s="344">
        <f>+D22+D23</f>
        <v>432</v>
      </c>
      <c r="E21" s="344"/>
      <c r="F21" s="344"/>
      <c r="G21" s="344"/>
      <c r="H21" s="344"/>
      <c r="I21" s="344">
        <f>+I22+I23</f>
        <v>248</v>
      </c>
      <c r="J21" s="344">
        <f>+J22+J23</f>
        <v>540</v>
      </c>
      <c r="K21" s="344"/>
      <c r="L21" s="345">
        <f t="shared" si="0"/>
        <v>181</v>
      </c>
      <c r="M21" s="344"/>
      <c r="N21" s="344">
        <f>+N22+N23</f>
        <v>1539</v>
      </c>
      <c r="O21" s="344">
        <f>+O22+O23</f>
        <v>1515</v>
      </c>
      <c r="P21" s="46"/>
      <c r="Q21" s="268">
        <f t="shared" si="1"/>
        <v>-1.5594541910331383</v>
      </c>
      <c r="R21" s="47"/>
    </row>
    <row r="22" spans="1:18" ht="10.5" customHeight="1">
      <c r="A22" s="48" t="s">
        <v>181</v>
      </c>
      <c r="B22" s="344"/>
      <c r="C22" s="344"/>
      <c r="D22" s="344">
        <v>33</v>
      </c>
      <c r="E22" s="344"/>
      <c r="F22" s="344"/>
      <c r="G22" s="344"/>
      <c r="H22" s="344"/>
      <c r="I22" s="344">
        <v>62</v>
      </c>
      <c r="J22" s="344">
        <v>20</v>
      </c>
      <c r="K22" s="344"/>
      <c r="L22" s="345">
        <f t="shared" si="0"/>
        <v>14</v>
      </c>
      <c r="M22" s="344"/>
      <c r="N22" s="344">
        <v>149</v>
      </c>
      <c r="O22" s="344">
        <v>129</v>
      </c>
      <c r="P22" s="46"/>
      <c r="Q22" s="268">
        <f t="shared" si="1"/>
        <v>-13.422818791946312</v>
      </c>
      <c r="R22" s="47"/>
    </row>
    <row r="23" spans="1:18" ht="10.5" customHeight="1">
      <c r="A23" s="48" t="s">
        <v>182</v>
      </c>
      <c r="B23" s="344">
        <v>114</v>
      </c>
      <c r="C23" s="344"/>
      <c r="D23" s="344">
        <v>399</v>
      </c>
      <c r="E23" s="344"/>
      <c r="F23" s="344"/>
      <c r="G23" s="344"/>
      <c r="H23" s="344"/>
      <c r="I23" s="344">
        <v>186</v>
      </c>
      <c r="J23" s="344">
        <v>520</v>
      </c>
      <c r="K23" s="344"/>
      <c r="L23" s="345">
        <f t="shared" si="0"/>
        <v>167</v>
      </c>
      <c r="M23" s="344"/>
      <c r="N23" s="344">
        <v>1390</v>
      </c>
      <c r="O23" s="344">
        <v>1386</v>
      </c>
      <c r="P23" s="46"/>
      <c r="Q23" s="268">
        <f t="shared" si="1"/>
        <v>-0.2877697841726645</v>
      </c>
      <c r="R23" s="47"/>
    </row>
    <row r="24" spans="1:18" ht="10.5" customHeight="1">
      <c r="A24" s="45" t="s">
        <v>45</v>
      </c>
      <c r="B24" s="344">
        <v>8</v>
      </c>
      <c r="C24" s="344"/>
      <c r="D24" s="344">
        <v>46</v>
      </c>
      <c r="E24" s="344">
        <v>1540</v>
      </c>
      <c r="F24" s="344">
        <v>378</v>
      </c>
      <c r="G24" s="344"/>
      <c r="H24" s="344">
        <v>114</v>
      </c>
      <c r="I24" s="344">
        <v>652</v>
      </c>
      <c r="J24" s="344">
        <v>53</v>
      </c>
      <c r="K24" s="344"/>
      <c r="L24" s="345">
        <f t="shared" si="0"/>
        <v>12</v>
      </c>
      <c r="M24" s="344"/>
      <c r="N24" s="344">
        <v>2673</v>
      </c>
      <c r="O24" s="344">
        <v>2803</v>
      </c>
      <c r="P24" s="46"/>
      <c r="Q24" s="268">
        <f t="shared" si="1"/>
        <v>4.863449307893752</v>
      </c>
      <c r="R24" s="47"/>
    </row>
    <row r="25" spans="1:18" ht="10.5" customHeight="1">
      <c r="A25" s="45" t="s">
        <v>46</v>
      </c>
      <c r="B25" s="344">
        <v>97</v>
      </c>
      <c r="C25" s="344">
        <v>47</v>
      </c>
      <c r="D25" s="344">
        <v>45</v>
      </c>
      <c r="E25" s="344">
        <v>74</v>
      </c>
      <c r="F25" s="344">
        <v>27</v>
      </c>
      <c r="G25" s="344">
        <v>52</v>
      </c>
      <c r="H25" s="344">
        <v>17</v>
      </c>
      <c r="I25" s="344">
        <v>29</v>
      </c>
      <c r="J25" s="344">
        <v>69</v>
      </c>
      <c r="K25" s="344">
        <v>22</v>
      </c>
      <c r="L25" s="345">
        <f t="shared" si="0"/>
        <v>92</v>
      </c>
      <c r="M25" s="344"/>
      <c r="N25" s="344">
        <v>632</v>
      </c>
      <c r="O25" s="344">
        <v>571</v>
      </c>
      <c r="P25" s="46"/>
      <c r="Q25" s="268">
        <f t="shared" si="1"/>
        <v>-9.65189873417721</v>
      </c>
      <c r="R25" s="47"/>
    </row>
    <row r="26" spans="1:18" ht="9" customHeight="1">
      <c r="A26" s="42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46"/>
      <c r="Q26" s="269"/>
      <c r="R26" s="47"/>
    </row>
    <row r="27" spans="1:18" ht="10.5" customHeight="1">
      <c r="A27" s="462" t="s">
        <v>47</v>
      </c>
      <c r="B27" s="467">
        <f aca="true" t="shared" si="2" ref="B27:K27">SUM(B7:B25)-B21</f>
        <v>1212</v>
      </c>
      <c r="C27" s="467">
        <f t="shared" si="2"/>
        <v>736</v>
      </c>
      <c r="D27" s="467">
        <f t="shared" si="2"/>
        <v>1602</v>
      </c>
      <c r="E27" s="467">
        <f t="shared" si="2"/>
        <v>3120</v>
      </c>
      <c r="F27" s="467">
        <f t="shared" si="2"/>
        <v>2610</v>
      </c>
      <c r="G27" s="467">
        <f t="shared" si="2"/>
        <v>2418</v>
      </c>
      <c r="H27" s="467">
        <f t="shared" si="2"/>
        <v>248</v>
      </c>
      <c r="I27" s="467">
        <f t="shared" si="2"/>
        <v>10773</v>
      </c>
      <c r="J27" s="467">
        <f t="shared" si="2"/>
        <v>1020</v>
      </c>
      <c r="K27" s="467">
        <f t="shared" si="2"/>
        <v>555</v>
      </c>
      <c r="L27" s="468">
        <f>+O27-SUM(B27:K27)</f>
        <v>1292</v>
      </c>
      <c r="M27" s="467"/>
      <c r="N27" s="467">
        <f>SUM(N7:N25)-N22-N23</f>
        <v>24155</v>
      </c>
      <c r="O27" s="467">
        <f>SUM(O7:O25)-O22-O23</f>
        <v>25586</v>
      </c>
      <c r="P27" s="466"/>
      <c r="Q27" s="270">
        <f>+((O27/N27)-1)*100</f>
        <v>5.924239287932109</v>
      </c>
      <c r="R27" s="47"/>
    </row>
    <row r="28" spans="1:18" ht="12.75" customHeight="1">
      <c r="A28" s="49" t="s">
        <v>234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0"/>
    </row>
    <row r="29" spans="1:18" ht="18.75" customHeight="1">
      <c r="A29" s="98" t="s">
        <v>552</v>
      </c>
      <c r="B29" s="50"/>
      <c r="C29" s="42"/>
      <c r="D29" s="42"/>
      <c r="E29" s="42"/>
      <c r="F29" s="42"/>
      <c r="G29" s="42"/>
      <c r="I29" s="42"/>
      <c r="J29" s="42"/>
      <c r="K29" s="42"/>
      <c r="L29" s="42"/>
      <c r="M29" s="42"/>
      <c r="N29" s="42"/>
      <c r="O29" s="42"/>
      <c r="P29" s="42"/>
      <c r="Q29" s="42"/>
      <c r="R29" s="40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5" ht="12">
      <c r="A31" s="393"/>
      <c r="O31" s="136"/>
    </row>
  </sheetData>
  <printOptions horizontalCentered="1"/>
  <pageMargins left="0.417" right="0.417" top="0.25" bottom="0.6" header="0" footer="0.2"/>
  <pageSetup fitToHeight="1" fitToWidth="1" horizontalDpi="600" verticalDpi="600" orientation="portrait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1"/>
    <pageSetUpPr fitToPage="1"/>
  </sheetPr>
  <dimension ref="A2:R32"/>
  <sheetViews>
    <sheetView showGridLines="0" workbookViewId="0" topLeftCell="A1">
      <selection activeCell="C7" sqref="C7"/>
    </sheetView>
  </sheetViews>
  <sheetFormatPr defaultColWidth="9.7109375" defaultRowHeight="12.75"/>
  <cols>
    <col min="1" max="1" width="13.140625" style="41" customWidth="1"/>
    <col min="2" max="7" width="5.28125" style="41" customWidth="1"/>
    <col min="8" max="8" width="5.00390625" style="41" customWidth="1"/>
    <col min="9" max="9" width="5.28125" style="41" customWidth="1"/>
    <col min="10" max="11" width="5.00390625" style="41" customWidth="1"/>
    <col min="12" max="12" width="5.7109375" style="41" customWidth="1"/>
    <col min="13" max="13" width="0.85546875" style="41" customWidth="1"/>
    <col min="14" max="15" width="6.57421875" style="41" customWidth="1"/>
    <col min="16" max="16" width="0.71875" style="41" customWidth="1"/>
    <col min="17" max="17" width="9.140625" style="41" customWidth="1"/>
    <col min="18" max="16384" width="9.7109375" style="41" customWidth="1"/>
  </cols>
  <sheetData>
    <row r="2" spans="1:18" ht="12">
      <c r="A2" s="170" t="s">
        <v>503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">
      <c r="A3" s="257"/>
      <c r="B3" s="258" t="s">
        <v>305</v>
      </c>
      <c r="C3" s="259"/>
      <c r="D3" s="259"/>
      <c r="E3" s="260"/>
      <c r="F3" s="259"/>
      <c r="G3" s="259"/>
      <c r="H3" s="259"/>
      <c r="I3" s="259"/>
      <c r="J3" s="260"/>
      <c r="K3" s="259"/>
      <c r="L3" s="259"/>
      <c r="M3" s="261"/>
      <c r="N3" s="258" t="s">
        <v>19</v>
      </c>
      <c r="O3" s="259"/>
      <c r="P3" s="257"/>
      <c r="Q3" s="262" t="s">
        <v>20</v>
      </c>
      <c r="R3" s="40"/>
    </row>
    <row r="4" spans="1:18" ht="12">
      <c r="A4" s="263" t="s">
        <v>21</v>
      </c>
      <c r="B4" s="264" t="s">
        <v>22</v>
      </c>
      <c r="C4" s="265" t="s">
        <v>23</v>
      </c>
      <c r="D4" s="265" t="s">
        <v>24</v>
      </c>
      <c r="E4" s="265" t="s">
        <v>25</v>
      </c>
      <c r="F4" s="264" t="s">
        <v>26</v>
      </c>
      <c r="G4" s="265" t="s">
        <v>27</v>
      </c>
      <c r="H4" s="264" t="s">
        <v>28</v>
      </c>
      <c r="I4" s="265" t="s">
        <v>29</v>
      </c>
      <c r="J4" s="265" t="s">
        <v>30</v>
      </c>
      <c r="K4" s="265" t="s">
        <v>31</v>
      </c>
      <c r="L4" s="263" t="s">
        <v>32</v>
      </c>
      <c r="M4" s="266"/>
      <c r="N4" s="267">
        <v>2006</v>
      </c>
      <c r="O4" s="267">
        <v>2007</v>
      </c>
      <c r="P4" s="266"/>
      <c r="Q4" s="267" t="s">
        <v>284</v>
      </c>
      <c r="R4" s="40"/>
    </row>
    <row r="5" spans="1:18" ht="12">
      <c r="A5" s="42"/>
      <c r="B5" s="484" t="s">
        <v>2</v>
      </c>
      <c r="C5" s="43"/>
      <c r="D5" s="43"/>
      <c r="E5" s="44"/>
      <c r="F5" s="43"/>
      <c r="G5" s="43"/>
      <c r="H5" s="43"/>
      <c r="I5" s="43"/>
      <c r="J5" s="44"/>
      <c r="K5" s="43"/>
      <c r="L5" s="43"/>
      <c r="M5" s="43"/>
      <c r="N5" s="43"/>
      <c r="O5" s="43"/>
      <c r="P5" s="42"/>
      <c r="Q5" s="485" t="s">
        <v>17</v>
      </c>
      <c r="R5" s="40"/>
    </row>
    <row r="6" spans="1:18" ht="9.75" customHeight="1">
      <c r="A6" s="42"/>
      <c r="B6" s="42"/>
      <c r="C6" s="45" t="s">
        <v>15</v>
      </c>
      <c r="D6" s="42"/>
      <c r="E6" s="42"/>
      <c r="F6" s="42"/>
      <c r="G6" s="42"/>
      <c r="H6" s="45" t="s">
        <v>15</v>
      </c>
      <c r="I6" s="42"/>
      <c r="J6" s="42"/>
      <c r="K6" s="42"/>
      <c r="L6" s="42"/>
      <c r="M6" s="42"/>
      <c r="N6" s="42"/>
      <c r="O6" s="42"/>
      <c r="P6" s="42"/>
      <c r="Q6" s="257"/>
      <c r="R6" s="40"/>
    </row>
    <row r="7" spans="1:18" ht="10.5" customHeight="1">
      <c r="A7" s="45" t="s">
        <v>33</v>
      </c>
      <c r="B7" s="134"/>
      <c r="C7" s="134"/>
      <c r="D7" s="134">
        <v>3.3</v>
      </c>
      <c r="E7" s="134">
        <v>61</v>
      </c>
      <c r="F7" s="134">
        <v>56</v>
      </c>
      <c r="G7" s="134"/>
      <c r="H7" s="134"/>
      <c r="I7" s="134">
        <v>96</v>
      </c>
      <c r="J7" s="134"/>
      <c r="K7" s="134">
        <v>1</v>
      </c>
      <c r="L7" s="187">
        <f>+O7-SUM(B7:K7)</f>
        <v>4.599999999999994</v>
      </c>
      <c r="M7" s="135" t="s">
        <v>15</v>
      </c>
      <c r="N7" s="137">
        <v>280.7</v>
      </c>
      <c r="O7" s="137">
        <v>221.9</v>
      </c>
      <c r="P7" s="46"/>
      <c r="Q7" s="268">
        <f>+((O7/N7)-1)*100</f>
        <v>-20.94763092269326</v>
      </c>
      <c r="R7" s="378"/>
    </row>
    <row r="8" spans="1:18" ht="10.5" customHeight="1">
      <c r="A8" s="45" t="s">
        <v>34</v>
      </c>
      <c r="B8" s="134"/>
      <c r="C8" s="134"/>
      <c r="D8" s="134">
        <v>2</v>
      </c>
      <c r="E8" s="134"/>
      <c r="F8" s="134"/>
      <c r="G8" s="134">
        <v>48</v>
      </c>
      <c r="H8" s="134"/>
      <c r="I8" s="134">
        <v>8</v>
      </c>
      <c r="J8" s="134"/>
      <c r="K8" s="134">
        <v>1.5</v>
      </c>
      <c r="L8" s="187">
        <f>+O8-SUM(B8:K8)</f>
        <v>0</v>
      </c>
      <c r="M8" s="134"/>
      <c r="N8" s="137">
        <v>69.7</v>
      </c>
      <c r="O8" s="137">
        <v>59.5</v>
      </c>
      <c r="P8" s="46"/>
      <c r="Q8" s="268">
        <f>+((O8/N8)-1)*100</f>
        <v>-14.634146341463417</v>
      </c>
      <c r="R8" s="378"/>
    </row>
    <row r="9" spans="1:18" ht="10.5" customHeight="1">
      <c r="A9" s="45" t="s">
        <v>35</v>
      </c>
      <c r="B9" s="134"/>
      <c r="C9" s="134">
        <v>37</v>
      </c>
      <c r="D9" s="134">
        <v>25</v>
      </c>
      <c r="E9" s="134">
        <v>4</v>
      </c>
      <c r="F9" s="134">
        <v>22</v>
      </c>
      <c r="G9" s="134">
        <v>48</v>
      </c>
      <c r="H9" s="134"/>
      <c r="I9" s="134">
        <v>502</v>
      </c>
      <c r="J9" s="134">
        <v>8.3</v>
      </c>
      <c r="K9" s="134">
        <v>21.5</v>
      </c>
      <c r="L9" s="187">
        <f>+O9-SUM(B9:K9)</f>
        <v>26.40000000000009</v>
      </c>
      <c r="M9" s="134"/>
      <c r="N9" s="137">
        <v>684.9</v>
      </c>
      <c r="O9" s="137">
        <v>694.2</v>
      </c>
      <c r="P9" s="46"/>
      <c r="Q9" s="268">
        <f>+((O9/N9)-1)*100</f>
        <v>1.3578624616732426</v>
      </c>
      <c r="R9" s="378"/>
    </row>
    <row r="10" spans="1:18" ht="10.5" customHeight="1">
      <c r="A10" s="48" t="s">
        <v>36</v>
      </c>
      <c r="B10" s="134">
        <v>1.5</v>
      </c>
      <c r="C10" s="134">
        <v>6</v>
      </c>
      <c r="D10" s="134">
        <v>1.3</v>
      </c>
      <c r="E10" s="134">
        <v>8.6</v>
      </c>
      <c r="F10" s="134">
        <v>11</v>
      </c>
      <c r="G10" s="134">
        <v>11.5</v>
      </c>
      <c r="H10" s="134">
        <v>7.5</v>
      </c>
      <c r="I10" s="134"/>
      <c r="J10" s="134"/>
      <c r="K10" s="134"/>
      <c r="L10" s="187">
        <f>+O10-SUM(B10:K10)</f>
        <v>0</v>
      </c>
      <c r="M10" s="134"/>
      <c r="N10" s="137">
        <v>44.4</v>
      </c>
      <c r="O10" s="137">
        <v>47.4</v>
      </c>
      <c r="P10" s="46"/>
      <c r="Q10" s="268">
        <f>+((O10/N10)-1)*100</f>
        <v>6.756756756756754</v>
      </c>
      <c r="R10" s="378"/>
    </row>
    <row r="11" spans="1:18" ht="10.5" customHeight="1">
      <c r="A11" s="48" t="s">
        <v>37</v>
      </c>
      <c r="B11" s="134">
        <v>0.5</v>
      </c>
      <c r="C11" s="134"/>
      <c r="D11" s="134">
        <v>0.9</v>
      </c>
      <c r="E11" s="134">
        <v>2.3</v>
      </c>
      <c r="F11" s="134">
        <v>27</v>
      </c>
      <c r="G11" s="134"/>
      <c r="H11" s="134">
        <v>1.5</v>
      </c>
      <c r="I11" s="134">
        <v>1.5</v>
      </c>
      <c r="J11" s="134"/>
      <c r="K11" s="134"/>
      <c r="L11" s="187">
        <f>+O11-SUM(B11:K11)</f>
        <v>6.5</v>
      </c>
      <c r="M11" s="136"/>
      <c r="N11" s="137">
        <v>48.8</v>
      </c>
      <c r="O11" s="137">
        <v>40.2</v>
      </c>
      <c r="Q11" s="268">
        <f>+((O11/N11)-1)*100</f>
        <v>-17.622950819672123</v>
      </c>
      <c r="R11" s="379"/>
    </row>
    <row r="12" spans="1:18" ht="4.5" customHeight="1">
      <c r="A12" s="42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7" t="s">
        <v>15</v>
      </c>
      <c r="O12" s="137" t="s">
        <v>15</v>
      </c>
      <c r="P12" s="46"/>
      <c r="Q12" s="268"/>
      <c r="R12" s="47"/>
    </row>
    <row r="13" spans="1:18" ht="10.5" customHeight="1">
      <c r="A13" s="45" t="s">
        <v>38</v>
      </c>
      <c r="B13" s="134">
        <v>13.9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87">
        <f>+O13-SUM(B13:K13)</f>
        <v>0</v>
      </c>
      <c r="M13" s="134"/>
      <c r="N13" s="137">
        <v>12.9</v>
      </c>
      <c r="O13" s="137">
        <v>13.9</v>
      </c>
      <c r="P13" s="46"/>
      <c r="Q13" s="268">
        <f>+((O13/N13)-1)*100</f>
        <v>7.751937984496116</v>
      </c>
      <c r="R13" s="378"/>
    </row>
    <row r="14" spans="1:18" ht="10.5" customHeight="1">
      <c r="A14" s="45" t="s">
        <v>39</v>
      </c>
      <c r="B14" s="134">
        <v>16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87">
        <f>+O14-SUM(B14:K14)</f>
        <v>0</v>
      </c>
      <c r="M14" s="134"/>
      <c r="N14" s="137">
        <v>13.5</v>
      </c>
      <c r="O14" s="137">
        <v>16</v>
      </c>
      <c r="P14" s="46"/>
      <c r="Q14" s="268">
        <f>+((O14/N14)-1)*100</f>
        <v>18.518518518518512</v>
      </c>
      <c r="R14" s="378"/>
    </row>
    <row r="15" spans="1:18" ht="10.5" customHeight="1">
      <c r="A15" s="45" t="s">
        <v>233</v>
      </c>
      <c r="B15" s="134"/>
      <c r="C15" s="134"/>
      <c r="D15" s="134">
        <v>0.4</v>
      </c>
      <c r="E15" s="134"/>
      <c r="F15" s="134"/>
      <c r="G15" s="134"/>
      <c r="H15" s="134"/>
      <c r="I15" s="134"/>
      <c r="J15" s="134"/>
      <c r="K15" s="134"/>
      <c r="L15" s="187">
        <f>+O15-SUM(B15:K15)</f>
        <v>0</v>
      </c>
      <c r="M15" s="134"/>
      <c r="N15" s="137">
        <v>2.1</v>
      </c>
      <c r="O15" s="137">
        <v>0.4</v>
      </c>
      <c r="P15" s="46"/>
      <c r="Q15" s="268">
        <f>+((O15/N15)-1)*100</f>
        <v>-80.95238095238095</v>
      </c>
      <c r="R15" s="378"/>
    </row>
    <row r="16" spans="1:18" ht="10.5" customHeight="1">
      <c r="A16" s="45" t="s">
        <v>40</v>
      </c>
      <c r="B16" s="134">
        <v>12.5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87">
        <f>+O16-SUM(B16:K16)</f>
        <v>15.3</v>
      </c>
      <c r="M16" s="134"/>
      <c r="N16" s="137">
        <v>31.4</v>
      </c>
      <c r="O16" s="137">
        <v>27.8</v>
      </c>
      <c r="P16" s="46"/>
      <c r="Q16" s="268">
        <f>+((O16/N16)-1)*100</f>
        <v>-11.46496815286624</v>
      </c>
      <c r="R16" s="378"/>
    </row>
    <row r="17" spans="1:18" ht="10.5" customHeight="1">
      <c r="A17" s="45" t="s">
        <v>41</v>
      </c>
      <c r="B17" s="134"/>
      <c r="C17" s="134"/>
      <c r="D17" s="134">
        <v>6.1</v>
      </c>
      <c r="E17" s="134"/>
      <c r="F17" s="134">
        <v>8.8</v>
      </c>
      <c r="G17" s="134"/>
      <c r="H17" s="134"/>
      <c r="I17" s="134">
        <v>13</v>
      </c>
      <c r="J17" s="134">
        <v>2.4</v>
      </c>
      <c r="K17" s="134"/>
      <c r="L17" s="187">
        <f>+O17-SUM(B17:K17)</f>
        <v>0.5000000000000036</v>
      </c>
      <c r="M17" s="134"/>
      <c r="N17" s="137">
        <v>45.3</v>
      </c>
      <c r="O17" s="137">
        <v>30.8</v>
      </c>
      <c r="P17" s="46"/>
      <c r="Q17" s="268">
        <f>+((O17/N17)-1)*100</f>
        <v>-32.00883002207505</v>
      </c>
      <c r="R17" s="378"/>
    </row>
    <row r="18" spans="1:18" ht="4.5" customHeight="1">
      <c r="A18" s="42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7"/>
      <c r="O18" s="137"/>
      <c r="P18" s="46"/>
      <c r="Q18" s="268"/>
      <c r="R18" s="47"/>
    </row>
    <row r="19" spans="1:18" ht="10.5" customHeight="1">
      <c r="A19" s="45" t="s">
        <v>42</v>
      </c>
      <c r="B19" s="134"/>
      <c r="C19" s="134"/>
      <c r="D19" s="134">
        <v>4.5</v>
      </c>
      <c r="E19" s="134">
        <v>16</v>
      </c>
      <c r="F19" s="134">
        <v>1.7</v>
      </c>
      <c r="G19" s="134"/>
      <c r="H19" s="134"/>
      <c r="I19" s="134">
        <v>5.5</v>
      </c>
      <c r="J19" s="134">
        <v>2.9</v>
      </c>
      <c r="K19" s="134"/>
      <c r="L19" s="187">
        <f aca="true" t="shared" si="0" ref="L19:L25">+O19-SUM(B19:K19)</f>
        <v>0</v>
      </c>
      <c r="M19" s="134"/>
      <c r="N19" s="137">
        <v>35.5</v>
      </c>
      <c r="O19" s="137">
        <v>30.6</v>
      </c>
      <c r="P19" s="46"/>
      <c r="Q19" s="268">
        <f aca="true" t="shared" si="1" ref="Q19:Q25">+((O19/N19)-1)*100</f>
        <v>-13.802816901408443</v>
      </c>
      <c r="R19" s="378"/>
    </row>
    <row r="20" spans="1:18" ht="10.5" customHeight="1">
      <c r="A20" s="45" t="s">
        <v>43</v>
      </c>
      <c r="B20" s="134">
        <v>0.8</v>
      </c>
      <c r="C20" s="134"/>
      <c r="D20" s="134">
        <v>0.9</v>
      </c>
      <c r="E20" s="134">
        <v>6.9</v>
      </c>
      <c r="F20" s="134"/>
      <c r="G20" s="134"/>
      <c r="H20" s="134"/>
      <c r="I20" s="134"/>
      <c r="J20" s="134"/>
      <c r="K20" s="134"/>
      <c r="L20" s="187">
        <f t="shared" si="0"/>
        <v>0</v>
      </c>
      <c r="M20" s="134"/>
      <c r="N20" s="137">
        <v>9.8</v>
      </c>
      <c r="O20" s="137">
        <v>8.6</v>
      </c>
      <c r="P20" s="46"/>
      <c r="Q20" s="268">
        <f t="shared" si="1"/>
        <v>-12.244897959183687</v>
      </c>
      <c r="R20" s="378"/>
    </row>
    <row r="21" spans="1:18" ht="10.5" customHeight="1">
      <c r="A21" s="45" t="s">
        <v>45</v>
      </c>
      <c r="B21" s="134">
        <v>0.4</v>
      </c>
      <c r="C21" s="134"/>
      <c r="D21" s="134">
        <v>2.4</v>
      </c>
      <c r="E21" s="134">
        <v>96.5</v>
      </c>
      <c r="F21" s="134">
        <v>22</v>
      </c>
      <c r="G21" s="134"/>
      <c r="H21" s="134">
        <v>7</v>
      </c>
      <c r="I21" s="134">
        <v>45</v>
      </c>
      <c r="J21" s="134">
        <v>1.9</v>
      </c>
      <c r="K21" s="134"/>
      <c r="L21" s="187">
        <f>+O21-SUM(B21:K21)</f>
        <v>0.4999999999999716</v>
      </c>
      <c r="M21" s="134"/>
      <c r="N21" s="137">
        <v>167.4</v>
      </c>
      <c r="O21" s="137">
        <v>175.7</v>
      </c>
      <c r="P21" s="46"/>
      <c r="Q21" s="268">
        <f>+((O21/N21)-1)*100</f>
        <v>4.9581839904420555</v>
      </c>
      <c r="R21" s="378"/>
    </row>
    <row r="22" spans="1:18" ht="10.5" customHeight="1">
      <c r="A22" s="45" t="s">
        <v>44</v>
      </c>
      <c r="B22" s="134">
        <f>+B23+B24</f>
        <v>6.5</v>
      </c>
      <c r="C22" s="134"/>
      <c r="D22" s="134">
        <f>+D23+D24</f>
        <v>41.5</v>
      </c>
      <c r="E22" s="134"/>
      <c r="F22" s="134"/>
      <c r="G22" s="134"/>
      <c r="H22" s="134"/>
      <c r="I22" s="134">
        <f>+I23+I24</f>
        <v>17</v>
      </c>
      <c r="J22" s="134">
        <f>+J23+J24</f>
        <v>41.5</v>
      </c>
      <c r="K22" s="134"/>
      <c r="L22" s="187">
        <f>+O22-SUM(B22:K22)</f>
        <v>18.69999999999999</v>
      </c>
      <c r="M22" s="134"/>
      <c r="N22" s="134">
        <f>+N23+N24</f>
        <v>136.8</v>
      </c>
      <c r="O22" s="134">
        <f>+O23+O24</f>
        <v>125.19999999999999</v>
      </c>
      <c r="P22" s="46"/>
      <c r="Q22" s="268">
        <f t="shared" si="1"/>
        <v>-8.479532163742709</v>
      </c>
      <c r="R22" s="378"/>
    </row>
    <row r="23" spans="1:18" ht="10.5" customHeight="1">
      <c r="A23" s="48" t="s">
        <v>181</v>
      </c>
      <c r="B23" s="134"/>
      <c r="C23" s="134"/>
      <c r="D23" s="134">
        <v>3.5</v>
      </c>
      <c r="E23" s="134"/>
      <c r="F23" s="134"/>
      <c r="G23" s="134"/>
      <c r="H23" s="134"/>
      <c r="I23" s="134">
        <v>4.5</v>
      </c>
      <c r="J23" s="134">
        <v>1.5</v>
      </c>
      <c r="K23" s="134"/>
      <c r="L23" s="187">
        <f t="shared" si="0"/>
        <v>1.5999999999999996</v>
      </c>
      <c r="M23" s="134"/>
      <c r="N23" s="137">
        <v>17.4</v>
      </c>
      <c r="O23" s="137">
        <v>11.1</v>
      </c>
      <c r="P23" s="46"/>
      <c r="Q23" s="268">
        <f t="shared" si="1"/>
        <v>-36.206896551724135</v>
      </c>
      <c r="R23" s="47"/>
    </row>
    <row r="24" spans="1:18" ht="10.5" customHeight="1">
      <c r="A24" s="48" t="s">
        <v>182</v>
      </c>
      <c r="B24" s="134">
        <v>6.5</v>
      </c>
      <c r="C24" s="134"/>
      <c r="D24" s="134">
        <v>38</v>
      </c>
      <c r="E24" s="134"/>
      <c r="F24" s="134"/>
      <c r="G24" s="134"/>
      <c r="H24" s="134"/>
      <c r="I24" s="134">
        <v>12.5</v>
      </c>
      <c r="J24" s="134">
        <v>40</v>
      </c>
      <c r="K24" s="134"/>
      <c r="L24" s="187">
        <f t="shared" si="0"/>
        <v>17.099999999999994</v>
      </c>
      <c r="M24" s="134"/>
      <c r="N24" s="137">
        <v>119.4</v>
      </c>
      <c r="O24" s="137">
        <v>114.1</v>
      </c>
      <c r="P24" s="46"/>
      <c r="Q24" s="268">
        <f t="shared" si="1"/>
        <v>-4.438860971524294</v>
      </c>
      <c r="R24" s="47"/>
    </row>
    <row r="25" spans="1:18" ht="10.5" customHeight="1">
      <c r="A25" s="45" t="s">
        <v>46</v>
      </c>
      <c r="B25" s="134">
        <f aca="true" t="shared" si="2" ref="B25:K25">+B27-SUM(B7:B22)</f>
        <v>6.900000000000006</v>
      </c>
      <c r="C25" s="134">
        <f t="shared" si="2"/>
        <v>5</v>
      </c>
      <c r="D25" s="134">
        <f t="shared" si="2"/>
        <v>1.7000000000000028</v>
      </c>
      <c r="E25" s="134">
        <f t="shared" si="2"/>
        <v>4.699999999999989</v>
      </c>
      <c r="F25" s="134">
        <f t="shared" si="2"/>
        <v>1.5</v>
      </c>
      <c r="G25" s="134">
        <f t="shared" si="2"/>
        <v>2.5</v>
      </c>
      <c r="H25" s="134">
        <f t="shared" si="2"/>
        <v>1</v>
      </c>
      <c r="I25" s="134">
        <f t="shared" si="2"/>
        <v>2</v>
      </c>
      <c r="J25" s="134">
        <f t="shared" si="2"/>
        <v>3</v>
      </c>
      <c r="K25" s="134">
        <f t="shared" si="2"/>
        <v>1</v>
      </c>
      <c r="L25" s="187">
        <f t="shared" si="0"/>
        <v>5.900000000000048</v>
      </c>
      <c r="M25" s="134"/>
      <c r="N25" s="134">
        <f>+N27-SUM(N7:N22)</f>
        <v>39.59999999999991</v>
      </c>
      <c r="O25" s="134">
        <f>+O27-SUM(O7:O22)</f>
        <v>35.200000000000045</v>
      </c>
      <c r="P25" s="46"/>
      <c r="Q25" s="268">
        <f t="shared" si="1"/>
        <v>-11.111111111110795</v>
      </c>
      <c r="R25" s="378"/>
    </row>
    <row r="26" spans="1:18" ht="9" customHeight="1">
      <c r="A26" s="42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7"/>
      <c r="O26" s="137"/>
      <c r="P26" s="46"/>
      <c r="Q26" s="269"/>
      <c r="R26" s="47"/>
    </row>
    <row r="27" spans="1:18" ht="10.5" customHeight="1">
      <c r="A27" s="462" t="s">
        <v>47</v>
      </c>
      <c r="B27" s="463">
        <v>59</v>
      </c>
      <c r="C27" s="463">
        <v>48</v>
      </c>
      <c r="D27" s="463">
        <v>90</v>
      </c>
      <c r="E27" s="463">
        <v>200</v>
      </c>
      <c r="F27" s="463">
        <v>150</v>
      </c>
      <c r="G27" s="463">
        <v>110</v>
      </c>
      <c r="H27" s="463">
        <v>17</v>
      </c>
      <c r="I27" s="463">
        <v>690</v>
      </c>
      <c r="J27" s="463">
        <v>60</v>
      </c>
      <c r="K27" s="463">
        <v>25</v>
      </c>
      <c r="L27" s="464">
        <f>+O27-SUM(B27:K27)</f>
        <v>78.40000000000009</v>
      </c>
      <c r="M27" s="463"/>
      <c r="N27" s="465">
        <v>1622.8</v>
      </c>
      <c r="O27" s="465">
        <v>1527.4</v>
      </c>
      <c r="P27" s="466"/>
      <c r="Q27" s="270">
        <f>+((O27/N27)-1)*100</f>
        <v>-5.878728124229715</v>
      </c>
      <c r="R27" s="47"/>
    </row>
    <row r="28" spans="1:18" ht="12.75" customHeight="1">
      <c r="A28" s="49" t="s">
        <v>234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0"/>
    </row>
    <row r="29" spans="1:18" ht="18.75" customHeight="1">
      <c r="A29" s="98" t="s">
        <v>388</v>
      </c>
      <c r="B29" s="50"/>
      <c r="C29" s="42"/>
      <c r="D29" s="42"/>
      <c r="E29" s="42"/>
      <c r="F29" s="42"/>
      <c r="G29" s="42"/>
      <c r="I29" s="42"/>
      <c r="J29" s="42"/>
      <c r="K29" s="394"/>
      <c r="L29" s="394"/>
      <c r="M29" s="42"/>
      <c r="N29" s="42"/>
      <c r="O29" s="394"/>
      <c r="P29" s="42"/>
      <c r="Q29" s="42"/>
      <c r="R29" s="40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5" ht="12">
      <c r="A31" s="206"/>
      <c r="O31" s="136"/>
    </row>
    <row r="32" ht="12">
      <c r="A32" s="371"/>
    </row>
  </sheetData>
  <printOptions horizontalCentered="1"/>
  <pageMargins left="0.417" right="0.417" top="0.25" bottom="0.6" header="0" footer="0.2"/>
  <pageSetup fitToHeight="1" fitToWidth="1" horizontalDpi="600" verticalDpi="600" orientation="portrait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8"/>
    <pageSetUpPr fitToPage="1"/>
  </sheetPr>
  <dimension ref="A2:AO93"/>
  <sheetViews>
    <sheetView showGridLines="0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8" sqref="B8"/>
    </sheetView>
  </sheetViews>
  <sheetFormatPr defaultColWidth="8.7109375" defaultRowHeight="12.75"/>
  <cols>
    <col min="1" max="1" width="17.8515625" style="67" customWidth="1"/>
    <col min="2" max="5" width="7.00390625" style="67" customWidth="1"/>
    <col min="6" max="6" width="1.8515625" style="67" customWidth="1"/>
    <col min="7" max="8" width="7.140625" style="67" customWidth="1"/>
    <col min="9" max="10" width="6.8515625" style="67" customWidth="1"/>
    <col min="11" max="11" width="1.421875" style="67" customWidth="1"/>
    <col min="12" max="15" width="7.00390625" style="67" customWidth="1"/>
    <col min="16" max="16" width="1.421875" style="67" customWidth="1"/>
    <col min="17" max="17" width="7.00390625" style="67" customWidth="1"/>
    <col min="18" max="18" width="1.7109375" style="67" customWidth="1"/>
    <col min="19" max="21" width="8.28125" style="67" customWidth="1"/>
    <col min="22" max="22" width="7.8515625" style="67" customWidth="1"/>
    <col min="23" max="23" width="2.57421875" style="67" customWidth="1"/>
    <col min="24" max="24" width="8.7109375" style="67" customWidth="1"/>
    <col min="25" max="25" width="7.8515625" style="67" customWidth="1"/>
    <col min="26" max="26" width="8.140625" style="67" customWidth="1"/>
    <col min="27" max="27" width="8.8515625" style="67" customWidth="1"/>
    <col min="28" max="31" width="8.28125" style="67" customWidth="1"/>
    <col min="32" max="32" width="7.7109375" style="67" customWidth="1"/>
    <col min="33" max="33" width="8.7109375" style="67" customWidth="1"/>
    <col min="34" max="34" width="9.57421875" style="67" bestFit="1" customWidth="1"/>
    <col min="35" max="16384" width="8.7109375" style="67" customWidth="1"/>
  </cols>
  <sheetData>
    <row r="2" spans="1:33" ht="12">
      <c r="A2" s="150" t="s">
        <v>394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G2" s="66"/>
    </row>
    <row r="3" spans="1:34" ht="11.25">
      <c r="A3" s="271"/>
      <c r="B3" s="272">
        <v>2006</v>
      </c>
      <c r="C3" s="272"/>
      <c r="D3" s="272"/>
      <c r="E3" s="274"/>
      <c r="F3" s="356"/>
      <c r="G3" s="272">
        <v>2007</v>
      </c>
      <c r="H3" s="273"/>
      <c r="I3" s="273"/>
      <c r="J3" s="274"/>
      <c r="K3" s="356"/>
      <c r="L3" s="272">
        <v>2008</v>
      </c>
      <c r="M3" s="273"/>
      <c r="N3" s="273"/>
      <c r="O3" s="273"/>
      <c r="P3" s="348"/>
      <c r="Q3" s="275" t="s">
        <v>566</v>
      </c>
      <c r="R3" s="271"/>
      <c r="S3" s="276" t="s">
        <v>19</v>
      </c>
      <c r="T3" s="276"/>
      <c r="U3" s="276"/>
      <c r="V3" s="277" t="s">
        <v>553</v>
      </c>
      <c r="AG3" s="66"/>
      <c r="AH3" s="147"/>
    </row>
    <row r="4" spans="1:34" ht="11.25">
      <c r="A4" s="278" t="s">
        <v>82</v>
      </c>
      <c r="B4" s="282" t="s">
        <v>298</v>
      </c>
      <c r="C4" s="280" t="s">
        <v>141</v>
      </c>
      <c r="D4" s="281" t="s">
        <v>162</v>
      </c>
      <c r="E4" s="282" t="s">
        <v>84</v>
      </c>
      <c r="F4" s="282"/>
      <c r="G4" s="282" t="s">
        <v>298</v>
      </c>
      <c r="H4" s="280" t="s">
        <v>141</v>
      </c>
      <c r="I4" s="281" t="s">
        <v>162</v>
      </c>
      <c r="J4" s="282" t="s">
        <v>84</v>
      </c>
      <c r="K4" s="282"/>
      <c r="L4" s="282" t="s">
        <v>298</v>
      </c>
      <c r="M4" s="280" t="s">
        <v>141</v>
      </c>
      <c r="N4" s="280" t="s">
        <v>162</v>
      </c>
      <c r="O4" s="281" t="s">
        <v>84</v>
      </c>
      <c r="P4" s="282"/>
      <c r="Q4" s="283" t="s">
        <v>0</v>
      </c>
      <c r="R4" s="284"/>
      <c r="S4" s="285">
        <v>2006</v>
      </c>
      <c r="T4" s="285">
        <v>2007</v>
      </c>
      <c r="U4" s="495" t="s">
        <v>565</v>
      </c>
      <c r="V4" s="283" t="s">
        <v>0</v>
      </c>
      <c r="AG4" s="66"/>
      <c r="AH4" s="147"/>
    </row>
    <row r="5" spans="1:33" ht="12.75" customHeight="1">
      <c r="A5" s="68"/>
      <c r="B5" s="488" t="s">
        <v>129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486" t="s">
        <v>17</v>
      </c>
      <c r="R5" s="69"/>
      <c r="S5" s="488" t="s">
        <v>129</v>
      </c>
      <c r="T5" s="37"/>
      <c r="U5" s="37"/>
      <c r="V5" s="489" t="s">
        <v>17</v>
      </c>
      <c r="AG5" s="66"/>
    </row>
    <row r="6" spans="1:33" ht="3" customHeight="1">
      <c r="A6" s="70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71"/>
      <c r="R6" s="68"/>
      <c r="S6" s="36"/>
      <c r="T6" s="36"/>
      <c r="U6" s="36"/>
      <c r="V6" s="36"/>
      <c r="AG6" s="66"/>
    </row>
    <row r="7" spans="1:33" ht="10.5" customHeight="1">
      <c r="A7" s="172" t="s">
        <v>85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71"/>
      <c r="R7" s="68"/>
      <c r="S7" s="36"/>
      <c r="T7" s="36"/>
      <c r="U7" s="36"/>
      <c r="V7" s="36"/>
      <c r="AG7" s="66"/>
    </row>
    <row r="8" spans="1:33" ht="10.5" customHeight="1">
      <c r="A8" s="70" t="s">
        <v>86</v>
      </c>
      <c r="B8" s="71">
        <v>19036.697</v>
      </c>
      <c r="C8" s="71">
        <v>18719.768</v>
      </c>
      <c r="D8" s="71">
        <v>30175.317</v>
      </c>
      <c r="E8" s="71">
        <v>17455.839</v>
      </c>
      <c r="F8" s="71"/>
      <c r="G8" s="71">
        <v>25269.727</v>
      </c>
      <c r="H8" s="71">
        <v>31558.88</v>
      </c>
      <c r="I8" s="71">
        <v>38944.048</v>
      </c>
      <c r="J8" s="71">
        <v>8174.045</v>
      </c>
      <c r="K8" s="71"/>
      <c r="L8" s="71">
        <v>26272.749</v>
      </c>
      <c r="M8" s="71">
        <f>58720.303-L8</f>
        <v>32447.554</v>
      </c>
      <c r="N8" s="71">
        <v>37381.191</v>
      </c>
      <c r="O8" s="71">
        <v>33066.506</v>
      </c>
      <c r="P8" s="73"/>
      <c r="Q8" s="291">
        <f aca="true" t="shared" si="0" ref="Q8:Q24">((N8/I8)-1)*100</f>
        <v>-4.0130830775475745</v>
      </c>
      <c r="R8" s="73"/>
      <c r="S8" s="38">
        <v>85387.62099999998</v>
      </c>
      <c r="T8" s="38">
        <f aca="true" t="shared" si="1" ref="T8:T24">SUM(G8:J8)</f>
        <v>103946.7</v>
      </c>
      <c r="U8" s="38">
        <f aca="true" t="shared" si="2" ref="U8:U24">(SUM(L8:O8))</f>
        <v>129168</v>
      </c>
      <c r="V8" s="496">
        <f aca="true" t="shared" si="3" ref="V8:V24">((U8/T8)-1)*100</f>
        <v>24.26368513863355</v>
      </c>
      <c r="AG8" s="66"/>
    </row>
    <row r="9" spans="1:33" ht="10.5" customHeight="1">
      <c r="A9" s="70" t="s">
        <v>87</v>
      </c>
      <c r="B9" s="71">
        <v>882.226</v>
      </c>
      <c r="C9" s="71">
        <v>468.12299999999993</v>
      </c>
      <c r="D9" s="71">
        <v>266.135</v>
      </c>
      <c r="E9" s="71">
        <v>723.948</v>
      </c>
      <c r="F9" s="71"/>
      <c r="G9" s="71">
        <v>433.958</v>
      </c>
      <c r="H9" s="71">
        <v>254.135</v>
      </c>
      <c r="I9" s="71">
        <v>450.02</v>
      </c>
      <c r="J9" s="71">
        <v>1105.956</v>
      </c>
      <c r="K9" s="71"/>
      <c r="L9" s="71">
        <v>539.262</v>
      </c>
      <c r="M9" s="71">
        <f>827.395-L9</f>
        <v>288.13300000000004</v>
      </c>
      <c r="N9" s="71">
        <v>175.638</v>
      </c>
      <c r="O9" s="71">
        <v>1161.8220000000001</v>
      </c>
      <c r="P9" s="73"/>
      <c r="Q9" s="291">
        <f t="shared" si="0"/>
        <v>-60.97106795253544</v>
      </c>
      <c r="R9" s="73"/>
      <c r="S9" s="38">
        <v>2340.432</v>
      </c>
      <c r="T9" s="38">
        <f t="shared" si="1"/>
        <v>2244.069</v>
      </c>
      <c r="U9" s="38">
        <f t="shared" si="2"/>
        <v>2164.855</v>
      </c>
      <c r="V9" s="496">
        <f t="shared" si="3"/>
        <v>-3.5299271100844076</v>
      </c>
      <c r="AG9" s="66"/>
    </row>
    <row r="10" spans="1:33" ht="10.5" customHeight="1">
      <c r="A10" s="70" t="s">
        <v>88</v>
      </c>
      <c r="B10" s="71">
        <v>1558.999</v>
      </c>
      <c r="C10" s="71">
        <v>1822.9130000000002</v>
      </c>
      <c r="D10" s="71">
        <v>1272.823</v>
      </c>
      <c r="E10" s="71">
        <v>4439.035</v>
      </c>
      <c r="F10" s="71"/>
      <c r="G10" s="71">
        <v>3444.109</v>
      </c>
      <c r="H10" s="71">
        <v>1331.948</v>
      </c>
      <c r="I10" s="71">
        <v>5152.814</v>
      </c>
      <c r="J10" s="71">
        <v>2803.033</v>
      </c>
      <c r="K10" s="71"/>
      <c r="L10" s="71">
        <v>2225.67</v>
      </c>
      <c r="M10" s="71">
        <f>3913.738-L10</f>
        <v>1688.0679999999998</v>
      </c>
      <c r="N10" s="71">
        <v>2290.38</v>
      </c>
      <c r="O10" s="71">
        <v>2928.558</v>
      </c>
      <c r="P10" s="73"/>
      <c r="Q10" s="291">
        <f t="shared" si="0"/>
        <v>-55.55088928108021</v>
      </c>
      <c r="R10" s="73"/>
      <c r="S10" s="38">
        <v>9093.77</v>
      </c>
      <c r="T10" s="38">
        <f t="shared" si="1"/>
        <v>12731.903999999999</v>
      </c>
      <c r="U10" s="38">
        <f t="shared" si="2"/>
        <v>9132.676</v>
      </c>
      <c r="V10" s="496">
        <f t="shared" si="3"/>
        <v>-28.269361754534117</v>
      </c>
      <c r="AG10" s="66"/>
    </row>
    <row r="11" spans="1:33" ht="10.5" customHeight="1">
      <c r="A11" s="70" t="s">
        <v>89</v>
      </c>
      <c r="B11" s="71">
        <v>10966.32</v>
      </c>
      <c r="C11" s="71">
        <v>5231.629</v>
      </c>
      <c r="D11" s="71">
        <v>2323.597</v>
      </c>
      <c r="E11" s="71">
        <v>4968.861</v>
      </c>
      <c r="F11" s="71"/>
      <c r="G11" s="71">
        <v>2947.286</v>
      </c>
      <c r="H11" s="71">
        <v>3985.378</v>
      </c>
      <c r="I11" s="71">
        <v>9631</v>
      </c>
      <c r="J11" s="71">
        <v>6656.2119999999995</v>
      </c>
      <c r="K11" s="71"/>
      <c r="L11" s="71">
        <v>4871.666</v>
      </c>
      <c r="M11" s="71">
        <f>12492.065-L11</f>
        <v>7620.399</v>
      </c>
      <c r="N11" s="71">
        <v>1472.026</v>
      </c>
      <c r="O11" s="71">
        <v>3225.0560000000005</v>
      </c>
      <c r="P11" s="72"/>
      <c r="Q11" s="291">
        <f t="shared" si="0"/>
        <v>-84.71575122001869</v>
      </c>
      <c r="R11" s="72"/>
      <c r="S11" s="38">
        <v>23490.407000000003</v>
      </c>
      <c r="T11" s="38">
        <f t="shared" si="1"/>
        <v>23219.876</v>
      </c>
      <c r="U11" s="38">
        <f t="shared" si="2"/>
        <v>17189.147</v>
      </c>
      <c r="V11" s="496">
        <f t="shared" si="3"/>
        <v>-25.972270480686454</v>
      </c>
      <c r="AG11" s="66"/>
    </row>
    <row r="12" spans="1:33" ht="10.5" customHeight="1">
      <c r="A12" s="70" t="s">
        <v>90</v>
      </c>
      <c r="B12" s="71">
        <v>14087.396</v>
      </c>
      <c r="C12" s="71">
        <v>3936.658</v>
      </c>
      <c r="D12" s="71">
        <v>7489.738</v>
      </c>
      <c r="E12" s="71">
        <v>15632.096</v>
      </c>
      <c r="F12" s="71"/>
      <c r="G12" s="71">
        <v>7970.449</v>
      </c>
      <c r="H12" s="71">
        <v>10236.15</v>
      </c>
      <c r="I12" s="71">
        <v>9726</v>
      </c>
      <c r="J12" s="71">
        <v>15769.876</v>
      </c>
      <c r="K12" s="71"/>
      <c r="L12" s="71">
        <v>16850.528</v>
      </c>
      <c r="M12" s="71">
        <f>28015.563-L12</f>
        <v>11165.035</v>
      </c>
      <c r="N12" s="71">
        <v>6188.824</v>
      </c>
      <c r="O12" s="71">
        <v>9226.662</v>
      </c>
      <c r="P12" s="73"/>
      <c r="Q12" s="291">
        <f t="shared" si="0"/>
        <v>-36.3682500514086</v>
      </c>
      <c r="R12" s="73"/>
      <c r="S12" s="38">
        <v>41145.888</v>
      </c>
      <c r="T12" s="38">
        <f t="shared" si="1"/>
        <v>43702.475</v>
      </c>
      <c r="U12" s="38">
        <f t="shared" si="2"/>
        <v>43431.049</v>
      </c>
      <c r="V12" s="496">
        <f t="shared" si="3"/>
        <v>-0.6210769527355109</v>
      </c>
      <c r="AG12" s="66"/>
    </row>
    <row r="13" spans="1:33" ht="10.5" customHeight="1">
      <c r="A13" s="70" t="s">
        <v>91</v>
      </c>
      <c r="B13" s="71">
        <v>28262.128</v>
      </c>
      <c r="C13" s="71">
        <v>32569.094</v>
      </c>
      <c r="D13" s="71">
        <v>7017.343</v>
      </c>
      <c r="E13" s="71">
        <v>13608.284</v>
      </c>
      <c r="F13" s="71"/>
      <c r="G13" s="71">
        <v>11367.51</v>
      </c>
      <c r="H13" s="71">
        <v>7090.314</v>
      </c>
      <c r="I13" s="71">
        <v>5359.78</v>
      </c>
      <c r="J13" s="71">
        <v>13176.815</v>
      </c>
      <c r="K13" s="71"/>
      <c r="L13" s="71">
        <v>27783.414</v>
      </c>
      <c r="M13" s="71">
        <f>55890.488-L13</f>
        <v>28107.073999999997</v>
      </c>
      <c r="N13" s="71">
        <v>7565.663</v>
      </c>
      <c r="O13" s="71">
        <v>13553.359</v>
      </c>
      <c r="P13" s="73"/>
      <c r="Q13" s="291">
        <f t="shared" si="0"/>
        <v>41.15622283004152</v>
      </c>
      <c r="R13" s="73"/>
      <c r="S13" s="38">
        <v>81456.849</v>
      </c>
      <c r="T13" s="38">
        <f t="shared" si="1"/>
        <v>36994.419</v>
      </c>
      <c r="U13" s="38">
        <f t="shared" si="2"/>
        <v>77009.51</v>
      </c>
      <c r="V13" s="496">
        <f t="shared" si="3"/>
        <v>108.16521000100039</v>
      </c>
      <c r="AG13" s="66"/>
    </row>
    <row r="14" spans="1:33" ht="10.5" customHeight="1">
      <c r="A14" s="70" t="s">
        <v>92</v>
      </c>
      <c r="B14" s="71">
        <v>3171.954</v>
      </c>
      <c r="C14" s="71">
        <v>4652.072</v>
      </c>
      <c r="D14" s="71">
        <v>3249.866</v>
      </c>
      <c r="E14" s="71">
        <v>5993.332</v>
      </c>
      <c r="F14" s="71"/>
      <c r="G14" s="71">
        <v>6017.068</v>
      </c>
      <c r="H14" s="71">
        <v>3733.548</v>
      </c>
      <c r="I14" s="71">
        <v>1509</v>
      </c>
      <c r="J14" s="71">
        <v>5077.391999999998</v>
      </c>
      <c r="K14" s="71"/>
      <c r="L14" s="71">
        <v>4815.798</v>
      </c>
      <c r="M14" s="71">
        <f>10702.527-L14</f>
        <v>5886.729</v>
      </c>
      <c r="N14" s="71">
        <v>5566.369</v>
      </c>
      <c r="O14" s="71">
        <v>5437.713000000001</v>
      </c>
      <c r="P14" s="73"/>
      <c r="Q14" s="291">
        <f t="shared" si="0"/>
        <v>268.87799867461894</v>
      </c>
      <c r="R14" s="73"/>
      <c r="S14" s="38">
        <v>17067.224000000002</v>
      </c>
      <c r="T14" s="38">
        <f t="shared" si="1"/>
        <v>16337.007999999998</v>
      </c>
      <c r="U14" s="38">
        <f t="shared" si="2"/>
        <v>21706.609</v>
      </c>
      <c r="V14" s="496">
        <f t="shared" si="3"/>
        <v>32.86771359847533</v>
      </c>
      <c r="AG14" s="66"/>
    </row>
    <row r="15" spans="1:33" ht="10.5" customHeight="1">
      <c r="A15" s="70" t="s">
        <v>93</v>
      </c>
      <c r="B15" s="71">
        <v>5869.212</v>
      </c>
      <c r="C15" s="71">
        <v>7390.272</v>
      </c>
      <c r="D15" s="71">
        <v>5139.011</v>
      </c>
      <c r="E15" s="71">
        <v>10547.073</v>
      </c>
      <c r="F15" s="71"/>
      <c r="G15" s="71">
        <v>8381.986</v>
      </c>
      <c r="H15" s="71">
        <v>3476.212</v>
      </c>
      <c r="I15" s="71">
        <v>2423.991</v>
      </c>
      <c r="J15" s="71">
        <v>8102.713</v>
      </c>
      <c r="K15" s="71"/>
      <c r="L15" s="71">
        <v>6225.257</v>
      </c>
      <c r="M15" s="71">
        <f>11950.531-L15</f>
        <v>5725.274000000001</v>
      </c>
      <c r="N15" s="71">
        <v>4477.4</v>
      </c>
      <c r="O15" s="71">
        <v>6204.75</v>
      </c>
      <c r="P15" s="73"/>
      <c r="Q15" s="291">
        <f t="shared" si="0"/>
        <v>84.71190693364785</v>
      </c>
      <c r="R15" s="73"/>
      <c r="S15" s="38">
        <v>28945.568000000003</v>
      </c>
      <c r="T15" s="38">
        <f t="shared" si="1"/>
        <v>22384.902000000002</v>
      </c>
      <c r="U15" s="38">
        <f t="shared" si="2"/>
        <v>22632.681</v>
      </c>
      <c r="V15" s="496">
        <f t="shared" si="3"/>
        <v>1.1069023219310914</v>
      </c>
      <c r="AG15" s="66"/>
    </row>
    <row r="16" spans="1:33" ht="10.5" customHeight="1">
      <c r="A16" s="70" t="s">
        <v>94</v>
      </c>
      <c r="B16" s="71">
        <v>4089.345</v>
      </c>
      <c r="C16" s="71">
        <v>2225.72</v>
      </c>
      <c r="D16" s="71">
        <v>915.024</v>
      </c>
      <c r="E16" s="71">
        <v>3503.3030000000003</v>
      </c>
      <c r="F16" s="71"/>
      <c r="G16" s="71">
        <v>4505.068</v>
      </c>
      <c r="H16" s="71">
        <v>1470.1</v>
      </c>
      <c r="I16" s="71">
        <v>837.163</v>
      </c>
      <c r="J16" s="71">
        <v>4772.094</v>
      </c>
      <c r="K16" s="71"/>
      <c r="L16" s="71">
        <v>1497.811</v>
      </c>
      <c r="M16" s="71">
        <f>2264.841-L16</f>
        <v>767.03</v>
      </c>
      <c r="N16" s="71">
        <v>254.493</v>
      </c>
      <c r="O16" s="71">
        <v>4287.954</v>
      </c>
      <c r="P16" s="73"/>
      <c r="Q16" s="291">
        <f t="shared" si="0"/>
        <v>-69.60054374118302</v>
      </c>
      <c r="R16" s="73"/>
      <c r="S16" s="38">
        <v>10733.392</v>
      </c>
      <c r="T16" s="38">
        <f t="shared" si="1"/>
        <v>11584.425</v>
      </c>
      <c r="U16" s="38">
        <f t="shared" si="2"/>
        <v>6807.288</v>
      </c>
      <c r="V16" s="496">
        <f t="shared" si="3"/>
        <v>-41.23758408380217</v>
      </c>
      <c r="AG16" s="66"/>
    </row>
    <row r="17" spans="1:33" ht="10.5" customHeight="1">
      <c r="A17" s="70" t="s">
        <v>95</v>
      </c>
      <c r="B17" s="71">
        <v>18523.513</v>
      </c>
      <c r="C17" s="71">
        <v>24364.4</v>
      </c>
      <c r="D17" s="71">
        <v>31490.768</v>
      </c>
      <c r="E17" s="71">
        <v>42543.218</v>
      </c>
      <c r="F17" s="71"/>
      <c r="G17" s="71">
        <v>15662.669</v>
      </c>
      <c r="H17" s="71">
        <v>24788.564</v>
      </c>
      <c r="I17" s="71">
        <v>25144.293</v>
      </c>
      <c r="J17" s="71">
        <v>37072.143</v>
      </c>
      <c r="K17" s="71"/>
      <c r="L17" s="71">
        <v>28265.079</v>
      </c>
      <c r="M17" s="71">
        <f>87842.454-L17</f>
        <v>59577.375</v>
      </c>
      <c r="N17" s="71">
        <v>44492.985</v>
      </c>
      <c r="O17" s="71">
        <v>60210.72900000001</v>
      </c>
      <c r="P17" s="73"/>
      <c r="Q17" s="291">
        <f t="shared" si="0"/>
        <v>76.95063050689075</v>
      </c>
      <c r="R17" s="73"/>
      <c r="S17" s="38">
        <v>116921.899</v>
      </c>
      <c r="T17" s="38">
        <f t="shared" si="1"/>
        <v>102667.669</v>
      </c>
      <c r="U17" s="38">
        <f t="shared" si="2"/>
        <v>192546.168</v>
      </c>
      <c r="V17" s="496">
        <f t="shared" si="3"/>
        <v>87.54313784994964</v>
      </c>
      <c r="AG17" s="66"/>
    </row>
    <row r="18" spans="1:33" ht="10.5" customHeight="1">
      <c r="A18" s="70" t="s">
        <v>96</v>
      </c>
      <c r="B18" s="71">
        <v>1395.998</v>
      </c>
      <c r="C18" s="71">
        <v>1835.7379999999998</v>
      </c>
      <c r="D18" s="71">
        <v>1880.759</v>
      </c>
      <c r="E18" s="71">
        <v>140.895</v>
      </c>
      <c r="F18" s="71"/>
      <c r="G18" s="71">
        <v>277.108</v>
      </c>
      <c r="H18" s="71">
        <v>503.286</v>
      </c>
      <c r="I18" s="71">
        <v>2613</v>
      </c>
      <c r="J18" s="71">
        <v>249.80100000000039</v>
      </c>
      <c r="K18" s="71"/>
      <c r="L18" s="71">
        <v>1827.599</v>
      </c>
      <c r="M18" s="71">
        <f>2702.576-L18</f>
        <v>874.9770000000001</v>
      </c>
      <c r="N18" s="71">
        <v>77.411</v>
      </c>
      <c r="O18" s="71">
        <v>121.607</v>
      </c>
      <c r="P18" s="73"/>
      <c r="Q18" s="291">
        <f t="shared" si="0"/>
        <v>-97.03746651358591</v>
      </c>
      <c r="R18" s="73"/>
      <c r="S18" s="38">
        <v>5253.39</v>
      </c>
      <c r="T18" s="38">
        <f t="shared" si="1"/>
        <v>3643.1950000000006</v>
      </c>
      <c r="U18" s="38">
        <f t="shared" si="2"/>
        <v>2901.594</v>
      </c>
      <c r="V18" s="496">
        <f t="shared" si="3"/>
        <v>-20.35578661037909</v>
      </c>
      <c r="AG18" s="66"/>
    </row>
    <row r="19" spans="1:33" ht="10.5" customHeight="1">
      <c r="A19" s="70" t="s">
        <v>97</v>
      </c>
      <c r="B19" s="71">
        <v>69140.122</v>
      </c>
      <c r="C19" s="71">
        <v>71783.153</v>
      </c>
      <c r="D19" s="71">
        <v>78105.496</v>
      </c>
      <c r="E19" s="71">
        <v>51954.212</v>
      </c>
      <c r="F19" s="71"/>
      <c r="G19" s="71">
        <v>25044.362</v>
      </c>
      <c r="H19" s="71">
        <v>40884.308</v>
      </c>
      <c r="I19" s="71">
        <v>65108.366</v>
      </c>
      <c r="J19" s="71">
        <v>51137.164</v>
      </c>
      <c r="K19" s="71"/>
      <c r="L19" s="71">
        <v>42705.715</v>
      </c>
      <c r="M19" s="71">
        <f>88443.357-L19</f>
        <v>45737.64200000001</v>
      </c>
      <c r="N19" s="71">
        <v>56605.482</v>
      </c>
      <c r="O19" s="71">
        <v>115566.7</v>
      </c>
      <c r="P19" s="73"/>
      <c r="Q19" s="291">
        <f t="shared" si="0"/>
        <v>-13.059587457624112</v>
      </c>
      <c r="R19" s="73"/>
      <c r="S19" s="38">
        <v>270982.983</v>
      </c>
      <c r="T19" s="38">
        <f t="shared" si="1"/>
        <v>182174.19999999998</v>
      </c>
      <c r="U19" s="38">
        <f t="shared" si="2"/>
        <v>260615.539</v>
      </c>
      <c r="V19" s="496">
        <f t="shared" si="3"/>
        <v>43.05842375045423</v>
      </c>
      <c r="AG19" s="66"/>
    </row>
    <row r="20" spans="1:33" ht="10.5" customHeight="1">
      <c r="A20" s="70" t="s">
        <v>98</v>
      </c>
      <c r="B20" s="71">
        <v>7525.082</v>
      </c>
      <c r="C20" s="71">
        <v>3671.164</v>
      </c>
      <c r="D20" s="71">
        <v>3113.012</v>
      </c>
      <c r="E20" s="71">
        <v>2684.184</v>
      </c>
      <c r="F20" s="71"/>
      <c r="G20" s="71">
        <v>854.275</v>
      </c>
      <c r="H20" s="71">
        <v>3600.129</v>
      </c>
      <c r="I20" s="71">
        <v>2696.078</v>
      </c>
      <c r="J20" s="71">
        <v>2140.968</v>
      </c>
      <c r="K20" s="71"/>
      <c r="L20" s="71">
        <v>2438.087</v>
      </c>
      <c r="M20" s="71">
        <f>4331.763-L20</f>
        <v>1893.676</v>
      </c>
      <c r="N20" s="71">
        <v>963.958</v>
      </c>
      <c r="O20" s="71">
        <v>3113.484</v>
      </c>
      <c r="P20" s="73"/>
      <c r="Q20" s="291">
        <f t="shared" si="0"/>
        <v>-64.24591573389198</v>
      </c>
      <c r="R20" s="73"/>
      <c r="S20" s="38">
        <v>16993.442000000003</v>
      </c>
      <c r="T20" s="38">
        <f t="shared" si="1"/>
        <v>9291.45</v>
      </c>
      <c r="U20" s="38">
        <f t="shared" si="2"/>
        <v>8409.205</v>
      </c>
      <c r="V20" s="496">
        <f t="shared" si="3"/>
        <v>-9.495234866463264</v>
      </c>
      <c r="AG20" s="66"/>
    </row>
    <row r="21" spans="1:33" ht="10.5" customHeight="1">
      <c r="A21" s="70" t="s">
        <v>99</v>
      </c>
      <c r="B21" s="71">
        <v>315.303</v>
      </c>
      <c r="C21" s="71">
        <v>937.647</v>
      </c>
      <c r="D21" s="71">
        <v>144.689</v>
      </c>
      <c r="E21" s="71">
        <v>400.405</v>
      </c>
      <c r="F21" s="71"/>
      <c r="G21" s="71">
        <v>198.131</v>
      </c>
      <c r="H21" s="71">
        <v>664.369</v>
      </c>
      <c r="I21" s="71">
        <v>1991.834</v>
      </c>
      <c r="J21" s="71">
        <v>138.999</v>
      </c>
      <c r="K21" s="71"/>
      <c r="L21" s="71">
        <v>890.98</v>
      </c>
      <c r="M21" s="71">
        <f>1472.388-L21</f>
        <v>581.4079999999999</v>
      </c>
      <c r="N21" s="71">
        <v>29.18</v>
      </c>
      <c r="O21" s="71">
        <v>517.15</v>
      </c>
      <c r="P21" s="73"/>
      <c r="Q21" s="291">
        <f t="shared" si="0"/>
        <v>-98.5350184804557</v>
      </c>
      <c r="R21" s="73"/>
      <c r="S21" s="38">
        <v>1798.044</v>
      </c>
      <c r="T21" s="38">
        <f t="shared" si="1"/>
        <v>2993.3329999999996</v>
      </c>
      <c r="U21" s="38">
        <f t="shared" si="2"/>
        <v>2018.7179999999998</v>
      </c>
      <c r="V21" s="496">
        <f t="shared" si="3"/>
        <v>-32.55952478391144</v>
      </c>
      <c r="AG21" s="66"/>
    </row>
    <row r="22" spans="1:33" ht="10.5" customHeight="1">
      <c r="A22" s="70" t="s">
        <v>164</v>
      </c>
      <c r="B22" s="71">
        <v>26569.366</v>
      </c>
      <c r="C22" s="71">
        <v>11696.38</v>
      </c>
      <c r="D22" s="71">
        <v>25483.218</v>
      </c>
      <c r="E22" s="71">
        <v>9345.177</v>
      </c>
      <c r="F22" s="71"/>
      <c r="G22" s="71">
        <v>11130.835</v>
      </c>
      <c r="H22" s="71">
        <v>20504.062</v>
      </c>
      <c r="I22" s="71">
        <v>26132.36</v>
      </c>
      <c r="J22" s="71">
        <v>22824.715</v>
      </c>
      <c r="K22" s="71"/>
      <c r="L22" s="71">
        <f>L23-SUM(L8:L21)</f>
        <v>26286.42300000001</v>
      </c>
      <c r="M22" s="71">
        <f>M23-SUM(M8:M21)</f>
        <v>35241.62599999996</v>
      </c>
      <c r="N22" s="71">
        <f>N23-SUM(N8:N21)</f>
        <v>27809.261</v>
      </c>
      <c r="O22" s="71">
        <v>17415.589000000065</v>
      </c>
      <c r="P22" s="73"/>
      <c r="Q22" s="291">
        <f t="shared" si="0"/>
        <v>6.416952008926846</v>
      </c>
      <c r="R22" s="73"/>
      <c r="S22" s="38">
        <v>73094.141</v>
      </c>
      <c r="T22" s="38">
        <f t="shared" si="1"/>
        <v>80591.972</v>
      </c>
      <c r="U22" s="38">
        <f t="shared" si="2"/>
        <v>106752.89900000003</v>
      </c>
      <c r="V22" s="496">
        <f t="shared" si="3"/>
        <v>32.46095901462746</v>
      </c>
      <c r="AG22" s="66"/>
    </row>
    <row r="23" spans="1:33" ht="10.5" customHeight="1">
      <c r="A23" s="286" t="s">
        <v>100</v>
      </c>
      <c r="B23" s="288">
        <v>211393.659</v>
      </c>
      <c r="C23" s="288">
        <v>191304.728</v>
      </c>
      <c r="D23" s="288">
        <v>198066.786</v>
      </c>
      <c r="E23" s="288">
        <v>183939.844</v>
      </c>
      <c r="F23" s="288"/>
      <c r="G23" s="288">
        <v>123504.503</v>
      </c>
      <c r="H23" s="288">
        <v>154081.381</v>
      </c>
      <c r="I23" s="288">
        <v>197720.798</v>
      </c>
      <c r="J23" s="288">
        <v>179201.917</v>
      </c>
      <c r="K23" s="288"/>
      <c r="L23" s="288">
        <v>193496.038</v>
      </c>
      <c r="M23" s="288">
        <v>237602</v>
      </c>
      <c r="N23" s="288">
        <v>195350.261</v>
      </c>
      <c r="O23" s="288">
        <f>471387.9-N23</f>
        <v>276037.639</v>
      </c>
      <c r="P23" s="290"/>
      <c r="Q23" s="291">
        <f t="shared" si="0"/>
        <v>-1.198931535770964</v>
      </c>
      <c r="R23" s="290"/>
      <c r="S23" s="289">
        <v>784705.017</v>
      </c>
      <c r="T23" s="289">
        <f t="shared" si="1"/>
        <v>654508.5989999999</v>
      </c>
      <c r="U23" s="289">
        <f t="shared" si="2"/>
        <v>902485.9380000001</v>
      </c>
      <c r="V23" s="496">
        <f t="shared" si="3"/>
        <v>37.8875601296722</v>
      </c>
      <c r="AG23" s="66"/>
    </row>
    <row r="24" spans="1:33" ht="10.5" customHeight="1">
      <c r="A24" s="70" t="s">
        <v>101</v>
      </c>
      <c r="B24" s="71">
        <v>25853.442</v>
      </c>
      <c r="C24" s="71">
        <v>18778.155</v>
      </c>
      <c r="D24" s="71">
        <v>9705.535</v>
      </c>
      <c r="E24" s="71">
        <v>11122.387</v>
      </c>
      <c r="F24" s="71"/>
      <c r="G24" s="71">
        <v>18917.886</v>
      </c>
      <c r="H24" s="71">
        <v>12569.341</v>
      </c>
      <c r="I24" s="71">
        <v>6071.517</v>
      </c>
      <c r="J24" s="71">
        <v>10944.693</v>
      </c>
      <c r="K24" s="71"/>
      <c r="L24" s="71">
        <v>17811.994</v>
      </c>
      <c r="M24" s="71">
        <v>13564.147</v>
      </c>
      <c r="N24" s="71">
        <f>1095.818+2030.569+1359.257+1724.319+114.94</f>
        <v>6324.902999999999</v>
      </c>
      <c r="O24" s="71">
        <v>11408.211</v>
      </c>
      <c r="P24" s="73"/>
      <c r="Q24" s="291">
        <f t="shared" si="0"/>
        <v>4.173355686890101</v>
      </c>
      <c r="R24" s="73"/>
      <c r="S24" s="38">
        <v>65459.519</v>
      </c>
      <c r="T24" s="38">
        <f t="shared" si="1"/>
        <v>48503.437</v>
      </c>
      <c r="U24" s="38">
        <f t="shared" si="2"/>
        <v>49109.255000000005</v>
      </c>
      <c r="V24" s="496">
        <f t="shared" si="3"/>
        <v>1.2490207652707364</v>
      </c>
      <c r="AG24" s="66"/>
    </row>
    <row r="25" spans="1:33" ht="3" customHeight="1">
      <c r="A25" s="74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271"/>
      <c r="R25" s="68"/>
      <c r="V25" s="496"/>
      <c r="AG25" s="66"/>
    </row>
    <row r="26" spans="1:22" ht="10.5" customHeight="1">
      <c r="A26" s="286" t="s">
        <v>102</v>
      </c>
      <c r="B26" s="288">
        <f>B23+B24</f>
        <v>237247.10100000002</v>
      </c>
      <c r="C26" s="288">
        <f>C23+C24</f>
        <v>210082.883</v>
      </c>
      <c r="D26" s="288">
        <f>D23+D24</f>
        <v>207772.321</v>
      </c>
      <c r="E26" s="288">
        <v>184280.902</v>
      </c>
      <c r="F26" s="288"/>
      <c r="G26" s="288">
        <f>G23+G24</f>
        <v>142422.389</v>
      </c>
      <c r="H26" s="288">
        <f>H23+H24</f>
        <v>166650.722</v>
      </c>
      <c r="I26" s="288">
        <v>203778</v>
      </c>
      <c r="J26" s="288">
        <v>190151.78300000005</v>
      </c>
      <c r="K26" s="288"/>
      <c r="L26" s="288">
        <f>L23+L24</f>
        <v>211308.032</v>
      </c>
      <c r="M26" s="288">
        <f>M23+M24</f>
        <v>251166.147</v>
      </c>
      <c r="N26" s="288">
        <f>N23+N24</f>
        <v>201675.164</v>
      </c>
      <c r="O26" s="288">
        <f>O23+O24</f>
        <v>287445.85000000003</v>
      </c>
      <c r="P26" s="287"/>
      <c r="Q26" s="291">
        <f>((N26/I26)-1)*100</f>
        <v>-1.0319249379226458</v>
      </c>
      <c r="R26" s="287"/>
      <c r="S26" s="289">
        <v>850164.536</v>
      </c>
      <c r="T26" s="289">
        <f>T24+T23</f>
        <v>703012.036</v>
      </c>
      <c r="U26" s="289">
        <f>U24+U23</f>
        <v>951595.1930000001</v>
      </c>
      <c r="V26" s="496">
        <f>((U26/T26)-1)*100</f>
        <v>35.359729886616066</v>
      </c>
    </row>
    <row r="27" spans="1:33" ht="3" customHeight="1">
      <c r="A27" s="68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292"/>
      <c r="R27" s="73"/>
      <c r="V27" s="496" t="e">
        <f>((#REF!/#REF!)-1)*100</f>
        <v>#REF!</v>
      </c>
      <c r="AG27" s="66"/>
    </row>
    <row r="28" spans="1:33" ht="10.5" customHeight="1">
      <c r="A28" s="172" t="s">
        <v>103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292"/>
      <c r="R28" s="73"/>
      <c r="V28" s="496"/>
      <c r="AG28" s="66"/>
    </row>
    <row r="29" spans="1:33" ht="10.5" customHeight="1">
      <c r="A29" s="114" t="s">
        <v>126</v>
      </c>
      <c r="B29" s="71">
        <v>7540.058</v>
      </c>
      <c r="C29" s="71">
        <v>7954.212</v>
      </c>
      <c r="D29" s="71">
        <v>7647.004</v>
      </c>
      <c r="E29" s="71">
        <v>8595.674</v>
      </c>
      <c r="F29" s="71"/>
      <c r="G29" s="71">
        <v>13173.139</v>
      </c>
      <c r="H29" s="71">
        <v>17277.353</v>
      </c>
      <c r="I29" s="71">
        <v>12768.268</v>
      </c>
      <c r="J29" s="71">
        <v>8630.644</v>
      </c>
      <c r="K29" s="71"/>
      <c r="L29" s="71">
        <v>7738.336</v>
      </c>
      <c r="M29" s="71">
        <f>(13805.96+12850.122)-L29</f>
        <v>18917.746</v>
      </c>
      <c r="N29" s="71">
        <f>8526.237+2383.946</f>
        <v>10910.182999999999</v>
      </c>
      <c r="O29" s="71">
        <v>6754.331</v>
      </c>
      <c r="P29" s="73"/>
      <c r="Q29" s="291">
        <f aca="true" t="shared" si="4" ref="Q29:Q38">((N29/I29)-1)*100</f>
        <v>-14.55236528556576</v>
      </c>
      <c r="R29" s="73"/>
      <c r="S29" s="38">
        <f aca="true" t="shared" si="5" ref="S29:S38">SUM(B29:E29)</f>
        <v>31736.948000000004</v>
      </c>
      <c r="T29" s="38">
        <f aca="true" t="shared" si="6" ref="T29:T38">SUM(G29:J29)</f>
        <v>51849.403999999995</v>
      </c>
      <c r="U29" s="38">
        <f aca="true" t="shared" si="7" ref="U29:U38">(SUM(L29:O29))</f>
        <v>44320.596</v>
      </c>
      <c r="V29" s="496">
        <f aca="true" t="shared" si="8" ref="V29:V38">((U29/T29)-1)*100</f>
        <v>-14.520529493453772</v>
      </c>
      <c r="AG29" s="66"/>
    </row>
    <row r="30" spans="1:33" ht="10.5" customHeight="1">
      <c r="A30" s="70" t="s">
        <v>89</v>
      </c>
      <c r="B30" s="71">
        <v>2076.679</v>
      </c>
      <c r="C30" s="71">
        <v>2214.295</v>
      </c>
      <c r="D30" s="71">
        <v>1808.646</v>
      </c>
      <c r="E30" s="71">
        <v>2657.57</v>
      </c>
      <c r="F30" s="71"/>
      <c r="G30" s="71">
        <v>2854.126</v>
      </c>
      <c r="H30" s="71">
        <v>1669.49</v>
      </c>
      <c r="I30" s="71">
        <v>1790.39</v>
      </c>
      <c r="J30" s="71">
        <v>2090.648</v>
      </c>
      <c r="K30" s="71"/>
      <c r="L30" s="71">
        <v>2825.697</v>
      </c>
      <c r="M30" s="71">
        <f>(6187.241+5033.641)-L30</f>
        <v>8395.185</v>
      </c>
      <c r="N30" s="71">
        <f>5016.752+821.186</f>
        <v>5837.938</v>
      </c>
      <c r="O30" s="71">
        <v>3436.799000000001</v>
      </c>
      <c r="P30" s="73"/>
      <c r="Q30" s="291">
        <f t="shared" si="4"/>
        <v>226.07074436296003</v>
      </c>
      <c r="R30" s="73"/>
      <c r="S30" s="38">
        <f t="shared" si="5"/>
        <v>8757.19</v>
      </c>
      <c r="T30" s="38">
        <f t="shared" si="6"/>
        <v>8404.654</v>
      </c>
      <c r="U30" s="38">
        <f t="shared" si="7"/>
        <v>20495.619</v>
      </c>
      <c r="V30" s="496">
        <f t="shared" si="8"/>
        <v>143.86035403717986</v>
      </c>
      <c r="AG30" s="66"/>
    </row>
    <row r="31" spans="1:33" ht="10.5" customHeight="1">
      <c r="A31" s="75" t="s">
        <v>142</v>
      </c>
      <c r="B31" s="71">
        <v>5142.45</v>
      </c>
      <c r="C31" s="71">
        <v>8334.89</v>
      </c>
      <c r="D31" s="71">
        <v>7807.194</v>
      </c>
      <c r="E31" s="71">
        <v>6490.035</v>
      </c>
      <c r="F31" s="71"/>
      <c r="G31" s="71">
        <v>7257.796</v>
      </c>
      <c r="H31" s="71">
        <v>7708.339</v>
      </c>
      <c r="I31" s="71">
        <v>8242.294</v>
      </c>
      <c r="J31" s="71">
        <v>8255.645</v>
      </c>
      <c r="K31" s="71"/>
      <c r="L31" s="71">
        <f>6310.323+2303.854</f>
        <v>8614.177</v>
      </c>
      <c r="M31" s="71">
        <f>(14140.509+5344.279)-L31</f>
        <v>10870.611</v>
      </c>
      <c r="N31" s="71">
        <f>7012.889+2257.449</f>
        <v>9270.338</v>
      </c>
      <c r="O31" s="71">
        <v>10625.24</v>
      </c>
      <c r="P31" s="73"/>
      <c r="Q31" s="291">
        <f t="shared" si="4"/>
        <v>12.472789735478983</v>
      </c>
      <c r="R31" s="73"/>
      <c r="S31" s="38">
        <f t="shared" si="5"/>
        <v>27774.569</v>
      </c>
      <c r="T31" s="38">
        <f t="shared" si="6"/>
        <v>31464.074</v>
      </c>
      <c r="U31" s="38">
        <f t="shared" si="7"/>
        <v>39380.366</v>
      </c>
      <c r="V31" s="496">
        <f t="shared" si="8"/>
        <v>25.159780643790764</v>
      </c>
      <c r="AG31" s="66"/>
    </row>
    <row r="32" spans="1:33" ht="10.5" customHeight="1">
      <c r="A32" s="70" t="s">
        <v>92</v>
      </c>
      <c r="B32" s="71">
        <v>2346.011</v>
      </c>
      <c r="C32" s="71">
        <v>2652.7369999999996</v>
      </c>
      <c r="D32" s="71">
        <f>1811.086+1158.957</f>
        <v>2970.043</v>
      </c>
      <c r="E32" s="71">
        <v>3288.244</v>
      </c>
      <c r="F32" s="71"/>
      <c r="G32" s="71">
        <v>2553.082</v>
      </c>
      <c r="H32" s="71">
        <f>(2645.416+3654.276)-G32</f>
        <v>3746.61</v>
      </c>
      <c r="I32" s="71">
        <v>3041</v>
      </c>
      <c r="J32" s="71">
        <v>2870.6749999999993</v>
      </c>
      <c r="K32" s="71"/>
      <c r="L32" s="71">
        <v>3668.114</v>
      </c>
      <c r="M32" s="71">
        <f>(4145.825+4484.933)-L32</f>
        <v>4962.644</v>
      </c>
      <c r="N32" s="71">
        <f>2109.052+1042.458</f>
        <v>3151.51</v>
      </c>
      <c r="O32" s="71">
        <v>4557.620999999999</v>
      </c>
      <c r="P32" s="73"/>
      <c r="Q32" s="291">
        <f t="shared" si="4"/>
        <v>3.6340019730351836</v>
      </c>
      <c r="R32" s="73"/>
      <c r="S32" s="38">
        <f t="shared" si="5"/>
        <v>11257.035</v>
      </c>
      <c r="T32" s="38">
        <f t="shared" si="6"/>
        <v>12211.366999999998</v>
      </c>
      <c r="U32" s="38">
        <f t="shared" si="7"/>
        <v>16339.889</v>
      </c>
      <c r="V32" s="496">
        <f t="shared" si="8"/>
        <v>33.80884384197118</v>
      </c>
      <c r="AG32" s="66"/>
    </row>
    <row r="33" spans="1:33" ht="10.5" customHeight="1">
      <c r="A33" s="75" t="s">
        <v>322</v>
      </c>
      <c r="B33" s="71">
        <v>7589.38</v>
      </c>
      <c r="C33" s="71">
        <v>9471.678</v>
      </c>
      <c r="D33" s="71">
        <v>9447.729</v>
      </c>
      <c r="E33" s="71">
        <v>9070.305</v>
      </c>
      <c r="F33" s="71"/>
      <c r="G33" s="71">
        <v>8289.742</v>
      </c>
      <c r="H33" s="71">
        <v>8367.141</v>
      </c>
      <c r="I33" s="71">
        <v>8091.077</v>
      </c>
      <c r="J33" s="71">
        <v>6820.75</v>
      </c>
      <c r="K33" s="71"/>
      <c r="L33" s="71">
        <v>9066.338</v>
      </c>
      <c r="M33" s="71">
        <f>(6896.867+13404.737)-L33</f>
        <v>11235.266</v>
      </c>
      <c r="N33" s="71">
        <f>5191.799+1975.31</f>
        <v>7167.109</v>
      </c>
      <c r="O33" s="71">
        <v>8135.762999999999</v>
      </c>
      <c r="P33" s="73"/>
      <c r="Q33" s="291">
        <f t="shared" si="4"/>
        <v>-11.419592224866971</v>
      </c>
      <c r="R33" s="73"/>
      <c r="S33" s="38">
        <f t="shared" si="5"/>
        <v>35579.092000000004</v>
      </c>
      <c r="T33" s="38">
        <f t="shared" si="6"/>
        <v>31568.710000000003</v>
      </c>
      <c r="U33" s="38">
        <f t="shared" si="7"/>
        <v>35604.475999999995</v>
      </c>
      <c r="V33" s="496">
        <f t="shared" si="8"/>
        <v>12.784070049108731</v>
      </c>
      <c r="AG33" s="66"/>
    </row>
    <row r="34" spans="1:33" ht="10.5" customHeight="1">
      <c r="A34" s="75" t="s">
        <v>18</v>
      </c>
      <c r="B34" s="71">
        <v>6734.386</v>
      </c>
      <c r="C34" s="71">
        <v>3444.783</v>
      </c>
      <c r="D34" s="71">
        <v>2567.317</v>
      </c>
      <c r="E34" s="71">
        <v>3196.1270000000004</v>
      </c>
      <c r="F34" s="71"/>
      <c r="G34" s="71">
        <v>4763.721</v>
      </c>
      <c r="H34" s="71">
        <v>3221.203</v>
      </c>
      <c r="I34" s="71">
        <v>6768.009</v>
      </c>
      <c r="J34" s="71">
        <v>3063.855</v>
      </c>
      <c r="K34" s="71"/>
      <c r="L34" s="71">
        <v>5914.58</v>
      </c>
      <c r="M34" s="71">
        <f>(3831.075+7504.355)-L34</f>
        <v>5420.85</v>
      </c>
      <c r="N34" s="71">
        <f>4571.985+2013.215</f>
        <v>6585.2</v>
      </c>
      <c r="O34" s="71">
        <v>3466.353</v>
      </c>
      <c r="P34" s="73"/>
      <c r="Q34" s="291">
        <f t="shared" si="4"/>
        <v>-2.701075013345877</v>
      </c>
      <c r="R34" s="73"/>
      <c r="S34" s="38">
        <f t="shared" si="5"/>
        <v>15942.613000000001</v>
      </c>
      <c r="T34" s="38">
        <f t="shared" si="6"/>
        <v>17816.788</v>
      </c>
      <c r="U34" s="38">
        <f t="shared" si="7"/>
        <v>21386.983</v>
      </c>
      <c r="V34" s="496">
        <f t="shared" si="8"/>
        <v>20.038376165221237</v>
      </c>
      <c r="AG34" s="66"/>
    </row>
    <row r="35" spans="1:33" ht="10.5" customHeight="1">
      <c r="A35" s="70" t="s">
        <v>97</v>
      </c>
      <c r="B35" s="71">
        <v>853.868</v>
      </c>
      <c r="C35" s="71">
        <v>448.29599999999994</v>
      </c>
      <c r="D35" s="71">
        <v>1777.662</v>
      </c>
      <c r="E35" s="71">
        <v>1440.739</v>
      </c>
      <c r="F35" s="71"/>
      <c r="G35" s="71">
        <v>2990.984</v>
      </c>
      <c r="H35" s="71">
        <v>2861.7</v>
      </c>
      <c r="I35" s="71">
        <v>3952.985</v>
      </c>
      <c r="J35" s="71">
        <v>5870.967</v>
      </c>
      <c r="K35" s="71"/>
      <c r="L35" s="71">
        <v>6912.328</v>
      </c>
      <c r="M35" s="71">
        <f>(6968.715+8763.891)-L35</f>
        <v>8820.277999999998</v>
      </c>
      <c r="N35" s="71">
        <f>6586.994+3784.785</f>
        <v>10371.778999999999</v>
      </c>
      <c r="O35" s="71">
        <v>4794.05</v>
      </c>
      <c r="P35" s="73"/>
      <c r="Q35" s="291">
        <f t="shared" si="4"/>
        <v>162.37840517988303</v>
      </c>
      <c r="R35" s="73"/>
      <c r="S35" s="38">
        <f t="shared" si="5"/>
        <v>4520.5650000000005</v>
      </c>
      <c r="T35" s="38">
        <f t="shared" si="6"/>
        <v>15676.635999999999</v>
      </c>
      <c r="U35" s="38">
        <f t="shared" si="7"/>
        <v>30898.434999999998</v>
      </c>
      <c r="V35" s="496">
        <f t="shared" si="8"/>
        <v>97.0986313645351</v>
      </c>
      <c r="AG35" s="66"/>
    </row>
    <row r="36" spans="1:33" ht="10.5" customHeight="1">
      <c r="A36" s="75" t="s">
        <v>302</v>
      </c>
      <c r="B36" s="71">
        <f>B37-SUM(B29:B35)</f>
        <v>22037.492000000002</v>
      </c>
      <c r="C36" s="71">
        <f>C37-SUM(C29:C35)</f>
        <v>23342.526999999995</v>
      </c>
      <c r="D36" s="71">
        <f>D37-SUM(D29:D35)</f>
        <v>24534.491</v>
      </c>
      <c r="E36" s="71">
        <f>E37-SUM(E29:E35)</f>
        <v>31719.814</v>
      </c>
      <c r="F36" s="71"/>
      <c r="G36" s="71">
        <f>G37-SUM(G29:G35)</f>
        <v>32330.002999999997</v>
      </c>
      <c r="H36" s="71">
        <f>H37-SUM(H29:H35)</f>
        <v>28482.381</v>
      </c>
      <c r="I36" s="71">
        <f>I37-SUM(I29:I35)</f>
        <v>24685.566000000013</v>
      </c>
      <c r="J36" s="71">
        <f>J37-SUM(J29:J35)</f>
        <v>29292.438000000002</v>
      </c>
      <c r="K36" s="71"/>
      <c r="L36" s="71">
        <f>L37-SUM(L29:L35)</f>
        <v>28255.151000000005</v>
      </c>
      <c r="M36" s="71">
        <f>M37-SUM(M29:M35)</f>
        <v>31652.016999999993</v>
      </c>
      <c r="N36" s="71">
        <f>N37-SUM(N29:N35)</f>
        <v>30672.64900000002</v>
      </c>
      <c r="O36" s="71">
        <v>27949.127000000008</v>
      </c>
      <c r="P36" s="73"/>
      <c r="Q36" s="291">
        <f t="shared" si="4"/>
        <v>24.253375434049197</v>
      </c>
      <c r="R36" s="73"/>
      <c r="S36" s="38">
        <f t="shared" si="5"/>
        <v>101634.32400000001</v>
      </c>
      <c r="T36" s="38">
        <f t="shared" si="6"/>
        <v>114790.388</v>
      </c>
      <c r="U36" s="38">
        <f t="shared" si="7"/>
        <v>118528.94400000002</v>
      </c>
      <c r="V36" s="496">
        <f t="shared" si="8"/>
        <v>3.256854572178991</v>
      </c>
      <c r="AG36" s="66"/>
    </row>
    <row r="37" spans="1:33" ht="10.5" customHeight="1">
      <c r="A37" s="286" t="s">
        <v>100</v>
      </c>
      <c r="B37" s="288">
        <v>54320.324</v>
      </c>
      <c r="C37" s="288">
        <v>57863.418</v>
      </c>
      <c r="D37" s="288">
        <v>58560.086</v>
      </c>
      <c r="E37" s="288">
        <v>66458.508</v>
      </c>
      <c r="F37" s="288"/>
      <c r="G37" s="288">
        <v>74212.593</v>
      </c>
      <c r="H37" s="288">
        <v>73334.217</v>
      </c>
      <c r="I37" s="288">
        <v>69339.589</v>
      </c>
      <c r="J37" s="288">
        <v>66895.622</v>
      </c>
      <c r="K37" s="288"/>
      <c r="L37" s="288">
        <v>72994.721</v>
      </c>
      <c r="M37" s="288">
        <v>100274.597</v>
      </c>
      <c r="N37" s="288">
        <f>91418.769-7452.063</f>
        <v>83966.706</v>
      </c>
      <c r="O37" s="288">
        <f>(183739.428-30053.438)-N37</f>
        <v>69719.28400000001</v>
      </c>
      <c r="P37" s="287"/>
      <c r="Q37" s="291">
        <f t="shared" si="4"/>
        <v>21.09490005774335</v>
      </c>
      <c r="R37" s="287"/>
      <c r="S37" s="289">
        <f t="shared" si="5"/>
        <v>237202.336</v>
      </c>
      <c r="T37" s="289">
        <f t="shared" si="6"/>
        <v>283782.021</v>
      </c>
      <c r="U37" s="289">
        <f t="shared" si="7"/>
        <v>326955.308</v>
      </c>
      <c r="V37" s="496">
        <f t="shared" si="8"/>
        <v>15.213538492630585</v>
      </c>
      <c r="AG37" s="66"/>
    </row>
    <row r="38" spans="1:33" ht="10.5" customHeight="1">
      <c r="A38" s="70" t="s">
        <v>101</v>
      </c>
      <c r="B38" s="71">
        <v>11186.03</v>
      </c>
      <c r="C38" s="71">
        <v>9454.345</v>
      </c>
      <c r="D38" s="71">
        <v>11207.173</v>
      </c>
      <c r="E38" s="71">
        <v>12112.621</v>
      </c>
      <c r="F38" s="71"/>
      <c r="G38" s="71">
        <v>8984.073</v>
      </c>
      <c r="H38" s="71">
        <v>15096.375</v>
      </c>
      <c r="I38" s="71">
        <v>10305.642</v>
      </c>
      <c r="J38" s="71">
        <v>9787.97</v>
      </c>
      <c r="K38" s="71"/>
      <c r="L38" s="71">
        <f>296.361+1059.07+876.798+235.59+1043.659+1134.999</f>
        <v>4646.477000000001</v>
      </c>
      <c r="M38" s="71">
        <f>(1371.656+2540.084+1620.889+598.617+2324.653+3539.849)-L38</f>
        <v>7349.270999999999</v>
      </c>
      <c r="N38" s="71">
        <f>1295.875+920.89+911.439+513.564+1848.379+4585.096</f>
        <v>10075.242999999999</v>
      </c>
      <c r="O38" s="71">
        <v>16375.062000000002</v>
      </c>
      <c r="P38" s="73"/>
      <c r="Q38" s="291">
        <f t="shared" si="4"/>
        <v>-2.2356588750123585</v>
      </c>
      <c r="R38" s="73"/>
      <c r="S38" s="38">
        <f t="shared" si="5"/>
        <v>43960.169</v>
      </c>
      <c r="T38" s="38">
        <f t="shared" si="6"/>
        <v>44174.06</v>
      </c>
      <c r="U38" s="38">
        <f t="shared" si="7"/>
        <v>38446.053</v>
      </c>
      <c r="V38" s="496">
        <f t="shared" si="8"/>
        <v>-12.966901842393474</v>
      </c>
      <c r="AG38" s="66"/>
    </row>
    <row r="39" spans="1:33" ht="3" customHeight="1">
      <c r="A39" s="74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68"/>
      <c r="Q39" s="291"/>
      <c r="R39" s="68"/>
      <c r="V39" s="497"/>
      <c r="AG39" s="66"/>
    </row>
    <row r="40" spans="1:33" ht="10.5" customHeight="1">
      <c r="A40" s="286" t="s">
        <v>102</v>
      </c>
      <c r="B40" s="288">
        <f>B37+B38</f>
        <v>65506.354</v>
      </c>
      <c r="C40" s="288">
        <f>C37+C38</f>
        <v>67317.76299999999</v>
      </c>
      <c r="D40" s="288">
        <f>D37+D38</f>
        <v>69767.259</v>
      </c>
      <c r="E40" s="288">
        <v>78531.959</v>
      </c>
      <c r="F40" s="288"/>
      <c r="G40" s="288">
        <f>G37+G38</f>
        <v>83196.666</v>
      </c>
      <c r="H40" s="288">
        <f>H37+H38</f>
        <v>88430.592</v>
      </c>
      <c r="I40" s="288">
        <v>91918</v>
      </c>
      <c r="J40" s="288">
        <f>J37+J38</f>
        <v>76683.592</v>
      </c>
      <c r="K40" s="288"/>
      <c r="L40" s="288">
        <f>L37+L38</f>
        <v>77641.198</v>
      </c>
      <c r="M40" s="288">
        <f>M37+M38</f>
        <v>107623.86799999999</v>
      </c>
      <c r="N40" s="288">
        <f>N37+N38</f>
        <v>94041.94900000001</v>
      </c>
      <c r="O40" s="288">
        <f>O37+O38</f>
        <v>86094.34600000002</v>
      </c>
      <c r="P40" s="287"/>
      <c r="Q40" s="291">
        <f>((N40/I40)-1)*100</f>
        <v>2.3106997541286978</v>
      </c>
      <c r="R40" s="287"/>
      <c r="S40" s="289">
        <f>SUM(B40:E40)</f>
        <v>281123.33499999996</v>
      </c>
      <c r="T40" s="289">
        <f>T37+T38</f>
        <v>327956.081</v>
      </c>
      <c r="U40" s="289">
        <f>U37+U38</f>
        <v>365401.36100000003</v>
      </c>
      <c r="V40" s="496">
        <f>((U40/T40)-1)*100</f>
        <v>11.417772735246224</v>
      </c>
      <c r="AG40" s="66"/>
    </row>
    <row r="41" spans="1:33" ht="3" customHeight="1">
      <c r="A41" s="6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291"/>
      <c r="R41" s="287"/>
      <c r="S41" s="293"/>
      <c r="T41" s="293"/>
      <c r="U41" s="293"/>
      <c r="V41" s="498"/>
      <c r="AG41" s="66"/>
    </row>
    <row r="42" spans="1:33" ht="10.5" customHeight="1">
      <c r="A42" s="359" t="s">
        <v>303</v>
      </c>
      <c r="B42" s="296">
        <f>B26-B40</f>
        <v>171740.74700000003</v>
      </c>
      <c r="C42" s="296">
        <f>C26-C40</f>
        <v>142765.12</v>
      </c>
      <c r="D42" s="296">
        <f>D26-D40</f>
        <v>138005.06199999998</v>
      </c>
      <c r="E42" s="296">
        <v>105748.943</v>
      </c>
      <c r="F42" s="296"/>
      <c r="G42" s="296">
        <f>G26-G40</f>
        <v>59225.723</v>
      </c>
      <c r="H42" s="296">
        <f>H26-H40</f>
        <v>78220.13</v>
      </c>
      <c r="I42" s="296">
        <v>111860</v>
      </c>
      <c r="J42" s="296">
        <f>J26-J40</f>
        <v>113468.19100000005</v>
      </c>
      <c r="K42" s="296"/>
      <c r="L42" s="296">
        <f>L26-L40</f>
        <v>133666.834</v>
      </c>
      <c r="M42" s="296">
        <f>M26-M40</f>
        <v>143542.279</v>
      </c>
      <c r="N42" s="296">
        <f>N26-N40</f>
        <v>107633.21499999998</v>
      </c>
      <c r="O42" s="296">
        <f>O26-O40</f>
        <v>201351.50400000002</v>
      </c>
      <c r="P42" s="296"/>
      <c r="Q42" s="291">
        <f>((N42/I42)-1)*100</f>
        <v>-3.7786384766672843</v>
      </c>
      <c r="R42" s="297"/>
      <c r="S42" s="298">
        <f>S26-S40</f>
        <v>569041.201</v>
      </c>
      <c r="T42" s="298">
        <f>T26-T40</f>
        <v>375055.95499999996</v>
      </c>
      <c r="U42" s="298">
        <f>U26-U40</f>
        <v>586193.832</v>
      </c>
      <c r="V42" s="496">
        <f>((U42/T42)-1)*100</f>
        <v>56.29503389700881</v>
      </c>
      <c r="AG42" s="66"/>
    </row>
    <row r="43" spans="1:33" ht="15" customHeight="1">
      <c r="A43" s="360" t="s">
        <v>323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68"/>
      <c r="S43" s="138"/>
      <c r="T43" s="138"/>
      <c r="U43" s="138"/>
      <c r="V43" s="138"/>
      <c r="AB43" s="68"/>
      <c r="AC43" s="73"/>
      <c r="AD43" s="73"/>
      <c r="AE43" s="73"/>
      <c r="AF43" s="138"/>
      <c r="AG43" s="66"/>
    </row>
    <row r="44" spans="1:33" ht="10.5" customHeight="1">
      <c r="A44" s="361" t="s">
        <v>554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AB44" s="68"/>
      <c r="AC44" s="73"/>
      <c r="AD44" s="73"/>
      <c r="AE44" s="73"/>
      <c r="AF44" s="68"/>
      <c r="AG44" s="66"/>
    </row>
    <row r="45" spans="1:41" ht="15" customHeight="1">
      <c r="A45" s="76" t="s">
        <v>276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AB45" s="72" t="s">
        <v>15</v>
      </c>
      <c r="AC45" s="72" t="s">
        <v>15</v>
      </c>
      <c r="AD45" s="72"/>
      <c r="AE45" s="72"/>
      <c r="AF45" s="68"/>
      <c r="AH45" s="71"/>
      <c r="AI45" s="71"/>
      <c r="AJ45" s="71"/>
      <c r="AK45" s="71"/>
      <c r="AL45" s="71"/>
      <c r="AM45" s="71"/>
      <c r="AN45" s="71"/>
      <c r="AO45" s="71"/>
    </row>
    <row r="47" ht="12.75">
      <c r="A47" s="358" t="s">
        <v>299</v>
      </c>
    </row>
    <row r="49" ht="10.5">
      <c r="A49" s="354" t="s">
        <v>297</v>
      </c>
    </row>
    <row r="51" ht="12">
      <c r="A51" s="150" t="s">
        <v>393</v>
      </c>
    </row>
    <row r="52" spans="1:20" ht="11.25">
      <c r="A52" s="271"/>
      <c r="B52" s="275">
        <v>2004</v>
      </c>
      <c r="C52" s="275"/>
      <c r="D52" s="275"/>
      <c r="E52" s="355"/>
      <c r="F52" s="395"/>
      <c r="G52" s="275">
        <v>2005</v>
      </c>
      <c r="H52" s="275"/>
      <c r="I52" s="275"/>
      <c r="J52" s="355"/>
      <c r="K52" s="395"/>
      <c r="L52" s="275">
        <v>2006</v>
      </c>
      <c r="M52" s="275"/>
      <c r="N52" s="275"/>
      <c r="O52" s="501"/>
      <c r="P52" s="395"/>
      <c r="Q52" s="395"/>
      <c r="R52" s="395"/>
      <c r="S52" s="499" t="s">
        <v>19</v>
      </c>
      <c r="T52" s="499"/>
    </row>
    <row r="53" spans="1:20" ht="11.25">
      <c r="A53" s="278" t="s">
        <v>82</v>
      </c>
      <c r="B53" s="279" t="s">
        <v>83</v>
      </c>
      <c r="C53" s="280" t="s">
        <v>141</v>
      </c>
      <c r="D53" s="281" t="s">
        <v>162</v>
      </c>
      <c r="E53" s="282" t="s">
        <v>84</v>
      </c>
      <c r="F53" s="282"/>
      <c r="G53" s="279" t="s">
        <v>83</v>
      </c>
      <c r="H53" s="280" t="s">
        <v>141</v>
      </c>
      <c r="I53" s="281" t="s">
        <v>162</v>
      </c>
      <c r="J53" s="282" t="s">
        <v>84</v>
      </c>
      <c r="K53" s="282"/>
      <c r="L53" s="279" t="s">
        <v>83</v>
      </c>
      <c r="M53" s="280" t="s">
        <v>141</v>
      </c>
      <c r="N53" s="281" t="s">
        <v>162</v>
      </c>
      <c r="O53" s="502"/>
      <c r="P53" s="285"/>
      <c r="Q53" s="285"/>
      <c r="R53" s="285"/>
      <c r="S53" s="285">
        <v>2004</v>
      </c>
      <c r="T53" s="285">
        <v>2005</v>
      </c>
    </row>
    <row r="54" spans="1:20" ht="11.25">
      <c r="A54" s="68"/>
      <c r="B54" s="122"/>
      <c r="C54" s="69"/>
      <c r="D54" s="69"/>
      <c r="E54" s="69"/>
      <c r="L54" s="488"/>
      <c r="M54" s="487"/>
      <c r="S54" s="488" t="s">
        <v>129</v>
      </c>
      <c r="T54" s="487"/>
    </row>
    <row r="55" spans="1:20" ht="5.25" customHeight="1">
      <c r="A55" s="70" t="s">
        <v>15</v>
      </c>
      <c r="B55" s="68"/>
      <c r="C55" s="68"/>
      <c r="D55" s="68"/>
      <c r="E55" s="68"/>
      <c r="L55" s="36"/>
      <c r="M55" s="36"/>
      <c r="S55" s="36"/>
      <c r="T55" s="36"/>
    </row>
    <row r="56" spans="1:20" ht="11.25">
      <c r="A56" s="172" t="s">
        <v>85</v>
      </c>
      <c r="B56" s="68"/>
      <c r="C56" s="68"/>
      <c r="D56" s="68"/>
      <c r="E56" s="68"/>
      <c r="L56" s="36"/>
      <c r="M56" s="36"/>
      <c r="S56" s="36"/>
      <c r="T56" s="36"/>
    </row>
    <row r="57" spans="1:20" ht="10.5" customHeight="1">
      <c r="A57" s="70" t="s">
        <v>86</v>
      </c>
      <c r="B57" s="71">
        <v>2605.05</v>
      </c>
      <c r="C57" s="71">
        <v>19534.386</v>
      </c>
      <c r="D57" s="71">
        <v>24666.327</v>
      </c>
      <c r="E57" s="71">
        <v>7787.015</v>
      </c>
      <c r="G57" s="71">
        <v>6069.791</v>
      </c>
      <c r="H57" s="71">
        <v>21599.526</v>
      </c>
      <c r="I57" s="71">
        <v>26815.871</v>
      </c>
      <c r="J57" s="71">
        <v>10392.973</v>
      </c>
      <c r="L57" s="38"/>
      <c r="M57" s="38"/>
      <c r="S57" s="38">
        <v>54392.824</v>
      </c>
      <c r="T57" s="38">
        <v>63658.828</v>
      </c>
    </row>
    <row r="58" spans="1:20" ht="10.5" customHeight="1">
      <c r="A58" s="70" t="s">
        <v>87</v>
      </c>
      <c r="B58" s="71">
        <v>519.08</v>
      </c>
      <c r="C58" s="71">
        <v>161.165</v>
      </c>
      <c r="D58" s="73">
        <v>249.228</v>
      </c>
      <c r="E58" s="71">
        <v>1167.788</v>
      </c>
      <c r="G58" s="71">
        <v>1907.474</v>
      </c>
      <c r="H58" s="71">
        <v>1861.2480000000003</v>
      </c>
      <c r="I58" s="71">
        <v>604.373</v>
      </c>
      <c r="J58" s="71">
        <v>1559.9789999999994</v>
      </c>
      <c r="L58" s="38"/>
      <c r="M58" s="38"/>
      <c r="S58" s="38">
        <v>2097.261</v>
      </c>
      <c r="T58" s="38">
        <v>5933.074</v>
      </c>
    </row>
    <row r="59" spans="1:20" ht="10.5" customHeight="1">
      <c r="A59" s="70" t="s">
        <v>88</v>
      </c>
      <c r="B59" s="71">
        <v>1302.55</v>
      </c>
      <c r="C59" s="71">
        <v>1705.9869999999999</v>
      </c>
      <c r="D59" s="73">
        <v>1224.734</v>
      </c>
      <c r="E59" s="71">
        <v>1453.715</v>
      </c>
      <c r="G59" s="71">
        <v>1017.927</v>
      </c>
      <c r="H59" s="71">
        <v>1076.795</v>
      </c>
      <c r="I59" s="71">
        <v>727.508</v>
      </c>
      <c r="J59" s="71">
        <v>3858.6279999999997</v>
      </c>
      <c r="L59" s="38"/>
      <c r="M59" s="38"/>
      <c r="S59" s="38">
        <v>5686.986</v>
      </c>
      <c r="T59" s="38">
        <v>6680.858</v>
      </c>
    </row>
    <row r="60" spans="1:20" ht="10.5" customHeight="1">
      <c r="A60" s="70" t="s">
        <v>89</v>
      </c>
      <c r="B60" s="71">
        <v>3433.277</v>
      </c>
      <c r="C60" s="71">
        <v>3201.126</v>
      </c>
      <c r="D60" s="73">
        <v>5347.019</v>
      </c>
      <c r="E60" s="71">
        <v>6023.036</v>
      </c>
      <c r="G60" s="71">
        <v>2482.113</v>
      </c>
      <c r="H60" s="71">
        <v>3471.3210000000004</v>
      </c>
      <c r="I60" s="71">
        <v>3158.374</v>
      </c>
      <c r="J60" s="71">
        <v>6666.27</v>
      </c>
      <c r="L60" s="38"/>
      <c r="M60" s="38"/>
      <c r="S60" s="38">
        <v>17907.979</v>
      </c>
      <c r="T60" s="38">
        <v>15761.557</v>
      </c>
    </row>
    <row r="61" spans="1:20" ht="10.5" customHeight="1">
      <c r="A61" s="70" t="s">
        <v>90</v>
      </c>
      <c r="B61" s="71">
        <v>4274.372</v>
      </c>
      <c r="C61" s="71">
        <v>4391.976</v>
      </c>
      <c r="D61" s="73">
        <v>8356.705</v>
      </c>
      <c r="E61" s="71">
        <v>3693.883</v>
      </c>
      <c r="G61" s="71">
        <v>4476.364</v>
      </c>
      <c r="H61" s="71">
        <v>5488.891</v>
      </c>
      <c r="I61" s="71">
        <v>6212.402</v>
      </c>
      <c r="J61" s="71">
        <v>14869.648</v>
      </c>
      <c r="L61" s="38"/>
      <c r="M61" s="38"/>
      <c r="S61" s="38">
        <v>20683.88</v>
      </c>
      <c r="T61" s="38">
        <v>31047.323</v>
      </c>
    </row>
    <row r="62" spans="1:20" ht="10.5" customHeight="1">
      <c r="A62" s="70" t="s">
        <v>91</v>
      </c>
      <c r="B62" s="71">
        <v>8549.754</v>
      </c>
      <c r="C62" s="71">
        <v>5179.598</v>
      </c>
      <c r="D62" s="73">
        <v>5853.976</v>
      </c>
      <c r="E62" s="71">
        <v>15465.665</v>
      </c>
      <c r="G62" s="71">
        <v>11899.657</v>
      </c>
      <c r="H62" s="71">
        <v>4479.188</v>
      </c>
      <c r="I62" s="71">
        <v>5230.434</v>
      </c>
      <c r="J62" s="71">
        <v>16805.856</v>
      </c>
      <c r="L62" s="38"/>
      <c r="M62" s="38"/>
      <c r="S62" s="38">
        <v>35049.025</v>
      </c>
      <c r="T62" s="38">
        <v>38415.17</v>
      </c>
    </row>
    <row r="63" spans="1:20" ht="10.5" customHeight="1">
      <c r="A63" s="70" t="s">
        <v>92</v>
      </c>
      <c r="B63" s="71">
        <v>1450.232</v>
      </c>
      <c r="C63" s="71">
        <v>1293.179</v>
      </c>
      <c r="D63" s="73">
        <v>1053.275</v>
      </c>
      <c r="E63" s="71">
        <v>1477.702</v>
      </c>
      <c r="G63" s="71">
        <v>1224.397</v>
      </c>
      <c r="H63" s="71">
        <v>1664.77</v>
      </c>
      <c r="I63" s="71">
        <v>1715.943</v>
      </c>
      <c r="J63" s="71">
        <v>4525.265</v>
      </c>
      <c r="L63" s="38"/>
      <c r="M63" s="38"/>
      <c r="S63" s="38">
        <v>5127.234</v>
      </c>
      <c r="T63" s="38">
        <v>9216.383</v>
      </c>
    </row>
    <row r="64" spans="1:20" ht="10.5" customHeight="1">
      <c r="A64" s="70" t="s">
        <v>93</v>
      </c>
      <c r="B64" s="71">
        <v>4857.023</v>
      </c>
      <c r="C64" s="71">
        <v>3793.705999999999</v>
      </c>
      <c r="D64" s="73">
        <v>4308.378</v>
      </c>
      <c r="E64" s="71">
        <v>5217.3110000000015</v>
      </c>
      <c r="G64" s="71">
        <v>4750.767</v>
      </c>
      <c r="H64" s="71">
        <v>1314.871</v>
      </c>
      <c r="I64" s="71">
        <v>1489.931</v>
      </c>
      <c r="J64" s="71">
        <v>8526.531</v>
      </c>
      <c r="L64" s="38"/>
      <c r="M64" s="38"/>
      <c r="S64" s="38">
        <v>18176.418</v>
      </c>
      <c r="T64" s="38">
        <v>16038.193</v>
      </c>
    </row>
    <row r="65" spans="1:20" ht="10.5" customHeight="1">
      <c r="A65" s="70" t="s">
        <v>94</v>
      </c>
      <c r="B65" s="71">
        <v>3261.454</v>
      </c>
      <c r="C65" s="71">
        <v>2033.506</v>
      </c>
      <c r="D65" s="73">
        <v>2431.334</v>
      </c>
      <c r="E65" s="71">
        <v>5202.898999999999</v>
      </c>
      <c r="G65" s="71">
        <v>5206.153</v>
      </c>
      <c r="H65" s="71">
        <v>1162.0429999999997</v>
      </c>
      <c r="I65" s="71">
        <v>891.086</v>
      </c>
      <c r="J65" s="71">
        <v>6061.876</v>
      </c>
      <c r="L65" s="38"/>
      <c r="M65" s="38"/>
      <c r="S65" s="38">
        <v>12929.195</v>
      </c>
      <c r="T65" s="38">
        <v>13321.164</v>
      </c>
    </row>
    <row r="66" spans="1:20" ht="10.5" customHeight="1">
      <c r="A66" s="70" t="s">
        <v>95</v>
      </c>
      <c r="B66" s="71">
        <v>44452.737</v>
      </c>
      <c r="C66" s="71">
        <v>21890.794</v>
      </c>
      <c r="D66" s="73">
        <v>32315.845</v>
      </c>
      <c r="E66" s="71">
        <v>34368.65</v>
      </c>
      <c r="G66" s="71">
        <v>20585.27</v>
      </c>
      <c r="H66" s="71">
        <v>22369.481</v>
      </c>
      <c r="I66" s="71">
        <v>30895.571</v>
      </c>
      <c r="J66" s="71">
        <v>35803</v>
      </c>
      <c r="L66" s="38"/>
      <c r="M66" s="38"/>
      <c r="S66" s="38">
        <v>133114.031</v>
      </c>
      <c r="T66" s="38">
        <v>109653.489</v>
      </c>
    </row>
    <row r="67" spans="1:20" ht="10.5" customHeight="1">
      <c r="A67" s="70" t="s">
        <v>96</v>
      </c>
      <c r="B67" s="71">
        <v>219.258</v>
      </c>
      <c r="C67" s="71">
        <v>118.73299999999998</v>
      </c>
      <c r="D67" s="73">
        <v>290.591</v>
      </c>
      <c r="E67" s="71">
        <v>369.331</v>
      </c>
      <c r="G67" s="71">
        <v>326.218</v>
      </c>
      <c r="H67" s="71">
        <v>64.28199999999998</v>
      </c>
      <c r="I67" s="71">
        <v>1060.492</v>
      </c>
      <c r="J67" s="71">
        <v>1801.229</v>
      </c>
      <c r="L67" s="38"/>
      <c r="M67" s="38"/>
      <c r="S67" s="38">
        <v>997.913</v>
      </c>
      <c r="T67" s="38">
        <v>3252.221</v>
      </c>
    </row>
    <row r="68" spans="1:20" ht="10.5" customHeight="1">
      <c r="A68" s="70" t="s">
        <v>97</v>
      </c>
      <c r="B68" s="71">
        <v>87720.996</v>
      </c>
      <c r="C68" s="71">
        <v>34927.658</v>
      </c>
      <c r="D68" s="73">
        <v>30576.228</v>
      </c>
      <c r="E68" s="71">
        <v>29389.833</v>
      </c>
      <c r="G68" s="71">
        <v>28088.715</v>
      </c>
      <c r="H68" s="71">
        <v>25232.747</v>
      </c>
      <c r="I68" s="71">
        <v>55466.083</v>
      </c>
      <c r="J68" s="71">
        <v>50761.684</v>
      </c>
      <c r="L68" s="38"/>
      <c r="M68" s="38"/>
      <c r="S68" s="38">
        <v>179850.078</v>
      </c>
      <c r="T68" s="38">
        <v>152934.211</v>
      </c>
    </row>
    <row r="69" spans="1:20" ht="10.5" customHeight="1">
      <c r="A69" s="70" t="s">
        <v>98</v>
      </c>
      <c r="B69" s="71">
        <v>10142.56</v>
      </c>
      <c r="C69" s="71">
        <v>2968.581</v>
      </c>
      <c r="D69" s="73">
        <v>2753.496</v>
      </c>
      <c r="E69" s="71">
        <v>2406.5210000000006</v>
      </c>
      <c r="G69" s="71">
        <v>3330.43</v>
      </c>
      <c r="H69" s="71">
        <v>5118.701999999999</v>
      </c>
      <c r="I69" s="71">
        <v>4092.638</v>
      </c>
      <c r="J69" s="71">
        <v>2805.0249999999996</v>
      </c>
      <c r="L69" s="38"/>
      <c r="M69" s="38"/>
      <c r="S69" s="38">
        <v>18271.158</v>
      </c>
      <c r="T69" s="38">
        <v>15346.795</v>
      </c>
    </row>
    <row r="70" spans="1:20" ht="10.5" customHeight="1">
      <c r="A70" s="70" t="s">
        <v>99</v>
      </c>
      <c r="B70" s="71">
        <v>1866.964</v>
      </c>
      <c r="C70" s="71">
        <v>146.61900000000014</v>
      </c>
      <c r="D70" s="73">
        <v>374.19</v>
      </c>
      <c r="E70" s="71">
        <v>415.01099999999997</v>
      </c>
      <c r="G70" s="71">
        <v>2055.292</v>
      </c>
      <c r="H70" s="71">
        <v>548.1170000000002</v>
      </c>
      <c r="I70" s="71">
        <v>398.164</v>
      </c>
      <c r="J70" s="71">
        <v>1243.3759999999993</v>
      </c>
      <c r="L70" s="38"/>
      <c r="M70" s="38"/>
      <c r="S70" s="38">
        <v>2802.784</v>
      </c>
      <c r="T70" s="38">
        <v>4244.949</v>
      </c>
    </row>
    <row r="71" spans="1:20" ht="10.5" customHeight="1">
      <c r="A71" s="70" t="s">
        <v>164</v>
      </c>
      <c r="B71" s="71">
        <f>B72-SUM(B57:B70)</f>
        <v>5065.907999999996</v>
      </c>
      <c r="C71" s="71">
        <f>C72-SUM(C57:C70)</f>
        <v>15912.333999999973</v>
      </c>
      <c r="D71" s="71">
        <f>D72-SUM(D57:D70)</f>
        <v>19038.983999999997</v>
      </c>
      <c r="E71" s="71">
        <v>8699.245999999985</v>
      </c>
      <c r="G71" s="71">
        <v>11860.663</v>
      </c>
      <c r="H71" s="71">
        <v>15467.383999999991</v>
      </c>
      <c r="I71" s="71">
        <v>21119.899000000005</v>
      </c>
      <c r="J71" s="71">
        <v>25851.107000000018</v>
      </c>
      <c r="L71" s="38"/>
      <c r="M71" s="38"/>
      <c r="S71" s="38">
        <v>49745.78100000002</v>
      </c>
      <c r="T71" s="38">
        <v>74299.05300000001</v>
      </c>
    </row>
    <row r="72" spans="1:20" ht="10.5" customHeight="1">
      <c r="A72" s="286" t="s">
        <v>100</v>
      </c>
      <c r="B72" s="288">
        <v>179721.215</v>
      </c>
      <c r="C72" s="288">
        <v>117259.348</v>
      </c>
      <c r="D72" s="287">
        <v>138840.31</v>
      </c>
      <c r="E72" s="288">
        <v>121011.673</v>
      </c>
      <c r="G72" s="288">
        <v>105281.231</v>
      </c>
      <c r="H72" s="288">
        <v>110919.366</v>
      </c>
      <c r="I72" s="288">
        <v>159878.769</v>
      </c>
      <c r="J72" s="288">
        <v>183723.901</v>
      </c>
      <c r="L72" s="289"/>
      <c r="M72" s="289"/>
      <c r="S72" s="289">
        <v>556832.547</v>
      </c>
      <c r="T72" s="289">
        <v>559803.268</v>
      </c>
    </row>
    <row r="73" spans="1:20" ht="10.5" customHeight="1">
      <c r="A73" s="70" t="s">
        <v>101</v>
      </c>
      <c r="B73" s="71">
        <v>33871.687</v>
      </c>
      <c r="C73" s="71">
        <v>13096.098</v>
      </c>
      <c r="D73" s="73">
        <v>7808.568</v>
      </c>
      <c r="E73" s="71">
        <v>9081.154</v>
      </c>
      <c r="G73" s="71">
        <v>22497.119</v>
      </c>
      <c r="H73" s="71">
        <v>23741.954</v>
      </c>
      <c r="I73" s="71">
        <v>8518.173</v>
      </c>
      <c r="J73" s="71">
        <v>25389.727</v>
      </c>
      <c r="L73" s="38"/>
      <c r="M73" s="38"/>
      <c r="S73" s="38">
        <v>63857.475</v>
      </c>
      <c r="T73" s="38">
        <v>80146.974</v>
      </c>
    </row>
    <row r="74" spans="1:10" ht="4.5" customHeight="1">
      <c r="A74" s="74"/>
      <c r="B74" s="68"/>
      <c r="C74" s="68"/>
      <c r="D74" s="68"/>
      <c r="E74" s="68"/>
      <c r="G74" s="68"/>
      <c r="H74" s="71">
        <v>0</v>
      </c>
      <c r="I74" s="71">
        <v>0</v>
      </c>
      <c r="J74" s="68"/>
    </row>
    <row r="75" spans="1:20" ht="10.5" customHeight="1">
      <c r="A75" s="286" t="s">
        <v>102</v>
      </c>
      <c r="B75" s="287">
        <f>B72+B73</f>
        <v>213592.902</v>
      </c>
      <c r="C75" s="288">
        <f>C72+C73</f>
        <v>130355.446</v>
      </c>
      <c r="D75" s="288">
        <f>D72+D73</f>
        <v>146648.878</v>
      </c>
      <c r="E75" s="288">
        <f>E72+E73</f>
        <v>130092.82699999999</v>
      </c>
      <c r="G75" s="288">
        <v>127778.35</v>
      </c>
      <c r="H75" s="288">
        <v>134661.32</v>
      </c>
      <c r="I75" s="288">
        <v>168396.942</v>
      </c>
      <c r="J75" s="288">
        <v>209113.62800000003</v>
      </c>
      <c r="L75" s="289"/>
      <c r="M75" s="289"/>
      <c r="S75" s="289">
        <v>620690.022</v>
      </c>
      <c r="T75" s="289">
        <v>639950.2420000001</v>
      </c>
    </row>
    <row r="76" spans="1:10" ht="10.5" customHeight="1">
      <c r="A76" s="68"/>
      <c r="B76" s="73"/>
      <c r="C76" s="73"/>
      <c r="D76" s="73"/>
      <c r="E76" s="73"/>
      <c r="G76" s="73"/>
      <c r="H76" s="73"/>
      <c r="I76" s="73"/>
      <c r="J76" s="73"/>
    </row>
    <row r="77" spans="1:10" ht="10.5" customHeight="1">
      <c r="A77" s="172" t="s">
        <v>103</v>
      </c>
      <c r="B77" s="73"/>
      <c r="C77" s="73"/>
      <c r="D77" s="73"/>
      <c r="E77" s="73"/>
      <c r="G77" s="73"/>
      <c r="H77" s="73"/>
      <c r="I77" s="73"/>
      <c r="J77" s="73"/>
    </row>
    <row r="78" spans="1:20" ht="10.5" customHeight="1">
      <c r="A78" s="114" t="s">
        <v>126</v>
      </c>
      <c r="B78" s="73">
        <v>5117.678</v>
      </c>
      <c r="C78" s="71">
        <v>5443.192999999999</v>
      </c>
      <c r="D78" s="73">
        <v>4268.876</v>
      </c>
      <c r="E78" s="71">
        <v>5760.179</v>
      </c>
      <c r="G78" s="71">
        <v>4403.488</v>
      </c>
      <c r="H78" s="71">
        <v>4640.463000000001</v>
      </c>
      <c r="I78" s="71">
        <v>4785.737</v>
      </c>
      <c r="J78" s="71">
        <v>5487.151999999998</v>
      </c>
      <c r="L78" s="38"/>
      <c r="M78" s="38"/>
      <c r="S78" s="38">
        <v>20589.926</v>
      </c>
      <c r="T78" s="38">
        <v>19316.84</v>
      </c>
    </row>
    <row r="79" spans="1:20" ht="10.5" customHeight="1">
      <c r="A79" s="70" t="s">
        <v>89</v>
      </c>
      <c r="B79" s="71">
        <v>1781.2330000000002</v>
      </c>
      <c r="C79" s="71">
        <v>2165.0069999999996</v>
      </c>
      <c r="D79" s="73">
        <v>1182.89</v>
      </c>
      <c r="E79" s="71">
        <v>3093.094000000001</v>
      </c>
      <c r="G79" s="71">
        <v>3127.752</v>
      </c>
      <c r="H79" s="71">
        <v>1664.6929999999998</v>
      </c>
      <c r="I79" s="71">
        <v>1837.054</v>
      </c>
      <c r="J79" s="71">
        <v>4655.884</v>
      </c>
      <c r="L79" s="38"/>
      <c r="M79" s="38"/>
      <c r="S79" s="38">
        <v>8222.224</v>
      </c>
      <c r="T79" s="38">
        <v>11285.383</v>
      </c>
    </row>
    <row r="80" spans="1:20" ht="10.5" customHeight="1">
      <c r="A80" s="75" t="s">
        <v>142</v>
      </c>
      <c r="B80" s="71">
        <v>5962.286</v>
      </c>
      <c r="C80" s="71">
        <v>6548.375</v>
      </c>
      <c r="D80" s="73">
        <v>7114.65</v>
      </c>
      <c r="E80" s="71">
        <v>6894.108999999997</v>
      </c>
      <c r="G80" s="71">
        <v>4732.12</v>
      </c>
      <c r="H80" s="71">
        <v>5395.389000000002</v>
      </c>
      <c r="I80" s="71">
        <v>4770.518</v>
      </c>
      <c r="J80" s="71">
        <v>5391.5719999999965</v>
      </c>
      <c r="L80" s="38"/>
      <c r="M80" s="38"/>
      <c r="S80" s="38">
        <v>26519.42</v>
      </c>
      <c r="T80" s="38">
        <v>20289.599</v>
      </c>
    </row>
    <row r="81" spans="1:20" ht="10.5" customHeight="1">
      <c r="A81" s="70" t="s">
        <v>92</v>
      </c>
      <c r="B81" s="71">
        <v>2562.386</v>
      </c>
      <c r="C81" s="71">
        <v>1829.7479999999998</v>
      </c>
      <c r="D81" s="73">
        <v>1102.875</v>
      </c>
      <c r="E81" s="71">
        <v>3106.732</v>
      </c>
      <c r="G81" s="71">
        <v>2715.065</v>
      </c>
      <c r="H81" s="71">
        <v>2131.3529999999996</v>
      </c>
      <c r="I81" s="71">
        <v>1786.1570000000002</v>
      </c>
      <c r="J81" s="71">
        <v>2762.982000000001</v>
      </c>
      <c r="L81" s="38"/>
      <c r="M81" s="38"/>
      <c r="S81" s="38">
        <v>8601.741</v>
      </c>
      <c r="T81" s="38">
        <v>9395.557</v>
      </c>
    </row>
    <row r="82" spans="1:20" ht="10.5" customHeight="1">
      <c r="A82" s="70" t="s">
        <v>185</v>
      </c>
      <c r="B82" s="71">
        <v>6439.0740000000005</v>
      </c>
      <c r="C82" s="71">
        <v>9807.304</v>
      </c>
      <c r="D82" s="73">
        <v>6448.822999999999</v>
      </c>
      <c r="E82" s="71">
        <v>7575.017999999996</v>
      </c>
      <c r="G82" s="71">
        <v>8862.686</v>
      </c>
      <c r="H82" s="71">
        <v>7111.843999999999</v>
      </c>
      <c r="I82" s="71">
        <v>5848.155000000001</v>
      </c>
      <c r="J82" s="71">
        <v>7730.954000000005</v>
      </c>
      <c r="L82" s="38"/>
      <c r="M82" s="38"/>
      <c r="S82" s="38">
        <v>30270.218999999997</v>
      </c>
      <c r="T82" s="38">
        <v>29553.639000000003</v>
      </c>
    </row>
    <row r="83" spans="1:20" ht="10.5" customHeight="1">
      <c r="A83" s="75" t="s">
        <v>18</v>
      </c>
      <c r="B83" s="71">
        <v>2954.743</v>
      </c>
      <c r="C83" s="71">
        <v>2674.879</v>
      </c>
      <c r="D83" s="73">
        <v>3572.641</v>
      </c>
      <c r="E83" s="71">
        <v>4967.647000000001</v>
      </c>
      <c r="G83" s="71">
        <v>4840.067</v>
      </c>
      <c r="H83" s="71">
        <v>3160.156</v>
      </c>
      <c r="I83" s="71">
        <v>2406.583</v>
      </c>
      <c r="J83" s="71">
        <v>4187.431999999999</v>
      </c>
      <c r="L83" s="38"/>
      <c r="M83" s="38"/>
      <c r="S83" s="38">
        <v>14169.91</v>
      </c>
      <c r="T83" s="38">
        <v>14594.238</v>
      </c>
    </row>
    <row r="84" spans="1:20" ht="10.5" customHeight="1">
      <c r="A84" s="70" t="s">
        <v>97</v>
      </c>
      <c r="B84" s="71">
        <v>3324.485</v>
      </c>
      <c r="C84" s="71">
        <v>1733.243</v>
      </c>
      <c r="D84" s="73">
        <v>1552.391</v>
      </c>
      <c r="E84" s="71">
        <v>5389.424999999999</v>
      </c>
      <c r="G84" s="71">
        <v>2979.659</v>
      </c>
      <c r="H84" s="71">
        <v>2195.994</v>
      </c>
      <c r="I84" s="71">
        <v>1406.187</v>
      </c>
      <c r="J84" s="71">
        <v>1316.1279999999997</v>
      </c>
      <c r="L84" s="38"/>
      <c r="M84" s="38"/>
      <c r="S84" s="38">
        <v>11999.544</v>
      </c>
      <c r="T84" s="38">
        <v>7897.968</v>
      </c>
    </row>
    <row r="85" spans="1:20" ht="10.5" customHeight="1">
      <c r="A85" s="70" t="s">
        <v>165</v>
      </c>
      <c r="B85" s="71">
        <v>27251.805000000004</v>
      </c>
      <c r="C85" s="71">
        <v>26804.63099999999</v>
      </c>
      <c r="D85" s="71">
        <v>19661.991</v>
      </c>
      <c r="E85" s="71">
        <v>13043.329000000027</v>
      </c>
      <c r="G85" s="71">
        <v>37199.94</v>
      </c>
      <c r="H85" s="71">
        <v>26227.849000000013</v>
      </c>
      <c r="I85" s="71">
        <v>22714.302000000003</v>
      </c>
      <c r="J85" s="71">
        <v>26447.72</v>
      </c>
      <c r="L85" s="38"/>
      <c r="M85" s="38"/>
      <c r="S85" s="38">
        <v>86761.75600000002</v>
      </c>
      <c r="T85" s="38">
        <v>112589.81099999997</v>
      </c>
    </row>
    <row r="86" spans="1:20" ht="10.5" customHeight="1">
      <c r="A86" s="286" t="s">
        <v>100</v>
      </c>
      <c r="B86" s="288">
        <v>55393.69</v>
      </c>
      <c r="C86" s="288">
        <v>57006.38</v>
      </c>
      <c r="D86" s="287">
        <v>44905.137</v>
      </c>
      <c r="E86" s="288">
        <v>49829.533000000025</v>
      </c>
      <c r="G86" s="288">
        <v>68860.777</v>
      </c>
      <c r="H86" s="288">
        <v>52527.74100000001</v>
      </c>
      <c r="I86" s="288">
        <v>45554.693</v>
      </c>
      <c r="J86" s="288">
        <v>57979.823999999964</v>
      </c>
      <c r="L86" s="289"/>
      <c r="M86" s="289"/>
      <c r="S86" s="289">
        <v>207134.74</v>
      </c>
      <c r="T86" s="289">
        <v>224923.03499999997</v>
      </c>
    </row>
    <row r="87" spans="1:20" ht="10.5" customHeight="1">
      <c r="A87" s="70" t="s">
        <v>101</v>
      </c>
      <c r="B87" s="71">
        <v>7076.108</v>
      </c>
      <c r="C87" s="71">
        <v>12442.133999999998</v>
      </c>
      <c r="D87" s="73">
        <v>8509.827000000001</v>
      </c>
      <c r="E87" s="71">
        <v>12433.831000000002</v>
      </c>
      <c r="G87" s="71">
        <v>9394.168999999998</v>
      </c>
      <c r="H87" s="71">
        <v>7958.888000000003</v>
      </c>
      <c r="I87" s="71">
        <v>6461.389000000001</v>
      </c>
      <c r="J87" s="71">
        <v>9837.985</v>
      </c>
      <c r="L87" s="38"/>
      <c r="M87" s="38"/>
      <c r="S87" s="38">
        <v>40461.9</v>
      </c>
      <c r="T87" s="38">
        <v>33652.431000000004</v>
      </c>
    </row>
    <row r="88" spans="1:10" ht="3.75" customHeight="1">
      <c r="A88" s="74"/>
      <c r="B88" s="68"/>
      <c r="C88" s="68"/>
      <c r="D88" s="68"/>
      <c r="E88" s="68"/>
      <c r="G88" s="71"/>
      <c r="H88" s="71"/>
      <c r="I88" s="71"/>
      <c r="J88" s="68"/>
    </row>
    <row r="89" spans="1:20" ht="10.5" customHeight="1">
      <c r="A89" s="286" t="s">
        <v>102</v>
      </c>
      <c r="B89" s="288">
        <f>B86+B87</f>
        <v>62469.798</v>
      </c>
      <c r="C89" s="288">
        <f>C86+C87</f>
        <v>69448.514</v>
      </c>
      <c r="D89" s="288">
        <f>D86+D87</f>
        <v>53414.96400000001</v>
      </c>
      <c r="E89" s="288">
        <f>E86+E87</f>
        <v>62263.36400000003</v>
      </c>
      <c r="G89" s="288">
        <v>78254.946</v>
      </c>
      <c r="H89" s="288">
        <v>60486.629000000015</v>
      </c>
      <c r="I89" s="288">
        <v>52016.082</v>
      </c>
      <c r="J89" s="288">
        <v>67817.80899999998</v>
      </c>
      <c r="L89" s="289"/>
      <c r="M89" s="289"/>
      <c r="S89" s="289">
        <v>247596.64</v>
      </c>
      <c r="T89" s="289">
        <v>258575.466</v>
      </c>
    </row>
    <row r="90" spans="1:20" ht="5.25" customHeight="1">
      <c r="A90" s="68"/>
      <c r="B90" s="73"/>
      <c r="C90" s="73"/>
      <c r="D90" s="73"/>
      <c r="E90" s="73"/>
      <c r="G90" s="73"/>
      <c r="H90" s="71"/>
      <c r="I90" s="71"/>
      <c r="J90" s="73"/>
      <c r="L90" s="293"/>
      <c r="M90" s="293"/>
      <c r="S90" s="293"/>
      <c r="T90" s="293"/>
    </row>
    <row r="91" spans="1:20" ht="10.5" customHeight="1">
      <c r="A91" s="294" t="s">
        <v>166</v>
      </c>
      <c r="B91" s="295">
        <f>B75-B89</f>
        <v>151123.104</v>
      </c>
      <c r="C91" s="295">
        <f>C75-C89</f>
        <v>60906.932</v>
      </c>
      <c r="D91" s="296">
        <f>D75-D89</f>
        <v>93233.91399999999</v>
      </c>
      <c r="E91" s="296">
        <f>E75-E89</f>
        <v>67829.46299999996</v>
      </c>
      <c r="G91" s="296">
        <f>G75-G89</f>
        <v>49523.40400000001</v>
      </c>
      <c r="H91" s="296">
        <f>H75-H89</f>
        <v>74174.69099999999</v>
      </c>
      <c r="I91" s="296">
        <f>I75-I89</f>
        <v>116380.86000000002</v>
      </c>
      <c r="J91" s="296">
        <f>J75-J89</f>
        <v>141295.81900000005</v>
      </c>
      <c r="L91" s="298"/>
      <c r="M91" s="298"/>
      <c r="N91" s="298"/>
      <c r="O91" s="298"/>
      <c r="P91" s="298"/>
      <c r="Q91" s="298"/>
      <c r="R91" s="500"/>
      <c r="S91" s="298">
        <v>373093.382</v>
      </c>
      <c r="T91" s="298">
        <f>T75-T89</f>
        <v>381374.77600000007</v>
      </c>
    </row>
    <row r="92" spans="1:20" ht="11.25">
      <c r="A92" s="178" t="s">
        <v>163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S92" s="138"/>
      <c r="T92" s="138"/>
    </row>
    <row r="93" spans="1:5" ht="11.25">
      <c r="A93" s="76" t="s">
        <v>276</v>
      </c>
      <c r="B93" s="73"/>
      <c r="C93" s="73"/>
      <c r="D93" s="73"/>
      <c r="E93" s="73"/>
    </row>
  </sheetData>
  <hyperlinks>
    <hyperlink ref="A47" r:id="rId1" display="Link to USDA/FAS Trade Data Server"/>
  </hyperlinks>
  <printOptions horizontalCentered="1"/>
  <pageMargins left="0.417" right="0.417" top="0.25" bottom="0.6" header="0" footer="0.2"/>
  <pageSetup fitToHeight="1" fitToWidth="1" horizontalDpi="600" verticalDpi="600" orientation="landscape" scale="86" r:id="rId2"/>
  <headerFooter alignWithMargins="0">
    <oddFooter>&amp;C&amp;"Arial,Italic"&amp;9Vegetables and Melons Outlook&amp;"Arial,Regular"/VGS-331/February 25, 2009
Economic Research Service, USDA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D55"/>
  <sheetViews>
    <sheetView showGridLines="0" workbookViewId="0" topLeftCell="A3">
      <pane xSplit="2" ySplit="8" topLeftCell="C1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1" sqref="C11"/>
    </sheetView>
  </sheetViews>
  <sheetFormatPr defaultColWidth="9.140625" defaultRowHeight="12.75"/>
  <cols>
    <col min="1" max="1" width="54.140625" style="0" customWidth="1"/>
    <col min="2" max="2" width="0.71875" style="0" customWidth="1"/>
    <col min="3" max="3" width="10.00390625" style="0" customWidth="1"/>
    <col min="4" max="4" width="1.1484375" style="0" customWidth="1"/>
    <col min="5" max="5" width="10.00390625" style="0" customWidth="1"/>
    <col min="6" max="6" width="1.1484375" style="0" customWidth="1"/>
    <col min="7" max="7" width="10.00390625" style="0" customWidth="1"/>
    <col min="8" max="8" width="1.1484375" style="0" customWidth="1"/>
    <col min="9" max="9" width="10.00390625" style="0" customWidth="1"/>
    <col min="10" max="10" width="0.9921875" style="0" customWidth="1"/>
    <col min="11" max="11" width="10.00390625" style="0" customWidth="1"/>
    <col min="12" max="12" width="0.9921875" style="0" customWidth="1"/>
    <col min="13" max="13" width="10.00390625" style="0" customWidth="1"/>
    <col min="14" max="14" width="0.9921875" style="0" customWidth="1"/>
    <col min="15" max="15" width="9.28125" style="0" customWidth="1"/>
    <col min="16" max="16" width="0.9921875" style="0" customWidth="1"/>
    <col min="17" max="17" width="9.57421875" style="0" customWidth="1"/>
    <col min="18" max="18" width="10.00390625" style="0" customWidth="1"/>
    <col min="19" max="19" width="1.421875" style="0" customWidth="1"/>
    <col min="20" max="20" width="6.7109375" style="0" customWidth="1"/>
    <col min="21" max="21" width="2.00390625" style="0" customWidth="1"/>
    <col min="23" max="23" width="3.7109375" style="0" customWidth="1"/>
    <col min="24" max="24" width="24.7109375" style="0" customWidth="1"/>
    <col min="25" max="25" width="2.28125" style="0" customWidth="1"/>
    <col min="26" max="26" width="2.57421875" style="0" customWidth="1"/>
    <col min="27" max="28" width="15.00390625" style="0" customWidth="1"/>
    <col min="29" max="29" width="4.00390625" style="0" customWidth="1"/>
    <col min="30" max="30" width="8.00390625" style="0" customWidth="1"/>
  </cols>
  <sheetData>
    <row r="2" spans="1:22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8" customHeight="1">
      <c r="A3" s="199" t="s">
        <v>530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ht="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61"/>
      <c r="V4" s="161"/>
    </row>
    <row r="5" spans="1:22" ht="12.75">
      <c r="A5" s="299"/>
      <c r="B5" s="299"/>
      <c r="C5" s="300" t="s">
        <v>240</v>
      </c>
      <c r="D5" s="300"/>
      <c r="E5" s="300"/>
      <c r="F5" s="300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2"/>
      <c r="T5" s="303" t="s">
        <v>328</v>
      </c>
      <c r="U5" s="302"/>
      <c r="V5" s="161"/>
    </row>
    <row r="6" spans="1:22" ht="12.75">
      <c r="A6" s="304" t="s">
        <v>206</v>
      </c>
      <c r="B6" s="305"/>
      <c r="C6" s="306" t="s">
        <v>334</v>
      </c>
      <c r="D6" s="306"/>
      <c r="E6" s="306" t="s">
        <v>333</v>
      </c>
      <c r="F6" s="306"/>
      <c r="G6" s="306" t="s">
        <v>332</v>
      </c>
      <c r="H6" s="306"/>
      <c r="I6" s="307" t="s">
        <v>331</v>
      </c>
      <c r="J6" s="306"/>
      <c r="K6" s="307" t="s">
        <v>255</v>
      </c>
      <c r="L6" s="307"/>
      <c r="M6" s="307" t="s">
        <v>281</v>
      </c>
      <c r="N6" s="307"/>
      <c r="O6" s="307" t="s">
        <v>324</v>
      </c>
      <c r="P6" s="307"/>
      <c r="Q6" s="307" t="s">
        <v>528</v>
      </c>
      <c r="R6" s="307" t="s">
        <v>529</v>
      </c>
      <c r="S6" s="306"/>
      <c r="T6" s="304" t="s">
        <v>329</v>
      </c>
      <c r="U6" s="306"/>
      <c r="V6" s="161"/>
    </row>
    <row r="7" spans="1:22" ht="3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9"/>
      <c r="U7" s="310"/>
      <c r="V7" s="161"/>
    </row>
    <row r="8" spans="1:22" ht="0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9"/>
      <c r="U8" s="163"/>
      <c r="V8" s="161"/>
    </row>
    <row r="9" spans="1:23" ht="13.5" customHeight="1">
      <c r="A9" s="130"/>
      <c r="B9" s="130"/>
      <c r="C9" s="130"/>
      <c r="D9" s="130"/>
      <c r="F9" s="165"/>
      <c r="G9" s="130"/>
      <c r="H9" s="343" t="s">
        <v>282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311" t="s">
        <v>328</v>
      </c>
      <c r="U9" s="312"/>
      <c r="V9" s="161"/>
      <c r="W9" s="54" t="s">
        <v>327</v>
      </c>
    </row>
    <row r="10" spans="1:23" ht="5.2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305"/>
      <c r="U10" s="306"/>
      <c r="V10" s="161"/>
      <c r="W10" s="54"/>
    </row>
    <row r="11" spans="1:23" ht="12" customHeight="1">
      <c r="A11" s="124" t="s">
        <v>186</v>
      </c>
      <c r="B11" s="124"/>
      <c r="C11" s="166">
        <v>205110490</v>
      </c>
      <c r="D11" s="124"/>
      <c r="E11" s="166">
        <v>156964552</v>
      </c>
      <c r="F11" s="166"/>
      <c r="G11" s="166">
        <v>125459562.56</v>
      </c>
      <c r="H11" s="166"/>
      <c r="I11" s="166">
        <v>203187905.02</v>
      </c>
      <c r="J11" s="166"/>
      <c r="K11" s="166">
        <v>123430232</v>
      </c>
      <c r="L11" s="166"/>
      <c r="M11" s="166">
        <v>255537863.55</v>
      </c>
      <c r="N11" s="166"/>
      <c r="O11" s="166">
        <v>191509376</v>
      </c>
      <c r="P11" s="166"/>
      <c r="Q11" s="166">
        <v>220352812</v>
      </c>
      <c r="R11" s="166">
        <f>+AB49/AA49*O11</f>
        <v>282283337.6628672</v>
      </c>
      <c r="S11" s="166"/>
      <c r="T11" s="313">
        <f aca="true" t="shared" si="0" ref="T11:T16">+(R11/Q11-1)*100</f>
        <v>28.10516693695164</v>
      </c>
      <c r="U11" s="306"/>
      <c r="V11" s="161"/>
      <c r="W11" s="54">
        <v>49</v>
      </c>
    </row>
    <row r="12" spans="1:23" ht="12" customHeight="1">
      <c r="A12" s="124" t="s">
        <v>187</v>
      </c>
      <c r="B12" s="124"/>
      <c r="C12" s="166">
        <v>198409387</v>
      </c>
      <c r="D12" s="124"/>
      <c r="E12" s="166">
        <v>139085183</v>
      </c>
      <c r="F12" s="166"/>
      <c r="G12" s="166">
        <v>146301656</v>
      </c>
      <c r="H12" s="166"/>
      <c r="I12" s="166">
        <v>121115599.16</v>
      </c>
      <c r="J12" s="166"/>
      <c r="K12" s="166">
        <v>100485869.71</v>
      </c>
      <c r="L12" s="166"/>
      <c r="M12" s="166">
        <v>106056801.15</v>
      </c>
      <c r="N12" s="166"/>
      <c r="O12" s="166">
        <v>121694053.97</v>
      </c>
      <c r="P12" s="166"/>
      <c r="Q12" s="166">
        <v>153248266</v>
      </c>
      <c r="R12" s="166">
        <f>+AB39/AA39*O12</f>
        <v>223438050.04014093</v>
      </c>
      <c r="S12" s="166"/>
      <c r="T12" s="313">
        <f t="shared" si="0"/>
        <v>45.80135610809517</v>
      </c>
      <c r="U12" s="306"/>
      <c r="V12" s="161"/>
      <c r="W12" s="54">
        <v>39</v>
      </c>
    </row>
    <row r="13" spans="1:23" ht="12" customHeight="1">
      <c r="A13" s="124" t="s">
        <v>189</v>
      </c>
      <c r="B13" s="124"/>
      <c r="C13" s="166">
        <v>61983317</v>
      </c>
      <c r="D13" s="124"/>
      <c r="E13" s="166">
        <v>44973955</v>
      </c>
      <c r="F13" s="166"/>
      <c r="G13" s="166">
        <v>84828354</v>
      </c>
      <c r="H13" s="166"/>
      <c r="I13" s="166">
        <v>81633123.51</v>
      </c>
      <c r="J13" s="166"/>
      <c r="K13" s="166">
        <v>61672349</v>
      </c>
      <c r="L13" s="166"/>
      <c r="M13" s="166">
        <v>74868542.46</v>
      </c>
      <c r="N13" s="166"/>
      <c r="O13" s="166">
        <v>118550198</v>
      </c>
      <c r="P13" s="166"/>
      <c r="Q13" s="166">
        <v>97971393</v>
      </c>
      <c r="R13" s="166">
        <f>+AB45/AA45*O13*0.6</f>
        <v>185221999.66485482</v>
      </c>
      <c r="S13" s="166"/>
      <c r="T13" s="313">
        <f t="shared" si="0"/>
        <v>89.05722782246734</v>
      </c>
      <c r="U13" s="306"/>
      <c r="V13" s="161"/>
      <c r="W13" s="54">
        <v>45</v>
      </c>
    </row>
    <row r="14" spans="1:23" ht="12" customHeight="1">
      <c r="A14" s="124" t="s">
        <v>188</v>
      </c>
      <c r="B14" s="124"/>
      <c r="C14" s="166">
        <v>111867626</v>
      </c>
      <c r="D14" s="124"/>
      <c r="E14" s="166">
        <v>106216241</v>
      </c>
      <c r="F14" s="166"/>
      <c r="G14" s="166">
        <v>53373299</v>
      </c>
      <c r="H14" s="166"/>
      <c r="I14" s="166">
        <v>42653768.61</v>
      </c>
      <c r="J14" s="166"/>
      <c r="K14" s="166">
        <v>37021822.1</v>
      </c>
      <c r="L14" s="166"/>
      <c r="M14" s="166">
        <v>85226539.47</v>
      </c>
      <c r="N14" s="166"/>
      <c r="O14" s="166">
        <v>36587974.93</v>
      </c>
      <c r="P14" s="166"/>
      <c r="Q14" s="166">
        <v>76591109</v>
      </c>
      <c r="R14" s="166">
        <f>+AB46/AA46*O14*1.25</f>
        <v>46929201.41194327</v>
      </c>
      <c r="S14" s="166"/>
      <c r="T14" s="313">
        <f t="shared" si="0"/>
        <v>-38.72761208883492</v>
      </c>
      <c r="U14" s="306"/>
      <c r="V14" s="161"/>
      <c r="W14" s="54">
        <v>46</v>
      </c>
    </row>
    <row r="15" spans="1:23" ht="12" customHeight="1">
      <c r="A15" s="124" t="s">
        <v>190</v>
      </c>
      <c r="B15" s="124"/>
      <c r="C15" s="166">
        <v>34008622</v>
      </c>
      <c r="D15" s="166"/>
      <c r="E15" s="166">
        <v>19831249</v>
      </c>
      <c r="F15" s="166"/>
      <c r="G15" s="166">
        <v>40068318</v>
      </c>
      <c r="H15" s="166"/>
      <c r="I15" s="166">
        <v>19299137.66</v>
      </c>
      <c r="J15" s="166"/>
      <c r="K15" s="166">
        <v>16628652.79</v>
      </c>
      <c r="L15" s="166"/>
      <c r="M15" s="166">
        <v>25220724.93</v>
      </c>
      <c r="N15" s="166"/>
      <c r="O15" s="166">
        <v>15771209.94</v>
      </c>
      <c r="P15" s="166"/>
      <c r="Q15" s="166">
        <v>26674969</v>
      </c>
      <c r="R15" s="166">
        <f>+AB40/AA40*O15*5</f>
        <v>21156609.39315296</v>
      </c>
      <c r="S15" s="166"/>
      <c r="T15" s="313">
        <f t="shared" si="0"/>
        <v>-20.687407759862964</v>
      </c>
      <c r="U15" s="306"/>
      <c r="V15" s="161"/>
      <c r="W15" s="54">
        <v>40</v>
      </c>
    </row>
    <row r="16" spans="1:23" ht="12" customHeight="1">
      <c r="A16" s="124" t="s">
        <v>191</v>
      </c>
      <c r="B16" s="124"/>
      <c r="C16" s="166">
        <v>36404740</v>
      </c>
      <c r="D16" s="124"/>
      <c r="E16" s="166">
        <v>24619986</v>
      </c>
      <c r="F16" s="166"/>
      <c r="G16" s="166">
        <v>32830987</v>
      </c>
      <c r="H16" s="166"/>
      <c r="I16" s="166">
        <v>5825584.89</v>
      </c>
      <c r="J16" s="166"/>
      <c r="K16" s="166">
        <v>5550722</v>
      </c>
      <c r="L16" s="166"/>
      <c r="M16" s="166">
        <v>15379415.89</v>
      </c>
      <c r="N16" s="166"/>
      <c r="O16" s="166">
        <v>18084048.12</v>
      </c>
      <c r="P16" s="166"/>
      <c r="Q16" s="166">
        <v>18456294</v>
      </c>
      <c r="R16" s="166">
        <f>+AB41/AA41*O16</f>
        <v>28878946.9898693</v>
      </c>
      <c r="S16" s="166"/>
      <c r="T16" s="313">
        <f t="shared" si="0"/>
        <v>56.472079334395616</v>
      </c>
      <c r="U16" s="306"/>
      <c r="V16" s="161"/>
      <c r="W16" s="54">
        <v>41</v>
      </c>
    </row>
    <row r="17" spans="1:23" ht="7.5" customHeight="1">
      <c r="A17" s="124"/>
      <c r="B17" s="124"/>
      <c r="C17" s="124"/>
      <c r="D17" s="124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313"/>
      <c r="U17" s="306"/>
      <c r="V17" s="161"/>
      <c r="W17" s="54"/>
    </row>
    <row r="18" spans="1:23" ht="12" customHeight="1">
      <c r="A18" s="124" t="s">
        <v>192</v>
      </c>
      <c r="B18" s="124"/>
      <c r="C18" s="166">
        <v>21710251</v>
      </c>
      <c r="D18" s="124"/>
      <c r="E18" s="166">
        <v>24117758</v>
      </c>
      <c r="F18" s="166"/>
      <c r="G18" s="166">
        <v>20432859</v>
      </c>
      <c r="H18" s="166"/>
      <c r="I18" s="166">
        <v>19475454.35</v>
      </c>
      <c r="J18" s="166"/>
      <c r="K18" s="166">
        <v>13152441</v>
      </c>
      <c r="L18" s="166"/>
      <c r="M18" s="166">
        <v>26503242.78</v>
      </c>
      <c r="N18" s="166"/>
      <c r="O18" s="166">
        <v>25105469.6</v>
      </c>
      <c r="P18" s="166"/>
      <c r="Q18" s="166">
        <v>24815985</v>
      </c>
      <c r="R18" s="166">
        <f>+AB47/AA47*O18*1.1</f>
        <v>20891690.39732652</v>
      </c>
      <c r="S18" s="166"/>
      <c r="T18" s="313">
        <f aca="true" t="shared" si="1" ref="T18:T23">+(R18/Q18-1)*100</f>
        <v>-15.813575816851433</v>
      </c>
      <c r="U18" s="306"/>
      <c r="V18" s="161"/>
      <c r="W18" s="54">
        <v>47</v>
      </c>
    </row>
    <row r="19" spans="1:23" ht="12" customHeight="1">
      <c r="A19" s="124" t="s">
        <v>193</v>
      </c>
      <c r="B19" s="124"/>
      <c r="C19" s="166">
        <v>8758730</v>
      </c>
      <c r="D19" s="124"/>
      <c r="E19" s="166">
        <v>10314178</v>
      </c>
      <c r="F19" s="166"/>
      <c r="G19" s="166">
        <v>17014957</v>
      </c>
      <c r="H19" s="166"/>
      <c r="I19" s="166">
        <v>9871159.59</v>
      </c>
      <c r="J19" s="166"/>
      <c r="K19" s="166">
        <v>12782582.97</v>
      </c>
      <c r="L19" s="166"/>
      <c r="M19" s="166">
        <v>13545725.41</v>
      </c>
      <c r="N19" s="166"/>
      <c r="O19" s="166">
        <v>10277848.05</v>
      </c>
      <c r="P19" s="166"/>
      <c r="Q19" s="166">
        <v>7401434</v>
      </c>
      <c r="R19" s="166">
        <f>+AB48/AA48*O19</f>
        <v>9031513.66647934</v>
      </c>
      <c r="S19" s="166"/>
      <c r="T19" s="313">
        <f t="shared" si="1"/>
        <v>22.02383573884925</v>
      </c>
      <c r="U19" s="306"/>
      <c r="V19" s="161"/>
      <c r="W19" s="54">
        <v>48</v>
      </c>
    </row>
    <row r="20" spans="1:23" ht="12" customHeight="1">
      <c r="A20" s="124" t="s">
        <v>194</v>
      </c>
      <c r="B20" s="124"/>
      <c r="C20" s="166">
        <v>15119789</v>
      </c>
      <c r="D20" s="124"/>
      <c r="E20" s="166">
        <v>9213427</v>
      </c>
      <c r="F20" s="166"/>
      <c r="G20" s="166">
        <v>15928580</v>
      </c>
      <c r="H20" s="166"/>
      <c r="I20" s="166">
        <v>23163920.29</v>
      </c>
      <c r="J20" s="166"/>
      <c r="K20" s="166">
        <v>13740457.29</v>
      </c>
      <c r="L20" s="166"/>
      <c r="M20" s="166">
        <v>18208825.2</v>
      </c>
      <c r="N20" s="166"/>
      <c r="O20" s="166">
        <v>9941476</v>
      </c>
      <c r="P20" s="166"/>
      <c r="Q20" s="166">
        <v>7294248</v>
      </c>
      <c r="R20" s="166">
        <f>+AB38/AA38*O20</f>
        <v>14080723.181478586</v>
      </c>
      <c r="S20" s="166"/>
      <c r="T20" s="313">
        <f t="shared" si="1"/>
        <v>93.038722860514</v>
      </c>
      <c r="U20" s="306"/>
      <c r="V20" s="161"/>
      <c r="W20" s="54">
        <v>38</v>
      </c>
    </row>
    <row r="21" spans="1:23" ht="12" customHeight="1">
      <c r="A21" s="124" t="s">
        <v>195</v>
      </c>
      <c r="B21" s="124"/>
      <c r="C21" s="166">
        <v>62257060</v>
      </c>
      <c r="D21" s="124"/>
      <c r="E21" s="166">
        <v>52966904</v>
      </c>
      <c r="F21" s="166"/>
      <c r="G21" s="166">
        <v>34242497.35</v>
      </c>
      <c r="H21" s="166"/>
      <c r="I21" s="166">
        <v>14974136.19</v>
      </c>
      <c r="J21" s="166"/>
      <c r="K21" s="166">
        <v>22724929.75</v>
      </c>
      <c r="L21" s="166"/>
      <c r="M21" s="166">
        <v>38027937.92</v>
      </c>
      <c r="N21" s="166"/>
      <c r="O21" s="166">
        <v>45536034</v>
      </c>
      <c r="P21" s="166"/>
      <c r="Q21" s="166">
        <v>51504251</v>
      </c>
      <c r="R21" s="166">
        <f>+AB36/AA36*O21</f>
        <v>26226969.470318276</v>
      </c>
      <c r="S21" s="166"/>
      <c r="T21" s="313">
        <f t="shared" si="1"/>
        <v>-49.078048974407416</v>
      </c>
      <c r="U21" s="306"/>
      <c r="V21" s="161"/>
      <c r="W21" s="54">
        <v>36</v>
      </c>
    </row>
    <row r="22" spans="1:23" ht="12" customHeight="1">
      <c r="A22" s="124" t="s">
        <v>196</v>
      </c>
      <c r="B22" s="124"/>
      <c r="C22" s="166">
        <v>9944668</v>
      </c>
      <c r="D22" s="124"/>
      <c r="E22" s="166">
        <v>8073030</v>
      </c>
      <c r="F22" s="166"/>
      <c r="G22" s="166">
        <v>4548922.23</v>
      </c>
      <c r="H22" s="166"/>
      <c r="I22" s="166">
        <v>1961576.08</v>
      </c>
      <c r="J22" s="166"/>
      <c r="K22" s="166">
        <v>5609243.33</v>
      </c>
      <c r="L22" s="166"/>
      <c r="M22" s="166">
        <v>3174820.35</v>
      </c>
      <c r="N22" s="166"/>
      <c r="O22" s="166">
        <v>1879286.43</v>
      </c>
      <c r="P22" s="166"/>
      <c r="Q22" s="166">
        <v>2168506</v>
      </c>
      <c r="R22" s="166">
        <f>+AB44/AA44*O22</f>
        <v>1873420.7102354707</v>
      </c>
      <c r="S22" s="166"/>
      <c r="T22" s="313">
        <f t="shared" si="1"/>
        <v>-13.607769116826486</v>
      </c>
      <c r="U22" s="306"/>
      <c r="V22" s="161"/>
      <c r="W22" s="54">
        <v>44</v>
      </c>
    </row>
    <row r="23" spans="1:23" ht="12" customHeight="1">
      <c r="A23" s="124" t="s">
        <v>197</v>
      </c>
      <c r="B23" s="124"/>
      <c r="C23" s="166">
        <v>10791791</v>
      </c>
      <c r="D23" s="124"/>
      <c r="E23" s="166">
        <v>7165582</v>
      </c>
      <c r="F23" s="166"/>
      <c r="G23" s="166">
        <v>13213247</v>
      </c>
      <c r="H23" s="166"/>
      <c r="I23" s="166">
        <v>9680876.64</v>
      </c>
      <c r="J23" s="166"/>
      <c r="K23" s="166">
        <v>4472946.9</v>
      </c>
      <c r="L23" s="166"/>
      <c r="M23" s="166">
        <v>8421090.63</v>
      </c>
      <c r="N23" s="166"/>
      <c r="O23" s="166">
        <v>13192161.68</v>
      </c>
      <c r="P23" s="166"/>
      <c r="Q23" s="166">
        <v>9664280</v>
      </c>
      <c r="R23" s="166">
        <f>+AB51/AA51*O23</f>
        <v>11469473.827430857</v>
      </c>
      <c r="S23" s="166"/>
      <c r="T23" s="313">
        <f t="shared" si="1"/>
        <v>18.67903069272472</v>
      </c>
      <c r="U23" s="306"/>
      <c r="V23" s="161"/>
      <c r="W23" s="54">
        <v>51</v>
      </c>
    </row>
    <row r="24" spans="1:23" ht="6.75" customHeight="1">
      <c r="A24" s="124"/>
      <c r="B24" s="124"/>
      <c r="C24" s="124"/>
      <c r="D24" s="124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313"/>
      <c r="U24" s="306"/>
      <c r="V24" s="161"/>
      <c r="W24" s="54"/>
    </row>
    <row r="25" spans="1:23" ht="12" customHeight="1">
      <c r="A25" s="124" t="s">
        <v>198</v>
      </c>
      <c r="B25" s="124"/>
      <c r="C25" s="166">
        <v>2387925</v>
      </c>
      <c r="D25" s="124"/>
      <c r="E25" s="166">
        <v>3533473.34</v>
      </c>
      <c r="F25" s="166"/>
      <c r="G25" s="166">
        <v>2289352</v>
      </c>
      <c r="H25" s="166"/>
      <c r="I25" s="166">
        <v>552041.26</v>
      </c>
      <c r="J25" s="166"/>
      <c r="K25" s="166">
        <v>1924597.99</v>
      </c>
      <c r="L25" s="166"/>
      <c r="M25" s="166">
        <v>6468471.92</v>
      </c>
      <c r="N25" s="166"/>
      <c r="O25" s="166">
        <v>1470396</v>
      </c>
      <c r="P25" s="166"/>
      <c r="Q25" s="166">
        <v>5552393</v>
      </c>
      <c r="R25" s="166">
        <f>+AB42/AA42*O25*10</f>
        <v>1014145.1332496298</v>
      </c>
      <c r="S25" s="166"/>
      <c r="T25" s="313">
        <f aca="true" t="shared" si="2" ref="T25:T30">+(R25/Q25-1)*100</f>
        <v>-81.73499006194933</v>
      </c>
      <c r="U25" s="306"/>
      <c r="V25" s="161"/>
      <c r="W25" s="54">
        <v>42</v>
      </c>
    </row>
    <row r="26" spans="1:23" ht="12" customHeight="1">
      <c r="A26" s="124" t="s">
        <v>199</v>
      </c>
      <c r="B26" s="124"/>
      <c r="C26" s="166">
        <v>2624124</v>
      </c>
      <c r="D26" s="124"/>
      <c r="E26" s="166">
        <v>3679330</v>
      </c>
      <c r="F26" s="166"/>
      <c r="G26" s="166">
        <v>2431493</v>
      </c>
      <c r="H26" s="166"/>
      <c r="I26" s="166">
        <v>1747899.9</v>
      </c>
      <c r="J26" s="166"/>
      <c r="K26" s="166">
        <v>2910468.78</v>
      </c>
      <c r="L26" s="166"/>
      <c r="M26" s="166">
        <v>3587992.59</v>
      </c>
      <c r="N26" s="166"/>
      <c r="O26" s="166">
        <v>2726967.23</v>
      </c>
      <c r="P26" s="166"/>
      <c r="Q26" s="166">
        <v>2717891</v>
      </c>
      <c r="R26" s="166">
        <f>+AB37/AA37*O26</f>
        <v>4306780.105466251</v>
      </c>
      <c r="S26" s="166"/>
      <c r="T26" s="313">
        <f t="shared" si="2"/>
        <v>58.46036892083792</v>
      </c>
      <c r="U26" s="306"/>
      <c r="V26" s="161"/>
      <c r="W26" s="54">
        <v>37</v>
      </c>
    </row>
    <row r="27" spans="1:23" ht="12" customHeight="1">
      <c r="A27" s="124" t="s">
        <v>200</v>
      </c>
      <c r="B27" s="124"/>
      <c r="C27" s="166">
        <v>3449304</v>
      </c>
      <c r="D27" s="124"/>
      <c r="E27" s="166">
        <v>1944652.98</v>
      </c>
      <c r="F27" s="166"/>
      <c r="G27" s="166">
        <v>25895585.57</v>
      </c>
      <c r="H27" s="166"/>
      <c r="I27" s="166">
        <v>3719268.9</v>
      </c>
      <c r="J27" s="166"/>
      <c r="K27" s="166">
        <v>4310583</v>
      </c>
      <c r="L27" s="166"/>
      <c r="M27" s="166">
        <v>2507140.16</v>
      </c>
      <c r="N27" s="166"/>
      <c r="O27" s="166">
        <v>2441407</v>
      </c>
      <c r="P27" s="166"/>
      <c r="Q27" s="166">
        <v>2429156</v>
      </c>
      <c r="R27" s="166">
        <f>+AB50/AA50*O27</f>
        <v>1389197.32775134</v>
      </c>
      <c r="S27" s="166"/>
      <c r="T27" s="313">
        <f t="shared" si="2"/>
        <v>-42.811522695481884</v>
      </c>
      <c r="U27" s="306"/>
      <c r="V27" s="161"/>
      <c r="W27" s="54">
        <v>50</v>
      </c>
    </row>
    <row r="28" spans="1:23" ht="12" customHeight="1">
      <c r="A28" s="124" t="s">
        <v>201</v>
      </c>
      <c r="B28" s="124"/>
      <c r="C28" s="166">
        <v>513231</v>
      </c>
      <c r="D28" s="124"/>
      <c r="E28" s="166">
        <v>782420.36</v>
      </c>
      <c r="F28" s="166"/>
      <c r="G28" s="166">
        <v>2602648.7</v>
      </c>
      <c r="H28" s="166"/>
      <c r="I28" s="166">
        <v>9396198.47</v>
      </c>
      <c r="J28" s="166"/>
      <c r="K28" s="166">
        <v>2037128.4</v>
      </c>
      <c r="L28" s="166"/>
      <c r="M28" s="166">
        <v>4572366.45</v>
      </c>
      <c r="N28" s="166"/>
      <c r="O28" s="166">
        <v>8753311.43</v>
      </c>
      <c r="P28" s="166"/>
      <c r="Q28" s="166">
        <v>9713304</v>
      </c>
      <c r="R28" s="166">
        <f>+AB53/AA53*O28*0.7</f>
        <v>15318961.85258635</v>
      </c>
      <c r="S28" s="166"/>
      <c r="T28" s="313">
        <f t="shared" si="2"/>
        <v>57.711133642953506</v>
      </c>
      <c r="U28" s="306"/>
      <c r="V28" s="161"/>
      <c r="W28" s="54">
        <v>53</v>
      </c>
    </row>
    <row r="29" spans="1:23" ht="12" customHeight="1">
      <c r="A29" s="124" t="s">
        <v>202</v>
      </c>
      <c r="B29" s="124"/>
      <c r="C29" s="166">
        <v>64984376</v>
      </c>
      <c r="D29" s="124"/>
      <c r="E29" s="166">
        <v>40051832</v>
      </c>
      <c r="F29" s="166"/>
      <c r="G29" s="166">
        <v>15808390.8</v>
      </c>
      <c r="H29" s="166"/>
      <c r="I29" s="166">
        <v>26870111.39</v>
      </c>
      <c r="J29" s="166"/>
      <c r="K29" s="166">
        <v>28240212</v>
      </c>
      <c r="L29" s="166"/>
      <c r="M29" s="166">
        <v>47273062.59</v>
      </c>
      <c r="N29" s="166"/>
      <c r="O29" s="166">
        <v>41190879.78</v>
      </c>
      <c r="P29" s="166"/>
      <c r="Q29" s="166">
        <v>35640471</v>
      </c>
      <c r="R29" s="166">
        <f>+AB43/AA43*O29</f>
        <v>36635776.69322145</v>
      </c>
      <c r="S29" s="166"/>
      <c r="T29" s="313">
        <f t="shared" si="2"/>
        <v>2.792627777622392</v>
      </c>
      <c r="U29" s="306"/>
      <c r="V29" s="161"/>
      <c r="W29" s="54">
        <v>43</v>
      </c>
    </row>
    <row r="30" spans="1:23" ht="12" customHeight="1">
      <c r="A30" s="124" t="s">
        <v>203</v>
      </c>
      <c r="B30" s="124"/>
      <c r="C30" s="166">
        <v>29341404</v>
      </c>
      <c r="D30" s="124"/>
      <c r="E30" s="166">
        <v>18124086</v>
      </c>
      <c r="F30" s="166"/>
      <c r="G30" s="166">
        <v>20464506.4</v>
      </c>
      <c r="H30" s="166"/>
      <c r="I30" s="166">
        <v>19401085.9</v>
      </c>
      <c r="J30" s="166"/>
      <c r="K30" s="166">
        <v>18210038</v>
      </c>
      <c r="L30" s="166"/>
      <c r="M30" s="166">
        <v>21065194.81</v>
      </c>
      <c r="N30" s="166"/>
      <c r="O30" s="166">
        <v>19410057</v>
      </c>
      <c r="P30" s="166"/>
      <c r="Q30" s="166">
        <v>66858611</v>
      </c>
      <c r="R30" s="166">
        <f>+AB52/AA52*O30*2</f>
        <v>21677589.522555903</v>
      </c>
      <c r="S30" s="166"/>
      <c r="T30" s="313">
        <f t="shared" si="2"/>
        <v>-67.57696697803684</v>
      </c>
      <c r="U30" s="306"/>
      <c r="V30" s="161"/>
      <c r="W30" s="54">
        <v>52</v>
      </c>
    </row>
    <row r="31" spans="1:23" ht="6" customHeight="1">
      <c r="A31" s="124"/>
      <c r="B31" s="124"/>
      <c r="C31" s="124"/>
      <c r="D31" s="124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313"/>
      <c r="U31" s="306"/>
      <c r="V31" s="161"/>
      <c r="W31" s="54"/>
    </row>
    <row r="32" spans="1:23" ht="12.75">
      <c r="A32" s="469" t="s">
        <v>47</v>
      </c>
      <c r="B32" s="470"/>
      <c r="C32" s="471">
        <f>SUM(C11:C30)</f>
        <v>879666835</v>
      </c>
      <c r="D32" s="470"/>
      <c r="E32" s="471">
        <f>SUM(E11:E30)</f>
        <v>671657839.6800001</v>
      </c>
      <c r="F32" s="471"/>
      <c r="G32" s="471">
        <f>SUM(G11:G30)</f>
        <v>657735215.61</v>
      </c>
      <c r="H32" s="470"/>
      <c r="I32" s="471">
        <f>SUM(I11:I30)</f>
        <v>614528847.8100001</v>
      </c>
      <c r="J32" s="470"/>
      <c r="K32" s="471">
        <f>SUM(K11:K30)</f>
        <v>474905277.01</v>
      </c>
      <c r="L32" s="471"/>
      <c r="M32" s="471">
        <v>755645758.2599999</v>
      </c>
      <c r="N32" s="471"/>
      <c r="O32" s="471">
        <f>SUM(O11:O30)</f>
        <v>684122155.1599998</v>
      </c>
      <c r="P32" s="471"/>
      <c r="Q32" s="471">
        <f>SUM(Q11:Q30)</f>
        <v>819055373</v>
      </c>
      <c r="R32" s="471">
        <f>SUM(R11:R30)</f>
        <v>951824387.0509287</v>
      </c>
      <c r="S32" s="470"/>
      <c r="T32" s="313">
        <f>+(R32/Q32-1)*100</f>
        <v>16.210016859376463</v>
      </c>
      <c r="U32" s="306"/>
      <c r="V32" s="161"/>
      <c r="W32" s="54"/>
    </row>
    <row r="33" spans="1:23" ht="12.75">
      <c r="A33" s="194" t="s">
        <v>386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4"/>
      <c r="U33" s="162"/>
      <c r="V33" s="161"/>
      <c r="W33" s="54"/>
    </row>
    <row r="34" spans="1:30" ht="18" customHeight="1">
      <c r="A34" s="52" t="s">
        <v>330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54"/>
      <c r="AD34" t="s">
        <v>266</v>
      </c>
    </row>
    <row r="35" spans="1:28" ht="12.7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204"/>
      <c r="AA35" t="s">
        <v>577</v>
      </c>
      <c r="AB35" t="s">
        <v>578</v>
      </c>
    </row>
    <row r="36" spans="1:30" ht="12.75">
      <c r="A36" s="358" t="s">
        <v>299</v>
      </c>
      <c r="B36" s="67"/>
      <c r="C36" s="67"/>
      <c r="D36" s="67"/>
      <c r="W36" t="s">
        <v>259</v>
      </c>
      <c r="X36" t="s">
        <v>195</v>
      </c>
      <c r="Y36" t="s">
        <v>260</v>
      </c>
      <c r="Z36" t="s">
        <v>261</v>
      </c>
      <c r="AA36" s="200">
        <v>19038902.11</v>
      </c>
      <c r="AB36" s="200">
        <v>10965660.83</v>
      </c>
      <c r="AC36" s="200"/>
      <c r="AD36" s="201">
        <f aca="true" t="shared" si="3" ref="AD36:AD55">+AB36/AA36</f>
        <v>0.5759607758180758</v>
      </c>
    </row>
    <row r="37" spans="23:30" ht="12.75">
      <c r="W37" t="s">
        <v>259</v>
      </c>
      <c r="X37" t="s">
        <v>199</v>
      </c>
      <c r="Y37" t="s">
        <v>260</v>
      </c>
      <c r="Z37" t="s">
        <v>261</v>
      </c>
      <c r="AA37" s="200">
        <v>762547.19</v>
      </c>
      <c r="AB37" s="200">
        <v>1204313.36</v>
      </c>
      <c r="AC37" s="200"/>
      <c r="AD37" s="201">
        <f t="shared" si="3"/>
        <v>1.5793296149973357</v>
      </c>
    </row>
    <row r="38" spans="23:30" ht="12.75">
      <c r="W38" t="s">
        <v>259</v>
      </c>
      <c r="X38" t="s">
        <v>194</v>
      </c>
      <c r="Y38" t="s">
        <v>260</v>
      </c>
      <c r="Z38" t="s">
        <v>261</v>
      </c>
      <c r="AA38" s="200">
        <v>2677839.48</v>
      </c>
      <c r="AB38" s="200">
        <v>3792788.56</v>
      </c>
      <c r="AC38" s="200"/>
      <c r="AD38" s="201">
        <f t="shared" si="3"/>
        <v>1.4163614317912738</v>
      </c>
    </row>
    <row r="39" spans="23:30" ht="12.75">
      <c r="W39" t="s">
        <v>259</v>
      </c>
      <c r="X39" t="s">
        <v>187</v>
      </c>
      <c r="Y39" t="s">
        <v>260</v>
      </c>
      <c r="Z39" t="s">
        <v>261</v>
      </c>
      <c r="AA39" s="200">
        <v>47003261.2</v>
      </c>
      <c r="AB39" s="200">
        <v>86300987.48</v>
      </c>
      <c r="AC39" s="200"/>
      <c r="AD39" s="201">
        <f t="shared" si="3"/>
        <v>1.836063823588479</v>
      </c>
    </row>
    <row r="40" spans="23:30" ht="12.75">
      <c r="W40" t="s">
        <v>259</v>
      </c>
      <c r="X40" t="s">
        <v>190</v>
      </c>
      <c r="Y40" t="s">
        <v>260</v>
      </c>
      <c r="Z40" t="s">
        <v>261</v>
      </c>
      <c r="AA40" s="200">
        <v>12964003.36</v>
      </c>
      <c r="AB40" s="200">
        <v>3478165.04</v>
      </c>
      <c r="AC40" s="200"/>
      <c r="AD40" s="201">
        <f t="shared" si="3"/>
        <v>0.26829405573372206</v>
      </c>
    </row>
    <row r="41" spans="23:30" ht="12.75">
      <c r="W41" t="s">
        <v>259</v>
      </c>
      <c r="X41" t="s">
        <v>191</v>
      </c>
      <c r="Y41" t="s">
        <v>260</v>
      </c>
      <c r="Z41" t="s">
        <v>261</v>
      </c>
      <c r="AA41" s="200">
        <v>5445025.59</v>
      </c>
      <c r="AB41" s="200">
        <v>8695321.11</v>
      </c>
      <c r="AC41" s="200"/>
      <c r="AD41" s="201">
        <f t="shared" si="3"/>
        <v>1.596929337847244</v>
      </c>
    </row>
    <row r="42" spans="23:30" ht="12.75">
      <c r="W42" t="s">
        <v>259</v>
      </c>
      <c r="X42" t="s">
        <v>262</v>
      </c>
      <c r="Y42" t="s">
        <v>260</v>
      </c>
      <c r="Z42" t="s">
        <v>261</v>
      </c>
      <c r="AA42" s="200">
        <v>2847174.14</v>
      </c>
      <c r="AB42" s="200">
        <v>196372.12</v>
      </c>
      <c r="AC42" s="200"/>
      <c r="AD42" s="201">
        <f t="shared" si="3"/>
        <v>0.06897088493505353</v>
      </c>
    </row>
    <row r="43" spans="23:30" ht="12.75">
      <c r="W43" t="s">
        <v>259</v>
      </c>
      <c r="X43" t="s">
        <v>263</v>
      </c>
      <c r="Y43" t="s">
        <v>260</v>
      </c>
      <c r="Z43" t="s">
        <v>261</v>
      </c>
      <c r="AA43" s="200">
        <v>9027369.95</v>
      </c>
      <c r="AB43" s="200">
        <v>8029076.13</v>
      </c>
      <c r="AC43" s="200"/>
      <c r="AD43" s="201">
        <f t="shared" si="3"/>
        <v>0.8894147658144885</v>
      </c>
    </row>
    <row r="44" spans="23:30" ht="12.75">
      <c r="W44" t="s">
        <v>259</v>
      </c>
      <c r="X44" t="s">
        <v>196</v>
      </c>
      <c r="Y44" t="s">
        <v>260</v>
      </c>
      <c r="Z44" t="s">
        <v>261</v>
      </c>
      <c r="AA44" s="200">
        <v>1170384.26</v>
      </c>
      <c r="AB44" s="200">
        <v>1166731.2</v>
      </c>
      <c r="AC44" s="200"/>
      <c r="AD44" s="201">
        <f t="shared" si="3"/>
        <v>0.9968787515990688</v>
      </c>
    </row>
    <row r="45" spans="23:30" ht="12.75">
      <c r="W45" t="s">
        <v>259</v>
      </c>
      <c r="X45" t="s">
        <v>189</v>
      </c>
      <c r="Y45" t="s">
        <v>260</v>
      </c>
      <c r="Z45" t="s">
        <v>261</v>
      </c>
      <c r="AA45" s="200">
        <v>19449325.19</v>
      </c>
      <c r="AB45" s="200">
        <v>50645815.93</v>
      </c>
      <c r="AC45" s="200"/>
      <c r="AD45" s="201">
        <f t="shared" si="3"/>
        <v>2.6039883355973648</v>
      </c>
    </row>
    <row r="46" spans="23:30" ht="12.75">
      <c r="W46" t="s">
        <v>259</v>
      </c>
      <c r="X46" t="s">
        <v>188</v>
      </c>
      <c r="Y46" t="s">
        <v>260</v>
      </c>
      <c r="Z46" t="s">
        <v>261</v>
      </c>
      <c r="AA46" s="200">
        <v>16020627.41</v>
      </c>
      <c r="AB46" s="200">
        <v>16438958.47</v>
      </c>
      <c r="AC46" s="200"/>
      <c r="AD46" s="201">
        <f t="shared" si="3"/>
        <v>1.0261120272817081</v>
      </c>
    </row>
    <row r="47" spans="1:30" ht="12.75">
      <c r="A47" s="194" t="s">
        <v>272</v>
      </c>
      <c r="W47" t="s">
        <v>259</v>
      </c>
      <c r="X47" t="s">
        <v>192</v>
      </c>
      <c r="Y47" t="s">
        <v>260</v>
      </c>
      <c r="Z47" t="s">
        <v>261</v>
      </c>
      <c r="AA47" s="200">
        <v>8966661.33</v>
      </c>
      <c r="AB47" s="200">
        <v>6783335.75</v>
      </c>
      <c r="AC47" s="200"/>
      <c r="AD47" s="201">
        <f t="shared" si="3"/>
        <v>0.7565062959727062</v>
      </c>
    </row>
    <row r="48" spans="23:30" ht="12.75">
      <c r="W48" t="s">
        <v>259</v>
      </c>
      <c r="X48" t="s">
        <v>193</v>
      </c>
      <c r="Y48" t="s">
        <v>260</v>
      </c>
      <c r="Z48" t="s">
        <v>261</v>
      </c>
      <c r="AA48" s="200">
        <v>4899648.9</v>
      </c>
      <c r="AB48" s="200">
        <v>4305497.2</v>
      </c>
      <c r="AC48" s="200"/>
      <c r="AD48" s="201">
        <f t="shared" si="3"/>
        <v>0.878735862073709</v>
      </c>
    </row>
    <row r="49" spans="23:30" ht="12.75">
      <c r="W49" t="s">
        <v>259</v>
      </c>
      <c r="X49" t="s">
        <v>186</v>
      </c>
      <c r="Y49" t="s">
        <v>260</v>
      </c>
      <c r="Z49" t="s">
        <v>261</v>
      </c>
      <c r="AA49" s="200">
        <v>84943349.42</v>
      </c>
      <c r="AB49" s="200">
        <v>125205839.46</v>
      </c>
      <c r="AC49" s="200"/>
      <c r="AD49" s="201">
        <f t="shared" si="3"/>
        <v>1.4739922585454364</v>
      </c>
    </row>
    <row r="50" spans="23:30" ht="12.75">
      <c r="W50" t="s">
        <v>259</v>
      </c>
      <c r="X50" t="s">
        <v>200</v>
      </c>
      <c r="Y50" t="s">
        <v>260</v>
      </c>
      <c r="Z50" t="s">
        <v>261</v>
      </c>
      <c r="AA50" s="200">
        <v>952331.91</v>
      </c>
      <c r="AB50" s="200">
        <v>541891.19</v>
      </c>
      <c r="AC50" s="200"/>
      <c r="AD50" s="201">
        <f t="shared" si="3"/>
        <v>0.5690150506455254</v>
      </c>
    </row>
    <row r="51" spans="23:30" ht="12.75">
      <c r="W51" t="s">
        <v>259</v>
      </c>
      <c r="X51" t="s">
        <v>264</v>
      </c>
      <c r="Y51" t="s">
        <v>260</v>
      </c>
      <c r="Z51" t="s">
        <v>261</v>
      </c>
      <c r="AA51" s="200">
        <v>4071038.06</v>
      </c>
      <c r="AB51" s="200">
        <v>3539424.82</v>
      </c>
      <c r="AC51" s="200"/>
      <c r="AD51" s="201">
        <f t="shared" si="3"/>
        <v>0.86941580202274</v>
      </c>
    </row>
    <row r="52" spans="23:30" ht="12.75">
      <c r="W52" t="s">
        <v>259</v>
      </c>
      <c r="X52" t="s">
        <v>265</v>
      </c>
      <c r="Y52" t="s">
        <v>260</v>
      </c>
      <c r="Z52" t="s">
        <v>261</v>
      </c>
      <c r="AA52" s="200">
        <v>21867513.34</v>
      </c>
      <c r="AB52" s="200">
        <v>12211066.1</v>
      </c>
      <c r="AC52" s="200"/>
      <c r="AD52" s="201">
        <f t="shared" si="3"/>
        <v>0.5584112793320468</v>
      </c>
    </row>
    <row r="53" spans="23:30" ht="12.75">
      <c r="W53" t="s">
        <v>259</v>
      </c>
      <c r="X53" t="s">
        <v>201</v>
      </c>
      <c r="Y53" t="s">
        <v>260</v>
      </c>
      <c r="Z53" t="s">
        <v>261</v>
      </c>
      <c r="AA53" s="200">
        <v>1357225.8</v>
      </c>
      <c r="AB53" s="200">
        <v>3393212.21</v>
      </c>
      <c r="AC53" s="200"/>
      <c r="AD53" s="201">
        <f t="shared" si="3"/>
        <v>2.5001088322959966</v>
      </c>
    </row>
    <row r="54" ht="12.75">
      <c r="AD54" s="201"/>
    </row>
    <row r="55" spans="27:30" ht="12.75">
      <c r="AA55" s="200">
        <f>SUM(AA36:AA53)</f>
        <v>263464228.64000005</v>
      </c>
      <c r="AB55" s="200">
        <f>SUM(AB36:AB53)</f>
        <v>346894456.96</v>
      </c>
      <c r="AD55" s="201">
        <f t="shared" si="3"/>
        <v>1.3166662463085255</v>
      </c>
    </row>
  </sheetData>
  <hyperlinks>
    <hyperlink ref="A36" r:id="rId1" display="Link to USDA/FAS Trade Data Server"/>
  </hyperlinks>
  <printOptions horizontalCentered="1"/>
  <pageMargins left="0.417" right="0.417" top="0.25" bottom="0.6" header="0" footer="0.2"/>
  <pageSetup fitToHeight="1" fitToWidth="1" horizontalDpi="600" verticalDpi="600" orientation="landscape" scale="80" r:id="rId2"/>
  <headerFooter alignWithMargins="0">
    <oddFooter>&amp;C&amp;"Arial,Italic"&amp;9Vegetables and Melons Outlook&amp;"Arial,Regular"/VGS-331/February 25, 2009
Economic Research Service, USDA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D70"/>
  <sheetViews>
    <sheetView showGridLines="0" workbookViewId="0" topLeftCell="A3">
      <pane xSplit="2" ySplit="8" topLeftCell="C1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1" sqref="C11"/>
    </sheetView>
  </sheetViews>
  <sheetFormatPr defaultColWidth="9.140625" defaultRowHeight="12.75"/>
  <cols>
    <col min="1" max="1" width="54.140625" style="0" customWidth="1"/>
    <col min="2" max="2" width="0.71875" style="0" customWidth="1"/>
    <col min="3" max="3" width="10.00390625" style="0" customWidth="1"/>
    <col min="4" max="4" width="1.1484375" style="0" customWidth="1"/>
    <col min="5" max="5" width="10.00390625" style="0" customWidth="1"/>
    <col min="6" max="6" width="1.1484375" style="0" customWidth="1"/>
    <col min="7" max="7" width="10.00390625" style="0" customWidth="1"/>
    <col min="8" max="8" width="1.1484375" style="0" customWidth="1"/>
    <col min="9" max="9" width="10.00390625" style="0" customWidth="1"/>
    <col min="10" max="10" width="0.9921875" style="0" customWidth="1"/>
    <col min="11" max="11" width="10.00390625" style="0" customWidth="1"/>
    <col min="12" max="12" width="0.9921875" style="0" customWidth="1"/>
    <col min="13" max="13" width="10.00390625" style="0" customWidth="1"/>
    <col min="14" max="14" width="0.9921875" style="0" customWidth="1"/>
    <col min="15" max="15" width="9.28125" style="0" customWidth="1"/>
    <col min="16" max="16" width="0.9921875" style="0" customWidth="1"/>
    <col min="17" max="17" width="10.8515625" style="0" customWidth="1"/>
    <col min="18" max="18" width="0.9921875" style="0" customWidth="1"/>
    <col min="19" max="19" width="10.00390625" style="0" customWidth="1"/>
    <col min="20" max="20" width="1.421875" style="0" customWidth="1"/>
    <col min="21" max="21" width="6.7109375" style="0" customWidth="1"/>
    <col min="22" max="22" width="2.00390625" style="0" customWidth="1"/>
    <col min="23" max="23" width="9.8515625" style="0" bestFit="1" customWidth="1"/>
    <col min="24" max="24" width="3.7109375" style="0" customWidth="1"/>
    <col min="25" max="25" width="24.7109375" style="0" customWidth="1"/>
    <col min="26" max="26" width="2.28125" style="0" customWidth="1"/>
    <col min="27" max="27" width="2.57421875" style="0" customWidth="1"/>
    <col min="28" max="29" width="15.00390625" style="0" customWidth="1"/>
    <col min="30" max="30" width="4.00390625" style="0" customWidth="1"/>
    <col min="31" max="31" width="8.00390625" style="0" customWidth="1"/>
  </cols>
  <sheetData>
    <row r="2" spans="1:23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18" customHeight="1">
      <c r="A3" s="199" t="s">
        <v>531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61"/>
      <c r="W4" s="161"/>
    </row>
    <row r="5" spans="1:23" ht="12.75">
      <c r="A5" s="299"/>
      <c r="B5" s="299"/>
      <c r="C5" s="300" t="s">
        <v>240</v>
      </c>
      <c r="D5" s="300"/>
      <c r="E5" s="300"/>
      <c r="F5" s="300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2"/>
      <c r="U5" s="303" t="s">
        <v>328</v>
      </c>
      <c r="V5" s="302"/>
      <c r="W5" s="161"/>
    </row>
    <row r="6" spans="1:23" ht="12.75">
      <c r="A6" s="304" t="s">
        <v>206</v>
      </c>
      <c r="B6" s="305"/>
      <c r="C6" s="306" t="s">
        <v>334</v>
      </c>
      <c r="D6" s="306"/>
      <c r="E6" s="306" t="s">
        <v>333</v>
      </c>
      <c r="F6" s="306"/>
      <c r="G6" s="306" t="s">
        <v>332</v>
      </c>
      <c r="H6" s="306"/>
      <c r="I6" s="307" t="s">
        <v>331</v>
      </c>
      <c r="J6" s="306"/>
      <c r="K6" s="307" t="s">
        <v>255</v>
      </c>
      <c r="L6" s="307"/>
      <c r="M6" s="307" t="s">
        <v>281</v>
      </c>
      <c r="N6" s="307"/>
      <c r="O6" s="307" t="s">
        <v>324</v>
      </c>
      <c r="P6" s="307"/>
      <c r="Q6" s="307" t="s">
        <v>528</v>
      </c>
      <c r="R6" s="307"/>
      <c r="S6" s="307" t="s">
        <v>529</v>
      </c>
      <c r="T6" s="306"/>
      <c r="U6" s="304" t="s">
        <v>329</v>
      </c>
      <c r="V6" s="306"/>
      <c r="W6" s="161"/>
    </row>
    <row r="7" spans="1:23" ht="3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9"/>
      <c r="V7" s="310"/>
      <c r="W7" s="161"/>
    </row>
    <row r="8" spans="1:23" ht="0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9"/>
      <c r="V8" s="163"/>
      <c r="W8" s="161"/>
    </row>
    <row r="9" spans="1:24" ht="13.5" customHeight="1">
      <c r="A9" s="130"/>
      <c r="B9" s="130"/>
      <c r="C9" s="130"/>
      <c r="D9" s="130"/>
      <c r="F9" s="165"/>
      <c r="G9" s="130"/>
      <c r="H9" s="343" t="s">
        <v>282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311" t="s">
        <v>328</v>
      </c>
      <c r="V9" s="312"/>
      <c r="W9" s="161"/>
      <c r="X9" s="54" t="s">
        <v>327</v>
      </c>
    </row>
    <row r="10" spans="1:24" ht="5.2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305"/>
      <c r="V10" s="306"/>
      <c r="W10" s="161"/>
      <c r="X10" s="54"/>
    </row>
    <row r="11" spans="1:25" ht="12" customHeight="1">
      <c r="A11" s="124" t="s">
        <v>422</v>
      </c>
      <c r="B11" s="124"/>
      <c r="C11" s="166">
        <v>8909209</v>
      </c>
      <c r="D11" s="124"/>
      <c r="E11" s="166">
        <v>4281923</v>
      </c>
      <c r="F11" s="166"/>
      <c r="G11" s="166">
        <v>1540822</v>
      </c>
      <c r="H11" s="166"/>
      <c r="I11" s="166">
        <v>4669745</v>
      </c>
      <c r="J11" s="166"/>
      <c r="K11" s="166">
        <v>4170184</v>
      </c>
      <c r="L11" s="166"/>
      <c r="M11" s="166">
        <v>2953366</v>
      </c>
      <c r="N11" s="166"/>
      <c r="O11" s="166">
        <v>6646510</v>
      </c>
      <c r="P11" s="166"/>
      <c r="Q11" s="166">
        <v>8527730</v>
      </c>
      <c r="R11" s="166"/>
      <c r="S11" s="166">
        <f>+(AC46/AB46)*Q11</f>
        <v>21454607.822179306</v>
      </c>
      <c r="T11" s="166"/>
      <c r="U11" s="313">
        <f aca="true" t="shared" si="0" ref="U11:U40">+(S11/Q11-1)*100</f>
        <v>151.58638725873482</v>
      </c>
      <c r="V11" s="306"/>
      <c r="W11" s="161"/>
      <c r="X11" s="54">
        <v>49</v>
      </c>
      <c r="Y11" t="s">
        <v>422</v>
      </c>
    </row>
    <row r="12" spans="1:25" ht="12" customHeight="1">
      <c r="A12" s="124" t="s">
        <v>423</v>
      </c>
      <c r="B12" s="124"/>
      <c r="C12" s="166">
        <v>12166059</v>
      </c>
      <c r="D12" s="124"/>
      <c r="E12" s="166">
        <v>16926832</v>
      </c>
      <c r="F12" s="166"/>
      <c r="G12" s="166">
        <v>19851977</v>
      </c>
      <c r="H12" s="166"/>
      <c r="I12" s="166">
        <v>19487271</v>
      </c>
      <c r="J12" s="166"/>
      <c r="K12" s="166">
        <v>18920607</v>
      </c>
      <c r="L12" s="166"/>
      <c r="M12" s="166">
        <v>22560712</v>
      </c>
      <c r="N12" s="166"/>
      <c r="O12" s="166">
        <v>22841704</v>
      </c>
      <c r="P12" s="166"/>
      <c r="Q12" s="166">
        <v>27779248</v>
      </c>
      <c r="R12" s="166"/>
      <c r="S12" s="166">
        <f>+(AC47/AB47)*Q12</f>
        <v>28105646.415524933</v>
      </c>
      <c r="T12" s="166"/>
      <c r="U12" s="313">
        <f t="shared" si="0"/>
        <v>1.174972106966088</v>
      </c>
      <c r="V12" s="306"/>
      <c r="W12" s="161"/>
      <c r="X12" s="54">
        <v>39</v>
      </c>
      <c r="Y12" t="s">
        <v>423</v>
      </c>
    </row>
    <row r="13" spans="1:25" ht="12" customHeight="1">
      <c r="A13" s="124" t="s">
        <v>398</v>
      </c>
      <c r="B13" s="124"/>
      <c r="C13" s="166">
        <v>10261527</v>
      </c>
      <c r="D13" s="124"/>
      <c r="E13" s="166">
        <v>12007954</v>
      </c>
      <c r="F13" s="166"/>
      <c r="G13" s="166">
        <v>10564510</v>
      </c>
      <c r="H13" s="166"/>
      <c r="I13" s="166">
        <v>10703849</v>
      </c>
      <c r="J13" s="166"/>
      <c r="K13" s="166">
        <v>9373665</v>
      </c>
      <c r="L13" s="166"/>
      <c r="M13" s="166">
        <v>13142946</v>
      </c>
      <c r="N13" s="166"/>
      <c r="O13" s="166">
        <v>11561887</v>
      </c>
      <c r="P13" s="166"/>
      <c r="Q13" s="166">
        <v>12283929</v>
      </c>
      <c r="R13" s="166"/>
      <c r="S13" s="166">
        <f>+(AC48/AB48)*Q13</f>
        <v>7114436.25497359</v>
      </c>
      <c r="T13" s="166"/>
      <c r="U13" s="313">
        <f t="shared" si="0"/>
        <v>-42.083381831874874</v>
      </c>
      <c r="V13" s="306"/>
      <c r="W13" s="161"/>
      <c r="X13" s="54">
        <v>45</v>
      </c>
      <c r="Y13" t="s">
        <v>398</v>
      </c>
    </row>
    <row r="14" spans="1:25" ht="12" customHeight="1">
      <c r="A14" s="124" t="s">
        <v>399</v>
      </c>
      <c r="B14" s="124"/>
      <c r="C14" s="166">
        <v>15081455</v>
      </c>
      <c r="D14" s="124"/>
      <c r="E14" s="166">
        <v>18682314</v>
      </c>
      <c r="F14" s="166"/>
      <c r="G14" s="166">
        <v>21023717</v>
      </c>
      <c r="H14" s="166"/>
      <c r="I14" s="166">
        <v>18472224</v>
      </c>
      <c r="J14" s="166"/>
      <c r="K14" s="166">
        <v>20540881</v>
      </c>
      <c r="L14" s="166"/>
      <c r="M14" s="166">
        <v>19079785</v>
      </c>
      <c r="N14" s="166"/>
      <c r="O14" s="166">
        <v>23610656</v>
      </c>
      <c r="P14" s="166"/>
      <c r="Q14" s="166">
        <v>22013620</v>
      </c>
      <c r="R14" s="166"/>
      <c r="S14" s="166">
        <f>+(AC49/AB49)*Q14</f>
        <v>25876518.059610188</v>
      </c>
      <c r="T14" s="166"/>
      <c r="U14" s="313">
        <f t="shared" si="0"/>
        <v>17.547763882588097</v>
      </c>
      <c r="V14" s="306"/>
      <c r="W14" s="161"/>
      <c r="X14" s="54">
        <v>46</v>
      </c>
      <c r="Y14" t="s">
        <v>399</v>
      </c>
    </row>
    <row r="15" spans="1:25" ht="12" customHeight="1">
      <c r="A15" s="124" t="s">
        <v>194</v>
      </c>
      <c r="B15" s="124"/>
      <c r="C15" s="166">
        <v>7730123</v>
      </c>
      <c r="D15" s="166"/>
      <c r="E15" s="166">
        <v>9772942</v>
      </c>
      <c r="F15" s="166"/>
      <c r="G15" s="166">
        <v>5585630</v>
      </c>
      <c r="H15" s="166"/>
      <c r="I15" s="166">
        <v>5806477</v>
      </c>
      <c r="J15" s="166"/>
      <c r="K15" s="166">
        <v>6861265</v>
      </c>
      <c r="L15" s="166"/>
      <c r="M15" s="166">
        <v>6159076</v>
      </c>
      <c r="N15" s="166"/>
      <c r="O15" s="166">
        <v>7691974</v>
      </c>
      <c r="P15" s="166"/>
      <c r="Q15" s="166">
        <v>17959361</v>
      </c>
      <c r="R15" s="166"/>
      <c r="S15" s="166">
        <f>+(AC50/AB50)*Q15</f>
        <v>17352182.504280705</v>
      </c>
      <c r="T15" s="166"/>
      <c r="U15" s="313">
        <f t="shared" si="0"/>
        <v>-3.3808468782341117</v>
      </c>
      <c r="V15" s="306"/>
      <c r="W15" s="161"/>
      <c r="X15" s="54">
        <v>40</v>
      </c>
      <c r="Y15" t="s">
        <v>194</v>
      </c>
    </row>
    <row r="16" spans="1:25" ht="12" customHeight="1">
      <c r="A16" s="124" t="s">
        <v>400</v>
      </c>
      <c r="B16" s="124"/>
      <c r="C16" s="166">
        <v>8920001</v>
      </c>
      <c r="D16" s="124"/>
      <c r="E16" s="166">
        <v>7836353</v>
      </c>
      <c r="F16" s="166"/>
      <c r="G16" s="166">
        <v>4159576</v>
      </c>
      <c r="H16" s="166"/>
      <c r="I16" s="166">
        <v>2848221</v>
      </c>
      <c r="J16" s="166"/>
      <c r="K16" s="166">
        <v>3924058</v>
      </c>
      <c r="L16" s="166"/>
      <c r="M16" s="166">
        <v>4042175</v>
      </c>
      <c r="N16" s="166"/>
      <c r="O16" s="166">
        <v>6718981</v>
      </c>
      <c r="P16" s="166"/>
      <c r="Q16" s="166">
        <v>8403052</v>
      </c>
      <c r="R16" s="166"/>
      <c r="S16" s="166">
        <f>+Q16</f>
        <v>8403052</v>
      </c>
      <c r="T16" s="166"/>
      <c r="U16" s="313">
        <f t="shared" si="0"/>
        <v>0</v>
      </c>
      <c r="V16" s="306"/>
      <c r="W16" s="161"/>
      <c r="X16" s="54">
        <v>41</v>
      </c>
      <c r="Y16" t="s">
        <v>400</v>
      </c>
    </row>
    <row r="17" spans="1:25" ht="12" customHeight="1">
      <c r="A17" s="124" t="s">
        <v>401</v>
      </c>
      <c r="B17" s="124"/>
      <c r="C17" s="166">
        <v>1888107</v>
      </c>
      <c r="D17" s="124"/>
      <c r="E17" s="166">
        <v>2591548</v>
      </c>
      <c r="F17" s="166"/>
      <c r="G17" s="166">
        <v>1851742</v>
      </c>
      <c r="H17" s="166"/>
      <c r="I17" s="166">
        <v>2231261</v>
      </c>
      <c r="J17" s="166"/>
      <c r="K17" s="166">
        <v>2418885</v>
      </c>
      <c r="L17" s="166"/>
      <c r="M17" s="166">
        <v>3127847</v>
      </c>
      <c r="N17" s="166"/>
      <c r="O17" s="166">
        <v>2172909</v>
      </c>
      <c r="P17" s="166"/>
      <c r="Q17" s="166">
        <v>11219693</v>
      </c>
      <c r="R17" s="166"/>
      <c r="S17" s="166">
        <f>+(AC51/AB51)*Q17</f>
        <v>10006081.34729688</v>
      </c>
      <c r="T17" s="166"/>
      <c r="U17" s="313">
        <f t="shared" si="0"/>
        <v>-10.816799111197783</v>
      </c>
      <c r="V17" s="306"/>
      <c r="W17" s="161"/>
      <c r="X17" s="54">
        <v>47</v>
      </c>
      <c r="Y17" t="s">
        <v>401</v>
      </c>
    </row>
    <row r="18" spans="1:25" ht="12" customHeight="1">
      <c r="A18" s="124" t="s">
        <v>402</v>
      </c>
      <c r="B18" s="124"/>
      <c r="C18" s="166">
        <v>2052166</v>
      </c>
      <c r="D18" s="124"/>
      <c r="E18" s="166">
        <v>2519929</v>
      </c>
      <c r="F18" s="166"/>
      <c r="G18" s="166">
        <v>2073659</v>
      </c>
      <c r="H18" s="166"/>
      <c r="I18" s="166">
        <v>2176264</v>
      </c>
      <c r="J18" s="166"/>
      <c r="K18" s="166">
        <v>2469022</v>
      </c>
      <c r="L18" s="166"/>
      <c r="M18" s="166">
        <v>3864412</v>
      </c>
      <c r="N18" s="166"/>
      <c r="O18" s="166">
        <v>4454250</v>
      </c>
      <c r="P18" s="166"/>
      <c r="Q18" s="166">
        <v>6254871</v>
      </c>
      <c r="R18" s="166"/>
      <c r="S18" s="166">
        <f>+Q18</f>
        <v>6254871</v>
      </c>
      <c r="T18" s="166"/>
      <c r="U18" s="313">
        <f t="shared" si="0"/>
        <v>0</v>
      </c>
      <c r="V18" s="306"/>
      <c r="W18" s="161"/>
      <c r="X18" s="54">
        <v>48</v>
      </c>
      <c r="Y18" t="s">
        <v>402</v>
      </c>
    </row>
    <row r="19" spans="1:25" ht="12" customHeight="1">
      <c r="A19" s="124" t="s">
        <v>403</v>
      </c>
      <c r="B19" s="124"/>
      <c r="C19" s="166">
        <v>3924607</v>
      </c>
      <c r="D19" s="124"/>
      <c r="E19" s="166">
        <v>14206510</v>
      </c>
      <c r="F19" s="166"/>
      <c r="G19" s="166">
        <v>6500097</v>
      </c>
      <c r="H19" s="166"/>
      <c r="I19" s="166">
        <v>9600395</v>
      </c>
      <c r="J19" s="166"/>
      <c r="K19" s="166">
        <v>8173717</v>
      </c>
      <c r="L19" s="166"/>
      <c r="M19" s="166">
        <v>9180527</v>
      </c>
      <c r="N19" s="166"/>
      <c r="O19" s="166">
        <v>8655354</v>
      </c>
      <c r="P19" s="166"/>
      <c r="Q19" s="166">
        <v>13343004</v>
      </c>
      <c r="R19" s="166"/>
      <c r="S19" s="166">
        <f>+(AC52/AB52)*Q19*2</f>
        <v>1449722.0159981663</v>
      </c>
      <c r="T19" s="166"/>
      <c r="U19" s="313">
        <f t="shared" si="0"/>
        <v>-89.13496528968913</v>
      </c>
      <c r="V19" s="306"/>
      <c r="W19" s="161"/>
      <c r="X19" s="54">
        <v>38</v>
      </c>
      <c r="Y19" t="s">
        <v>403</v>
      </c>
    </row>
    <row r="20" spans="1:25" ht="12" customHeight="1">
      <c r="A20" s="124" t="s">
        <v>404</v>
      </c>
      <c r="B20" s="124"/>
      <c r="C20" s="166">
        <v>9444339</v>
      </c>
      <c r="D20" s="124"/>
      <c r="E20" s="166">
        <v>11943449</v>
      </c>
      <c r="F20" s="166"/>
      <c r="G20" s="166">
        <v>12845853</v>
      </c>
      <c r="H20" s="166"/>
      <c r="I20" s="166">
        <v>8247159</v>
      </c>
      <c r="J20" s="166"/>
      <c r="K20" s="166">
        <v>13558373</v>
      </c>
      <c r="L20" s="166"/>
      <c r="M20" s="166">
        <v>12853878</v>
      </c>
      <c r="N20" s="166"/>
      <c r="O20" s="166">
        <v>9752445</v>
      </c>
      <c r="P20" s="166"/>
      <c r="Q20" s="166">
        <v>13460010</v>
      </c>
      <c r="R20" s="166"/>
      <c r="S20" s="166">
        <f>+(AC53/AB53)*Q20</f>
        <v>12297373.435479255</v>
      </c>
      <c r="T20" s="166"/>
      <c r="U20" s="313">
        <f t="shared" si="0"/>
        <v>-8.637709515228774</v>
      </c>
      <c r="V20" s="306"/>
      <c r="W20" s="161"/>
      <c r="X20" s="54">
        <v>36</v>
      </c>
      <c r="Y20" t="s">
        <v>404</v>
      </c>
    </row>
    <row r="21" spans="1:25" ht="12" customHeight="1">
      <c r="A21" s="124" t="s">
        <v>405</v>
      </c>
      <c r="B21" s="124"/>
      <c r="C21" s="166">
        <v>1103573</v>
      </c>
      <c r="D21" s="124"/>
      <c r="E21" s="166">
        <v>4539619</v>
      </c>
      <c r="F21" s="166"/>
      <c r="G21" s="166">
        <v>3847554</v>
      </c>
      <c r="H21" s="166"/>
      <c r="I21" s="166">
        <v>6190375</v>
      </c>
      <c r="J21" s="166"/>
      <c r="K21" s="166">
        <v>7190245</v>
      </c>
      <c r="L21" s="166"/>
      <c r="M21" s="166">
        <v>7726311</v>
      </c>
      <c r="N21" s="166"/>
      <c r="O21" s="166">
        <v>6487817</v>
      </c>
      <c r="P21" s="166"/>
      <c r="Q21" s="166">
        <v>7826386</v>
      </c>
      <c r="R21" s="166"/>
      <c r="S21" s="166">
        <f>+(AC54/AB54)*Q21</f>
        <v>12024158.487000747</v>
      </c>
      <c r="T21" s="166"/>
      <c r="U21" s="313">
        <f t="shared" si="0"/>
        <v>53.636154503505786</v>
      </c>
      <c r="V21" s="306"/>
      <c r="W21" s="161"/>
      <c r="X21" s="54">
        <v>44</v>
      </c>
      <c r="Y21" t="s">
        <v>405</v>
      </c>
    </row>
    <row r="22" spans="1:25" ht="12" customHeight="1">
      <c r="A22" s="124" t="s">
        <v>406</v>
      </c>
      <c r="B22" s="124"/>
      <c r="C22" s="166">
        <v>1669446</v>
      </c>
      <c r="D22" s="124"/>
      <c r="E22" s="166">
        <v>4606617</v>
      </c>
      <c r="F22" s="166"/>
      <c r="G22" s="166">
        <v>4005030</v>
      </c>
      <c r="H22" s="166"/>
      <c r="I22" s="166">
        <v>6187592</v>
      </c>
      <c r="J22" s="166"/>
      <c r="K22" s="166">
        <v>7161455</v>
      </c>
      <c r="L22" s="166"/>
      <c r="M22" s="166">
        <v>6459909</v>
      </c>
      <c r="N22" s="166"/>
      <c r="O22" s="166">
        <v>7937666</v>
      </c>
      <c r="P22" s="166"/>
      <c r="Q22" s="166">
        <v>8721245</v>
      </c>
      <c r="R22" s="166"/>
      <c r="S22" s="166">
        <f>+(AC55/AB55)*Q22</f>
        <v>11588352.200774161</v>
      </c>
      <c r="T22" s="166"/>
      <c r="U22" s="313">
        <f t="shared" si="0"/>
        <v>32.87497600140989</v>
      </c>
      <c r="V22" s="306"/>
      <c r="W22" s="161"/>
      <c r="X22" s="54">
        <v>51</v>
      </c>
      <c r="Y22" t="s">
        <v>406</v>
      </c>
    </row>
    <row r="23" spans="1:25" ht="12" customHeight="1">
      <c r="A23" s="124" t="s">
        <v>407</v>
      </c>
      <c r="B23" s="124"/>
      <c r="C23" s="166">
        <v>3958856</v>
      </c>
      <c r="D23" s="124"/>
      <c r="E23" s="166">
        <v>18160485</v>
      </c>
      <c r="F23" s="166"/>
      <c r="G23" s="166">
        <v>16067052</v>
      </c>
      <c r="H23" s="166"/>
      <c r="I23" s="166">
        <v>20193671</v>
      </c>
      <c r="J23" s="166"/>
      <c r="K23" s="166">
        <v>34737681</v>
      </c>
      <c r="L23" s="166"/>
      <c r="M23" s="166">
        <v>16452475</v>
      </c>
      <c r="N23" s="166"/>
      <c r="O23" s="166">
        <v>13913083</v>
      </c>
      <c r="P23" s="166"/>
      <c r="Q23" s="166">
        <v>22352708</v>
      </c>
      <c r="R23" s="166"/>
      <c r="S23" s="166">
        <f>+(AC56/AB56)*Q23</f>
        <v>16084389.765572524</v>
      </c>
      <c r="T23" s="166"/>
      <c r="U23" s="313">
        <f t="shared" si="0"/>
        <v>-28.04276884226947</v>
      </c>
      <c r="V23" s="306"/>
      <c r="W23" s="161"/>
      <c r="X23" s="54">
        <v>42</v>
      </c>
      <c r="Y23" t="s">
        <v>407</v>
      </c>
    </row>
    <row r="24" spans="1:25" ht="12" customHeight="1">
      <c r="A24" s="124" t="s">
        <v>408</v>
      </c>
      <c r="B24" s="124"/>
      <c r="C24" s="166">
        <v>752602</v>
      </c>
      <c r="D24" s="124"/>
      <c r="E24" s="166">
        <v>2869813</v>
      </c>
      <c r="F24" s="166"/>
      <c r="G24" s="166">
        <v>419927</v>
      </c>
      <c r="H24" s="166"/>
      <c r="I24" s="166">
        <v>3487614</v>
      </c>
      <c r="J24" s="166"/>
      <c r="K24" s="166">
        <v>8280363</v>
      </c>
      <c r="L24" s="166"/>
      <c r="M24" s="166">
        <v>7347324</v>
      </c>
      <c r="N24" s="166"/>
      <c r="O24" s="166">
        <v>7612753</v>
      </c>
      <c r="P24" s="166"/>
      <c r="Q24" s="166">
        <v>1834685</v>
      </c>
      <c r="R24" s="166"/>
      <c r="S24" s="166">
        <f>+(AC57/AB57)*Q24</f>
        <v>699188.3720783797</v>
      </c>
      <c r="T24" s="166"/>
      <c r="U24" s="313">
        <f t="shared" si="0"/>
        <v>-61.89054949060031</v>
      </c>
      <c r="V24" s="306"/>
      <c r="W24" s="161"/>
      <c r="X24" s="54">
        <v>37</v>
      </c>
      <c r="Y24" t="s">
        <v>408</v>
      </c>
    </row>
    <row r="25" spans="1:25" ht="12" customHeight="1">
      <c r="A25" s="124" t="s">
        <v>196</v>
      </c>
      <c r="B25" s="124"/>
      <c r="C25" s="166">
        <v>86657</v>
      </c>
      <c r="D25" s="124"/>
      <c r="E25" s="166">
        <v>30386</v>
      </c>
      <c r="F25" s="166"/>
      <c r="G25" s="166">
        <v>2394500</v>
      </c>
      <c r="H25" s="166"/>
      <c r="I25" s="166">
        <v>22520</v>
      </c>
      <c r="J25" s="166"/>
      <c r="K25" s="166">
        <v>31998</v>
      </c>
      <c r="L25" s="166"/>
      <c r="M25" s="166">
        <v>2027591</v>
      </c>
      <c r="N25" s="166"/>
      <c r="O25" s="166">
        <v>13774968</v>
      </c>
      <c r="P25" s="166"/>
      <c r="Q25" s="166">
        <v>803253</v>
      </c>
      <c r="R25" s="166"/>
      <c r="S25" s="166">
        <f>+(AC58/AB58)*Q25*0.3</f>
        <v>6602745.192720355</v>
      </c>
      <c r="T25" s="166"/>
      <c r="U25" s="313">
        <f t="shared" si="0"/>
        <v>722.000688789255</v>
      </c>
      <c r="V25" s="306"/>
      <c r="W25" s="161"/>
      <c r="X25" s="54">
        <v>50</v>
      </c>
      <c r="Y25" t="s">
        <v>196</v>
      </c>
    </row>
    <row r="26" spans="1:25" ht="12" customHeight="1">
      <c r="A26" s="124" t="s">
        <v>409</v>
      </c>
      <c r="B26" s="124"/>
      <c r="C26" s="166">
        <v>2394555</v>
      </c>
      <c r="D26" s="124"/>
      <c r="E26" s="166">
        <v>18933673</v>
      </c>
      <c r="F26" s="166"/>
      <c r="G26" s="166">
        <v>6943530</v>
      </c>
      <c r="H26" s="166"/>
      <c r="I26" s="166">
        <v>7105497</v>
      </c>
      <c r="J26" s="166"/>
      <c r="K26" s="166">
        <v>6536301</v>
      </c>
      <c r="L26" s="166"/>
      <c r="M26" s="166">
        <v>11224521</v>
      </c>
      <c r="N26" s="166"/>
      <c r="O26" s="166">
        <v>19984393</v>
      </c>
      <c r="P26" s="166"/>
      <c r="Q26" s="166">
        <v>22157694</v>
      </c>
      <c r="R26" s="166"/>
      <c r="S26" s="166">
        <f>+(AC59/AB59)*Q26</f>
        <v>35981625.1579363</v>
      </c>
      <c r="T26" s="166"/>
      <c r="U26" s="313">
        <f t="shared" si="0"/>
        <v>62.38885309065238</v>
      </c>
      <c r="V26" s="306"/>
      <c r="W26" s="161"/>
      <c r="X26" s="54">
        <v>53</v>
      </c>
      <c r="Y26" t="s">
        <v>409</v>
      </c>
    </row>
    <row r="27" spans="1:25" ht="12" customHeight="1">
      <c r="A27" s="124" t="s">
        <v>424</v>
      </c>
      <c r="B27" s="124"/>
      <c r="C27" s="166">
        <v>134096</v>
      </c>
      <c r="D27" s="124"/>
      <c r="E27" s="166">
        <v>52000</v>
      </c>
      <c r="F27" s="166"/>
      <c r="G27" s="166">
        <v>940074</v>
      </c>
      <c r="H27" s="166"/>
      <c r="I27" s="166">
        <v>42501</v>
      </c>
      <c r="J27" s="166"/>
      <c r="K27" s="166">
        <v>258882</v>
      </c>
      <c r="L27" s="166"/>
      <c r="M27" s="166">
        <v>254149</v>
      </c>
      <c r="N27" s="166"/>
      <c r="O27" s="166">
        <v>191498</v>
      </c>
      <c r="P27" s="166"/>
      <c r="Q27" s="166">
        <v>381904</v>
      </c>
      <c r="R27" s="166"/>
      <c r="S27" s="166">
        <v>381904</v>
      </c>
      <c r="T27" s="166"/>
      <c r="U27" s="313">
        <f t="shared" si="0"/>
        <v>0</v>
      </c>
      <c r="V27" s="306"/>
      <c r="W27" s="161"/>
      <c r="X27" s="54">
        <v>43</v>
      </c>
      <c r="Y27" t="s">
        <v>424</v>
      </c>
    </row>
    <row r="28" spans="1:25" ht="12" customHeight="1">
      <c r="A28" s="124" t="s">
        <v>410</v>
      </c>
      <c r="B28" s="124"/>
      <c r="C28" s="166">
        <v>11149</v>
      </c>
      <c r="D28" s="124"/>
      <c r="E28" s="166">
        <v>50596</v>
      </c>
      <c r="F28" s="166"/>
      <c r="G28" s="166">
        <v>64741</v>
      </c>
      <c r="H28" s="166"/>
      <c r="I28" s="166">
        <v>61848</v>
      </c>
      <c r="J28" s="166"/>
      <c r="K28" s="166">
        <v>5997</v>
      </c>
      <c r="L28" s="166"/>
      <c r="M28" s="166">
        <v>169187</v>
      </c>
      <c r="N28" s="166"/>
      <c r="O28" s="166">
        <v>48590</v>
      </c>
      <c r="P28" s="166"/>
      <c r="Q28" s="166">
        <v>50175</v>
      </c>
      <c r="R28" s="166"/>
      <c r="S28" s="166">
        <v>50175</v>
      </c>
      <c r="T28" s="166"/>
      <c r="U28" s="313">
        <f t="shared" si="0"/>
        <v>0</v>
      </c>
      <c r="V28" s="306"/>
      <c r="W28" s="161"/>
      <c r="X28" s="54"/>
      <c r="Y28" t="s">
        <v>410</v>
      </c>
    </row>
    <row r="29" spans="1:25" ht="12" customHeight="1">
      <c r="A29" s="124" t="s">
        <v>411</v>
      </c>
      <c r="B29" s="124"/>
      <c r="C29" s="166">
        <v>162732</v>
      </c>
      <c r="D29" s="124"/>
      <c r="E29" s="166">
        <v>158349</v>
      </c>
      <c r="F29" s="166"/>
      <c r="G29" s="166">
        <v>59194</v>
      </c>
      <c r="H29" s="166"/>
      <c r="I29" s="166">
        <v>30020</v>
      </c>
      <c r="J29" s="166"/>
      <c r="K29" s="166">
        <v>66811</v>
      </c>
      <c r="L29" s="166"/>
      <c r="M29" s="166">
        <v>1550267</v>
      </c>
      <c r="N29" s="166"/>
      <c r="O29" s="166">
        <v>725060</v>
      </c>
      <c r="P29" s="166"/>
      <c r="Q29" s="166">
        <v>561356</v>
      </c>
      <c r="R29" s="166"/>
      <c r="S29" s="166">
        <v>561356</v>
      </c>
      <c r="T29" s="166"/>
      <c r="U29" s="313">
        <f t="shared" si="0"/>
        <v>0</v>
      </c>
      <c r="V29" s="306"/>
      <c r="W29" s="161"/>
      <c r="X29" s="54"/>
      <c r="Y29" t="s">
        <v>411</v>
      </c>
    </row>
    <row r="30" spans="1:25" ht="12" customHeight="1">
      <c r="A30" s="124" t="s">
        <v>412</v>
      </c>
      <c r="B30" s="124"/>
      <c r="C30" s="166">
        <v>5621971</v>
      </c>
      <c r="D30" s="124"/>
      <c r="E30" s="166">
        <v>8090539</v>
      </c>
      <c r="F30" s="166"/>
      <c r="G30" s="166">
        <v>2835227</v>
      </c>
      <c r="H30" s="166"/>
      <c r="I30" s="166">
        <v>1768211</v>
      </c>
      <c r="J30" s="166"/>
      <c r="K30" s="166">
        <v>2380128</v>
      </c>
      <c r="L30" s="166"/>
      <c r="M30" s="166">
        <v>1361293</v>
      </c>
      <c r="N30" s="166"/>
      <c r="O30" s="166">
        <v>3964138</v>
      </c>
      <c r="P30" s="166"/>
      <c r="Q30" s="166">
        <v>13812548</v>
      </c>
      <c r="R30" s="166"/>
      <c r="S30" s="166">
        <v>13812548</v>
      </c>
      <c r="T30" s="166"/>
      <c r="U30" s="313">
        <f t="shared" si="0"/>
        <v>0</v>
      </c>
      <c r="V30" s="306"/>
      <c r="W30" s="161"/>
      <c r="X30" s="54"/>
      <c r="Y30" t="s">
        <v>412</v>
      </c>
    </row>
    <row r="31" spans="1:25" ht="12" customHeight="1">
      <c r="A31" s="124" t="s">
        <v>413</v>
      </c>
      <c r="B31" s="124"/>
      <c r="C31" s="166">
        <v>157006</v>
      </c>
      <c r="D31" s="124"/>
      <c r="E31" s="166">
        <v>111225</v>
      </c>
      <c r="F31" s="166"/>
      <c r="G31" s="166">
        <v>257136</v>
      </c>
      <c r="H31" s="166"/>
      <c r="I31" s="166">
        <v>1424229</v>
      </c>
      <c r="J31" s="166"/>
      <c r="K31" s="166">
        <v>462869</v>
      </c>
      <c r="L31" s="166"/>
      <c r="M31" s="166">
        <v>430728</v>
      </c>
      <c r="N31" s="166"/>
      <c r="O31" s="166">
        <v>1956830</v>
      </c>
      <c r="P31" s="166"/>
      <c r="Q31" s="166">
        <v>1070815</v>
      </c>
      <c r="R31" s="166"/>
      <c r="S31" s="166">
        <v>1070815</v>
      </c>
      <c r="T31" s="166"/>
      <c r="U31" s="313">
        <f t="shared" si="0"/>
        <v>0</v>
      </c>
      <c r="V31" s="306"/>
      <c r="W31" s="161"/>
      <c r="X31" s="54"/>
      <c r="Y31" t="s">
        <v>414</v>
      </c>
    </row>
    <row r="32" spans="1:25" ht="12" customHeight="1">
      <c r="A32" s="124" t="s">
        <v>414</v>
      </c>
      <c r="B32" s="124"/>
      <c r="C32" s="166">
        <v>8761720</v>
      </c>
      <c r="D32" s="124"/>
      <c r="E32" s="166">
        <v>7196488</v>
      </c>
      <c r="F32" s="166"/>
      <c r="G32" s="166">
        <v>9032884</v>
      </c>
      <c r="H32" s="166"/>
      <c r="I32" s="166">
        <v>9458988</v>
      </c>
      <c r="J32" s="166"/>
      <c r="K32" s="166">
        <v>15442894</v>
      </c>
      <c r="L32" s="166"/>
      <c r="M32" s="166">
        <v>12803675</v>
      </c>
      <c r="N32" s="166"/>
      <c r="O32" s="166">
        <v>15994902</v>
      </c>
      <c r="P32" s="166"/>
      <c r="Q32" s="166">
        <v>16897180</v>
      </c>
      <c r="R32" s="166"/>
      <c r="S32" s="166">
        <v>16897180</v>
      </c>
      <c r="T32" s="166"/>
      <c r="U32" s="313">
        <f t="shared" si="0"/>
        <v>0</v>
      </c>
      <c r="V32" s="306"/>
      <c r="W32" s="161"/>
      <c r="X32" s="54"/>
      <c r="Y32" t="s">
        <v>415</v>
      </c>
    </row>
    <row r="33" spans="1:25" ht="12" customHeight="1">
      <c r="A33" s="124" t="s">
        <v>415</v>
      </c>
      <c r="B33" s="124"/>
      <c r="C33" s="166">
        <v>3928174</v>
      </c>
      <c r="D33" s="124"/>
      <c r="E33" s="166">
        <v>53806644</v>
      </c>
      <c r="F33" s="166"/>
      <c r="G33" s="166">
        <v>18763953</v>
      </c>
      <c r="H33" s="166"/>
      <c r="I33" s="166">
        <v>13075656</v>
      </c>
      <c r="J33" s="166"/>
      <c r="K33" s="166">
        <v>13398029</v>
      </c>
      <c r="L33" s="166"/>
      <c r="M33" s="166">
        <v>16488007</v>
      </c>
      <c r="N33" s="166"/>
      <c r="O33" s="166">
        <v>29878864</v>
      </c>
      <c r="P33" s="166"/>
      <c r="Q33" s="166">
        <v>25113750</v>
      </c>
      <c r="R33" s="166"/>
      <c r="S33" s="166">
        <f>+(AC63/AB63)*Q33</f>
        <v>18701578.793958373</v>
      </c>
      <c r="T33" s="166"/>
      <c r="U33" s="313">
        <f t="shared" si="0"/>
        <v>-25.532511895044053</v>
      </c>
      <c r="V33" s="306"/>
      <c r="W33" s="161"/>
      <c r="X33" s="54"/>
      <c r="Y33" t="s">
        <v>416</v>
      </c>
    </row>
    <row r="34" spans="1:25" ht="12" customHeight="1">
      <c r="A34" s="124" t="s">
        <v>416</v>
      </c>
      <c r="B34" s="124"/>
      <c r="C34" s="166">
        <v>188998</v>
      </c>
      <c r="D34" s="124"/>
      <c r="E34" s="166">
        <v>277068</v>
      </c>
      <c r="F34" s="166"/>
      <c r="G34" s="166">
        <v>466436</v>
      </c>
      <c r="H34" s="166"/>
      <c r="I34" s="166">
        <v>1089902</v>
      </c>
      <c r="J34" s="166"/>
      <c r="K34" s="166">
        <v>919461</v>
      </c>
      <c r="L34" s="166"/>
      <c r="M34" s="166">
        <v>94298</v>
      </c>
      <c r="N34" s="166"/>
      <c r="O34" s="166">
        <v>426087</v>
      </c>
      <c r="P34" s="166"/>
      <c r="Q34" s="166">
        <v>235204</v>
      </c>
      <c r="R34" s="166"/>
      <c r="S34" s="166">
        <f>+(AC64/AB64)*Q34</f>
        <v>149089.13262294696</v>
      </c>
      <c r="T34" s="166"/>
      <c r="U34" s="313">
        <f t="shared" si="0"/>
        <v>-36.612841353485926</v>
      </c>
      <c r="V34" s="306"/>
      <c r="W34" s="161"/>
      <c r="X34" s="54">
        <v>52</v>
      </c>
      <c r="Y34" t="s">
        <v>417</v>
      </c>
    </row>
    <row r="35" spans="1:25" ht="12" customHeight="1">
      <c r="A35" s="124" t="s">
        <v>417</v>
      </c>
      <c r="B35" s="124"/>
      <c r="C35" s="166">
        <v>0</v>
      </c>
      <c r="D35" s="124"/>
      <c r="E35" s="166">
        <v>43493</v>
      </c>
      <c r="F35" s="166"/>
      <c r="G35" s="166">
        <v>34000</v>
      </c>
      <c r="H35" s="166"/>
      <c r="I35" s="166">
        <v>12535</v>
      </c>
      <c r="J35" s="166"/>
      <c r="K35" s="166">
        <v>794358</v>
      </c>
      <c r="L35" s="166"/>
      <c r="M35" s="166">
        <v>138111</v>
      </c>
      <c r="N35" s="166"/>
      <c r="O35" s="166">
        <v>1949455</v>
      </c>
      <c r="P35" s="166"/>
      <c r="Q35" s="166">
        <v>561543</v>
      </c>
      <c r="R35" s="166"/>
      <c r="S35" s="166">
        <f>+(AC65/AB65)*Q35*0.09</f>
        <v>3723190.6582750725</v>
      </c>
      <c r="T35" s="166"/>
      <c r="U35" s="313">
        <f t="shared" si="0"/>
        <v>563.0285941192521</v>
      </c>
      <c r="V35" s="306"/>
      <c r="W35" s="161"/>
      <c r="X35" s="54"/>
      <c r="Y35" t="s">
        <v>418</v>
      </c>
    </row>
    <row r="36" spans="1:24" ht="12" customHeight="1">
      <c r="A36" s="124" t="s">
        <v>418</v>
      </c>
      <c r="B36" s="124"/>
      <c r="C36" s="166">
        <v>578501</v>
      </c>
      <c r="D36" s="124"/>
      <c r="E36" s="166">
        <v>405472</v>
      </c>
      <c r="F36" s="166"/>
      <c r="G36" s="166">
        <v>439341</v>
      </c>
      <c r="H36" s="166"/>
      <c r="I36" s="166">
        <v>562317</v>
      </c>
      <c r="J36" s="166"/>
      <c r="K36" s="166">
        <v>629604</v>
      </c>
      <c r="L36" s="166"/>
      <c r="M36" s="166">
        <v>686168</v>
      </c>
      <c r="N36" s="166"/>
      <c r="O36" s="166">
        <v>3835547</v>
      </c>
      <c r="P36" s="166"/>
      <c r="Q36" s="166">
        <v>1606414</v>
      </c>
      <c r="R36" s="166"/>
      <c r="S36" s="166">
        <f>+(AC66/AB66)*Q36</f>
        <v>1587133.5237038357</v>
      </c>
      <c r="T36" s="166"/>
      <c r="U36" s="313">
        <f t="shared" si="0"/>
        <v>-1.2002183930272192</v>
      </c>
      <c r="V36" s="306"/>
      <c r="W36" s="161"/>
      <c r="X36" s="54"/>
    </row>
    <row r="37" spans="1:25" ht="12" customHeight="1">
      <c r="A37" s="124" t="s">
        <v>419</v>
      </c>
      <c r="B37" s="124"/>
      <c r="C37" s="166">
        <v>16522783</v>
      </c>
      <c r="D37" s="124"/>
      <c r="E37" s="166">
        <v>32651862</v>
      </c>
      <c r="F37" s="166"/>
      <c r="G37" s="166">
        <v>5257095</v>
      </c>
      <c r="H37" s="166"/>
      <c r="I37" s="166">
        <v>16053725</v>
      </c>
      <c r="J37" s="166"/>
      <c r="K37" s="166">
        <v>10058640</v>
      </c>
      <c r="L37" s="166"/>
      <c r="M37" s="166">
        <v>3036496</v>
      </c>
      <c r="N37" s="166"/>
      <c r="O37" s="166">
        <v>5185630</v>
      </c>
      <c r="P37" s="166"/>
      <c r="Q37" s="166">
        <v>16679538</v>
      </c>
      <c r="R37" s="166"/>
      <c r="S37" s="166">
        <f>+(AC67/AB67)*Q37</f>
        <v>18085529.823708456</v>
      </c>
      <c r="T37" s="166"/>
      <c r="U37" s="313">
        <f t="shared" si="0"/>
        <v>8.42944105351393</v>
      </c>
      <c r="V37" s="306"/>
      <c r="W37" s="400"/>
      <c r="X37" s="54"/>
      <c r="Y37" t="s">
        <v>419</v>
      </c>
    </row>
    <row r="38" spans="1:25" ht="12" customHeight="1">
      <c r="A38" s="124" t="s">
        <v>420</v>
      </c>
      <c r="B38" s="124"/>
      <c r="C38" s="166">
        <v>820147</v>
      </c>
      <c r="D38" s="124"/>
      <c r="E38" s="166">
        <v>2160131</v>
      </c>
      <c r="F38" s="166"/>
      <c r="G38" s="166">
        <v>305549</v>
      </c>
      <c r="H38" s="166"/>
      <c r="I38" s="166">
        <v>1369812</v>
      </c>
      <c r="J38" s="166"/>
      <c r="K38" s="166">
        <v>1594216</v>
      </c>
      <c r="L38" s="166"/>
      <c r="M38" s="166">
        <v>811126</v>
      </c>
      <c r="N38" s="166"/>
      <c r="O38" s="166">
        <v>2342726</v>
      </c>
      <c r="P38" s="166"/>
      <c r="Q38" s="166">
        <v>2237068</v>
      </c>
      <c r="R38" s="166"/>
      <c r="S38" s="166">
        <f>+(AC68/AB68)*Q38</f>
        <v>2132921.6564920642</v>
      </c>
      <c r="T38" s="166"/>
      <c r="U38" s="313">
        <f t="shared" si="0"/>
        <v>-4.6554840312380215</v>
      </c>
      <c r="V38" s="306"/>
      <c r="W38" s="161"/>
      <c r="X38" s="54"/>
      <c r="Y38" t="s">
        <v>420</v>
      </c>
    </row>
    <row r="39" spans="1:25" ht="12" customHeight="1">
      <c r="A39" s="124" t="s">
        <v>421</v>
      </c>
      <c r="B39" s="124"/>
      <c r="C39" s="166">
        <v>11046595</v>
      </c>
      <c r="D39" s="124"/>
      <c r="E39" s="166">
        <v>20553236</v>
      </c>
      <c r="F39" s="166"/>
      <c r="G39" s="166">
        <v>24854147</v>
      </c>
      <c r="H39" s="166"/>
      <c r="I39" s="166">
        <v>21811434</v>
      </c>
      <c r="J39" s="166"/>
      <c r="K39" s="166">
        <v>33018298</v>
      </c>
      <c r="L39" s="166"/>
      <c r="M39" s="166">
        <v>33924547</v>
      </c>
      <c r="N39" s="166"/>
      <c r="O39" s="166">
        <v>33866070</v>
      </c>
      <c r="P39" s="166"/>
      <c r="Q39" s="166">
        <v>35198496</v>
      </c>
      <c r="R39" s="166"/>
      <c r="S39" s="166">
        <f>+(AC69/AB69)*Q39</f>
        <v>33294730.528099082</v>
      </c>
      <c r="T39" s="166"/>
      <c r="U39" s="313">
        <f t="shared" si="0"/>
        <v>-5.4086557331907485</v>
      </c>
      <c r="V39" s="306"/>
      <c r="W39" s="161"/>
      <c r="X39" s="54"/>
      <c r="Y39" t="s">
        <v>421</v>
      </c>
    </row>
    <row r="40" spans="1:25" ht="12" customHeight="1">
      <c r="A40" s="124" t="s">
        <v>201</v>
      </c>
      <c r="B40" s="124"/>
      <c r="C40" s="166">
        <v>2784142</v>
      </c>
      <c r="D40" s="124"/>
      <c r="E40" s="166">
        <v>2229334</v>
      </c>
      <c r="F40" s="166"/>
      <c r="G40" s="166">
        <v>2075385</v>
      </c>
      <c r="H40" s="166"/>
      <c r="I40" s="166">
        <v>2294566</v>
      </c>
      <c r="J40" s="166"/>
      <c r="K40" s="166">
        <v>3151773</v>
      </c>
      <c r="L40" s="166"/>
      <c r="M40" s="166">
        <v>4318200</v>
      </c>
      <c r="N40" s="166"/>
      <c r="O40" s="166">
        <v>3052907</v>
      </c>
      <c r="P40" s="166"/>
      <c r="Q40" s="166">
        <v>2657837</v>
      </c>
      <c r="R40" s="166"/>
      <c r="S40" s="166">
        <f>+(AC70/AB70)*Q40*0.7</f>
        <v>4806379.889438918</v>
      </c>
      <c r="T40" s="166"/>
      <c r="U40" s="313">
        <f t="shared" si="0"/>
        <v>80.83802315337314</v>
      </c>
      <c r="V40" s="306"/>
      <c r="W40" s="161"/>
      <c r="X40" s="54"/>
      <c r="Y40" t="s">
        <v>201</v>
      </c>
    </row>
    <row r="41" spans="1:24" ht="6" customHeight="1">
      <c r="A41" s="124"/>
      <c r="B41" s="124"/>
      <c r="C41" s="124"/>
      <c r="D41" s="124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313"/>
      <c r="V41" s="306"/>
      <c r="W41" s="161"/>
      <c r="X41" s="54"/>
    </row>
    <row r="42" spans="1:24" ht="12.75">
      <c r="A42" s="469" t="s">
        <v>47</v>
      </c>
      <c r="B42" s="470"/>
      <c r="C42" s="471">
        <f>SUM(C11:C40)</f>
        <v>141061296</v>
      </c>
      <c r="D42" s="470"/>
      <c r="E42" s="471">
        <f>SUM(E11:E40)</f>
        <v>277696784</v>
      </c>
      <c r="F42" s="471"/>
      <c r="G42" s="471">
        <f>SUM(G11:G40)</f>
        <v>185060338</v>
      </c>
      <c r="H42" s="470"/>
      <c r="I42" s="471">
        <f>SUM(I11:I40)</f>
        <v>196485879</v>
      </c>
      <c r="J42" s="470"/>
      <c r="K42" s="471">
        <f>SUM(K11:K40)</f>
        <v>236530660</v>
      </c>
      <c r="L42" s="471"/>
      <c r="M42" s="471">
        <f>SUM(M11:M40)</f>
        <v>224269107</v>
      </c>
      <c r="N42" s="471"/>
      <c r="O42" s="471">
        <f>SUM(O11:O40)</f>
        <v>277235654</v>
      </c>
      <c r="P42" s="471"/>
      <c r="Q42" s="471">
        <f>SUM(Q11:Q40)</f>
        <v>322004317</v>
      </c>
      <c r="R42" s="471"/>
      <c r="S42" s="471">
        <f>SUM(S11:S40)</f>
        <v>336549482.03772426</v>
      </c>
      <c r="T42" s="470"/>
      <c r="U42" s="313">
        <f>+(S42/Q42-1)*100</f>
        <v>4.51707143967397</v>
      </c>
      <c r="V42" s="306"/>
      <c r="W42" s="161"/>
      <c r="X42" s="54"/>
    </row>
    <row r="43" spans="1:24" ht="12.75">
      <c r="A43" s="194" t="s">
        <v>386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4"/>
      <c r="V43" s="162"/>
      <c r="W43" s="161"/>
      <c r="X43" s="54"/>
    </row>
    <row r="44" spans="1:24" ht="18" customHeight="1">
      <c r="A44" s="52" t="s">
        <v>330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399" t="s">
        <v>425</v>
      </c>
    </row>
    <row r="45" spans="1:29" ht="12.7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AB45" s="125" t="s">
        <v>577</v>
      </c>
      <c r="AC45" s="125" t="s">
        <v>578</v>
      </c>
    </row>
    <row r="46" spans="1:30" ht="12.75">
      <c r="A46" s="358" t="s">
        <v>299</v>
      </c>
      <c r="B46" s="67"/>
      <c r="C46" s="67"/>
      <c r="D46" s="67"/>
      <c r="X46" s="54" t="s">
        <v>259</v>
      </c>
      <c r="Y46" s="54" t="s">
        <v>422</v>
      </c>
      <c r="Z46" s="54"/>
      <c r="AA46" s="54"/>
      <c r="AB46" s="131">
        <v>1957616.58</v>
      </c>
      <c r="AC46" s="131">
        <v>4925096.83</v>
      </c>
      <c r="AD46" s="200"/>
    </row>
    <row r="47" spans="24:30" ht="12.75">
      <c r="X47" s="54" t="s">
        <v>259</v>
      </c>
      <c r="Y47" s="54" t="s">
        <v>423</v>
      </c>
      <c r="Z47" s="54"/>
      <c r="AA47" s="54"/>
      <c r="AB47" s="131">
        <v>9010636.88</v>
      </c>
      <c r="AC47" s="131">
        <v>9116509.35</v>
      </c>
      <c r="AD47" s="200"/>
    </row>
    <row r="48" spans="24:29" ht="12.75">
      <c r="X48" s="54" t="s">
        <v>259</v>
      </c>
      <c r="Y48" s="54" t="s">
        <v>398</v>
      </c>
      <c r="Z48" s="54"/>
      <c r="AA48" s="54"/>
      <c r="AB48" s="131">
        <v>464017.39</v>
      </c>
      <c r="AC48" s="131">
        <v>268743.18</v>
      </c>
    </row>
    <row r="49" spans="24:29" ht="12.75">
      <c r="X49" s="54" t="s">
        <v>259</v>
      </c>
      <c r="Y49" s="54" t="s">
        <v>399</v>
      </c>
      <c r="Z49" s="54"/>
      <c r="AA49" s="54"/>
      <c r="AB49" s="131">
        <v>8560455.68</v>
      </c>
      <c r="AC49" s="131">
        <v>10062624.23</v>
      </c>
    </row>
    <row r="50" spans="24:29" ht="12.75">
      <c r="X50" s="54" t="s">
        <v>259</v>
      </c>
      <c r="Y50" s="54" t="s">
        <v>194</v>
      </c>
      <c r="Z50" s="54"/>
      <c r="AA50" s="54"/>
      <c r="AB50" s="131">
        <v>6523975.44</v>
      </c>
      <c r="AC50" s="131">
        <v>6303409.82</v>
      </c>
    </row>
    <row r="51" spans="24:29" ht="12.75">
      <c r="X51" s="54" t="s">
        <v>259</v>
      </c>
      <c r="Y51" s="54" t="s">
        <v>401</v>
      </c>
      <c r="Z51" s="54"/>
      <c r="AA51" s="54"/>
      <c r="AB51" s="131">
        <v>145238.16</v>
      </c>
      <c r="AC51" s="131">
        <v>129528.04</v>
      </c>
    </row>
    <row r="52" spans="24:29" ht="12.75">
      <c r="X52" s="54" t="s">
        <v>259</v>
      </c>
      <c r="Y52" s="54" t="s">
        <v>403</v>
      </c>
      <c r="Z52" s="54"/>
      <c r="AA52" s="54"/>
      <c r="AB52" s="131">
        <v>460198.99</v>
      </c>
      <c r="AC52" s="131">
        <v>25000.39</v>
      </c>
    </row>
    <row r="53" spans="24:29" ht="12.75">
      <c r="X53" s="54" t="s">
        <v>259</v>
      </c>
      <c r="Y53" s="54" t="s">
        <v>404</v>
      </c>
      <c r="Z53" s="54"/>
      <c r="AA53" s="54"/>
      <c r="AB53" s="131">
        <v>5511863.06</v>
      </c>
      <c r="AC53" s="131">
        <v>5035764.34</v>
      </c>
    </row>
    <row r="54" spans="24:29" ht="12.75">
      <c r="X54" s="54" t="s">
        <v>259</v>
      </c>
      <c r="Y54" s="54" t="s">
        <v>405</v>
      </c>
      <c r="Z54" s="54"/>
      <c r="AA54" s="54"/>
      <c r="AB54" s="131">
        <v>2731799.76</v>
      </c>
      <c r="AC54" s="131">
        <v>4197032.1</v>
      </c>
    </row>
    <row r="55" spans="24:29" ht="12.75">
      <c r="X55" s="54" t="s">
        <v>259</v>
      </c>
      <c r="Y55" s="54" t="s">
        <v>406</v>
      </c>
      <c r="Z55" s="54"/>
      <c r="AA55" s="54"/>
      <c r="AB55" s="131">
        <v>4148316.61</v>
      </c>
      <c r="AC55" s="131">
        <v>5512074.7</v>
      </c>
    </row>
    <row r="56" spans="24:29" ht="12.75">
      <c r="X56" s="54" t="s">
        <v>259</v>
      </c>
      <c r="Y56" s="54" t="s">
        <v>407</v>
      </c>
      <c r="Z56" s="54"/>
      <c r="AA56" s="54"/>
      <c r="AB56" s="131">
        <v>9860392.23</v>
      </c>
      <c r="AC56" s="131">
        <v>7095265.23</v>
      </c>
    </row>
    <row r="57" spans="24:29" ht="12.75">
      <c r="X57" s="54" t="s">
        <v>259</v>
      </c>
      <c r="Y57" s="54" t="s">
        <v>408</v>
      </c>
      <c r="Z57" s="54"/>
      <c r="AA57" s="54"/>
      <c r="AB57" s="131">
        <v>709098.39</v>
      </c>
      <c r="AC57" s="131">
        <v>270233.5</v>
      </c>
    </row>
    <row r="58" spans="24:29" ht="12.75">
      <c r="X58" s="54" t="s">
        <v>259</v>
      </c>
      <c r="Y58" s="54" t="s">
        <v>196</v>
      </c>
      <c r="Z58" s="54"/>
      <c r="AA58" s="54"/>
      <c r="AB58" s="131">
        <v>100001.56</v>
      </c>
      <c r="AC58" s="131">
        <v>2740045.04</v>
      </c>
    </row>
    <row r="59" spans="24:29" ht="12.75">
      <c r="X59" s="54" t="s">
        <v>259</v>
      </c>
      <c r="Y59" s="54" t="s">
        <v>409</v>
      </c>
      <c r="Z59" s="54"/>
      <c r="AA59" s="54"/>
      <c r="AB59" s="131">
        <v>279669.27</v>
      </c>
      <c r="AC59" s="131">
        <v>454151.72</v>
      </c>
    </row>
    <row r="60" spans="24:29" ht="12.75">
      <c r="X60" s="54" t="s">
        <v>259</v>
      </c>
      <c r="Y60" s="54" t="s">
        <v>411</v>
      </c>
      <c r="Z60" s="54"/>
      <c r="AA60" s="54"/>
      <c r="AB60" s="131">
        <v>1704.17</v>
      </c>
      <c r="AC60" s="131">
        <v>10000.16</v>
      </c>
    </row>
    <row r="61" spans="24:29" ht="12.75">
      <c r="X61" s="54" t="s">
        <v>259</v>
      </c>
      <c r="Y61" s="54" t="s">
        <v>412</v>
      </c>
      <c r="Z61" s="54"/>
      <c r="AA61" s="54"/>
      <c r="AB61" s="131">
        <v>300053.19</v>
      </c>
      <c r="AC61" s="131">
        <v>43201.73</v>
      </c>
    </row>
    <row r="62" spans="24:29" ht="12.75">
      <c r="X62" s="54" t="s">
        <v>259</v>
      </c>
      <c r="Y62" s="54" t="s">
        <v>414</v>
      </c>
      <c r="Z62" s="54"/>
      <c r="AA62" s="54"/>
      <c r="AB62" s="131">
        <v>129184.12</v>
      </c>
      <c r="AC62" s="131">
        <v>484399.11</v>
      </c>
    </row>
    <row r="63" spans="24:29" ht="12.75">
      <c r="X63" s="54" t="s">
        <v>259</v>
      </c>
      <c r="Y63" s="54" t="s">
        <v>415</v>
      </c>
      <c r="Z63" s="54"/>
      <c r="AA63" s="54"/>
      <c r="AB63" s="131">
        <v>12240749.1</v>
      </c>
      <c r="AC63" s="131">
        <v>9115378.38</v>
      </c>
    </row>
    <row r="64" spans="24:29" ht="12.75">
      <c r="X64" s="54" t="s">
        <v>259</v>
      </c>
      <c r="Y64" s="54" t="s">
        <v>416</v>
      </c>
      <c r="Z64" s="54"/>
      <c r="AA64" s="54"/>
      <c r="AB64" s="131">
        <v>163421.87</v>
      </c>
      <c r="AC64" s="131">
        <v>103588.48</v>
      </c>
    </row>
    <row r="65" spans="24:29" ht="12.75">
      <c r="X65" s="54" t="s">
        <v>259</v>
      </c>
      <c r="Y65" s="54" t="s">
        <v>417</v>
      </c>
      <c r="Z65" s="54"/>
      <c r="AA65" s="54"/>
      <c r="AB65" s="131">
        <v>31076.32</v>
      </c>
      <c r="AC65" s="131">
        <v>2289387.64</v>
      </c>
    </row>
    <row r="66" spans="24:29" ht="12.75">
      <c r="X66" s="54" t="s">
        <v>259</v>
      </c>
      <c r="Y66" s="54" t="s">
        <v>418</v>
      </c>
      <c r="Z66" s="54"/>
      <c r="AA66" s="54"/>
      <c r="AB66" s="131">
        <v>686981.64</v>
      </c>
      <c r="AC66" s="131">
        <v>678736.36</v>
      </c>
    </row>
    <row r="67" spans="24:29" ht="12.75">
      <c r="X67" s="54" t="s">
        <v>259</v>
      </c>
      <c r="Y67" s="54" t="s">
        <v>419</v>
      </c>
      <c r="Z67" s="54"/>
      <c r="AA67" s="54"/>
      <c r="AB67" s="131">
        <v>7867327.57</v>
      </c>
      <c r="AC67" s="131">
        <v>8530499.31</v>
      </c>
    </row>
    <row r="68" spans="24:29" ht="12.75">
      <c r="X68" s="54" t="s">
        <v>259</v>
      </c>
      <c r="Y68" s="54" t="s">
        <v>420</v>
      </c>
      <c r="Z68" s="54"/>
      <c r="AA68" s="54"/>
      <c r="AB68" s="131">
        <v>748735.25</v>
      </c>
      <c r="AC68" s="131">
        <v>713878</v>
      </c>
    </row>
    <row r="69" spans="24:29" ht="12.75">
      <c r="X69" s="54" t="s">
        <v>259</v>
      </c>
      <c r="Y69" s="54" t="s">
        <v>421</v>
      </c>
      <c r="Z69" s="54"/>
      <c r="AA69" s="54"/>
      <c r="AB69" s="131">
        <v>18621481.56</v>
      </c>
      <c r="AC69" s="131">
        <v>17614309.73</v>
      </c>
    </row>
    <row r="70" spans="24:29" ht="12.75">
      <c r="X70" s="54" t="s">
        <v>259</v>
      </c>
      <c r="Y70" s="54" t="s">
        <v>201</v>
      </c>
      <c r="Z70" s="54"/>
      <c r="AA70" s="54"/>
      <c r="AB70" s="131">
        <v>306927.2</v>
      </c>
      <c r="AC70" s="131">
        <v>792915.83</v>
      </c>
    </row>
  </sheetData>
  <hyperlinks>
    <hyperlink ref="A46" r:id="rId1" display="Link to USDA/FAS Trade Data Server"/>
  </hyperlinks>
  <printOptions horizontalCentered="1"/>
  <pageMargins left="0.417" right="0.417" top="0.25" bottom="0.6" header="0" footer="0.2"/>
  <pageSetup fitToHeight="1" fitToWidth="1" horizontalDpi="600" verticalDpi="600" orientation="landscape" scale="79" r:id="rId2"/>
  <headerFooter alignWithMargins="0">
    <oddFooter>&amp;C&amp;"Arial,Italic"&amp;9Vegetables and Melons Outlook&amp;"Arial,Regular"/VGS-331/February 25, 2009
Economic Research Service, USDA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U1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2.421875" style="0" customWidth="1"/>
    <col min="3" max="3" width="11.8515625" style="0" customWidth="1"/>
    <col min="4" max="4" width="12.421875" style="0" customWidth="1"/>
    <col min="5" max="5" width="16.00390625" style="125" customWidth="1"/>
    <col min="6" max="14" width="12.00390625" style="125" customWidth="1"/>
    <col min="15" max="23" width="11.8515625" style="125" customWidth="1"/>
  </cols>
  <sheetData>
    <row r="2" ht="15">
      <c r="A2" s="415" t="s">
        <v>511</v>
      </c>
    </row>
    <row r="3" ht="4.5" customHeight="1"/>
    <row r="4" spans="1:7" ht="6" customHeight="1">
      <c r="A4" s="430"/>
      <c r="B4" s="430"/>
      <c r="C4" s="430"/>
      <c r="D4" s="430"/>
      <c r="E4" s="431"/>
      <c r="F4" s="431"/>
      <c r="G4" s="431"/>
    </row>
    <row r="5" spans="1:7" ht="12.75">
      <c r="A5" s="432" t="s">
        <v>499</v>
      </c>
      <c r="B5" s="433"/>
      <c r="C5" s="432" t="s">
        <v>496</v>
      </c>
      <c r="D5" s="434"/>
      <c r="E5" s="432" t="s">
        <v>495</v>
      </c>
      <c r="F5" s="435" t="s">
        <v>497</v>
      </c>
      <c r="G5" s="433"/>
    </row>
    <row r="6" spans="1:7" ht="4.5" customHeight="1">
      <c r="A6" s="412"/>
      <c r="B6" s="413"/>
      <c r="C6" s="412"/>
      <c r="D6" s="403"/>
      <c r="E6" s="412"/>
      <c r="F6" s="414"/>
      <c r="G6" s="413"/>
    </row>
    <row r="7" spans="1:6" ht="12.75">
      <c r="A7" s="125"/>
      <c r="B7" s="125"/>
      <c r="C7" s="407" t="s">
        <v>494</v>
      </c>
      <c r="E7" s="407" t="s">
        <v>494</v>
      </c>
      <c r="F7" s="407" t="s">
        <v>498</v>
      </c>
    </row>
    <row r="8" spans="1:6" ht="6" customHeight="1">
      <c r="A8" s="125"/>
      <c r="B8" s="125"/>
      <c r="C8" s="407"/>
      <c r="E8" s="407"/>
      <c r="F8" s="407"/>
    </row>
    <row r="9" spans="1:6" ht="12.75">
      <c r="A9" s="416" t="s">
        <v>482</v>
      </c>
      <c r="B9" s="417"/>
      <c r="C9" s="418"/>
      <c r="D9" s="419"/>
      <c r="E9" s="417"/>
      <c r="F9" s="417"/>
    </row>
    <row r="10" spans="1:6" ht="5.25" customHeight="1">
      <c r="A10" s="416"/>
      <c r="B10" s="417"/>
      <c r="C10" s="418"/>
      <c r="D10" s="419"/>
      <c r="E10" s="417"/>
      <c r="F10" s="417"/>
    </row>
    <row r="11" spans="1:6" ht="11.25" customHeight="1">
      <c r="A11" s="417" t="s">
        <v>436</v>
      </c>
      <c r="B11" s="417"/>
      <c r="C11" s="417">
        <v>248259956</v>
      </c>
      <c r="D11" s="419"/>
      <c r="E11" s="417">
        <v>40347959993</v>
      </c>
      <c r="F11" s="420">
        <f aca="true" t="shared" si="0" ref="F11:F29">+C11/E11</f>
        <v>0.0061529741786962916</v>
      </c>
    </row>
    <row r="12" spans="1:6" ht="11.25" customHeight="1">
      <c r="A12" s="417" t="s">
        <v>437</v>
      </c>
      <c r="B12" s="417"/>
      <c r="C12" s="417">
        <v>279311729</v>
      </c>
      <c r="D12" s="419"/>
      <c r="E12" s="417">
        <v>37864206873</v>
      </c>
      <c r="F12" s="420">
        <f t="shared" si="0"/>
        <v>0.00737666920997017</v>
      </c>
    </row>
    <row r="13" spans="1:6" ht="11.25" customHeight="1">
      <c r="A13" s="417" t="s">
        <v>438</v>
      </c>
      <c r="B13" s="417"/>
      <c r="C13" s="417">
        <v>175809977</v>
      </c>
      <c r="D13" s="419"/>
      <c r="E13" s="417">
        <v>42554779747</v>
      </c>
      <c r="F13" s="420">
        <f t="shared" si="0"/>
        <v>0.004131380259638029</v>
      </c>
    </row>
    <row r="14" spans="1:6" ht="11.25" customHeight="1">
      <c r="A14" s="417" t="s">
        <v>439</v>
      </c>
      <c r="B14" s="417"/>
      <c r="C14" s="417">
        <v>149910287</v>
      </c>
      <c r="D14" s="419"/>
      <c r="E14" s="417">
        <v>43057753109</v>
      </c>
      <c r="F14" s="420">
        <f t="shared" si="0"/>
        <v>0.00348160960978397</v>
      </c>
    </row>
    <row r="15" spans="1:6" ht="11.25" customHeight="1">
      <c r="A15" s="417" t="s">
        <v>440</v>
      </c>
      <c r="B15" s="417"/>
      <c r="C15" s="417">
        <v>181818671</v>
      </c>
      <c r="D15" s="419"/>
      <c r="E15" s="417">
        <v>43893020194</v>
      </c>
      <c r="F15" s="420">
        <f t="shared" si="0"/>
        <v>0.004142313976035167</v>
      </c>
    </row>
    <row r="16" spans="1:6" ht="11.25" customHeight="1">
      <c r="A16" s="417" t="s">
        <v>441</v>
      </c>
      <c r="B16" s="417"/>
      <c r="C16" s="417">
        <v>217356653</v>
      </c>
      <c r="D16" s="419"/>
      <c r="E16" s="417">
        <v>54613151684</v>
      </c>
      <c r="F16" s="420">
        <f t="shared" si="0"/>
        <v>0.0039799324209973935</v>
      </c>
    </row>
    <row r="17" spans="1:6" ht="11.25" customHeight="1">
      <c r="A17" s="417" t="s">
        <v>442</v>
      </c>
      <c r="B17" s="417"/>
      <c r="C17" s="417">
        <v>202613152</v>
      </c>
      <c r="D17" s="419"/>
      <c r="E17" s="417">
        <v>59785652704</v>
      </c>
      <c r="F17" s="420">
        <f t="shared" si="0"/>
        <v>0.003388992891039292</v>
      </c>
    </row>
    <row r="18" spans="1:6" ht="11.25" customHeight="1">
      <c r="A18" s="417" t="s">
        <v>443</v>
      </c>
      <c r="B18" s="417"/>
      <c r="C18" s="417">
        <v>208156908</v>
      </c>
      <c r="D18" s="419"/>
      <c r="E18" s="417">
        <v>57305347013</v>
      </c>
      <c r="F18" s="420">
        <f t="shared" si="0"/>
        <v>0.003632416848514652</v>
      </c>
    </row>
    <row r="19" spans="1:6" ht="11.25" customHeight="1">
      <c r="A19" s="417" t="s">
        <v>444</v>
      </c>
      <c r="B19" s="417"/>
      <c r="C19" s="417">
        <v>264653055</v>
      </c>
      <c r="D19" s="419"/>
      <c r="E19" s="417">
        <v>53661662514</v>
      </c>
      <c r="F19" s="420">
        <f t="shared" si="0"/>
        <v>0.004931883258945875</v>
      </c>
    </row>
    <row r="20" spans="1:6" ht="11.25" customHeight="1">
      <c r="A20" s="417" t="s">
        <v>445</v>
      </c>
      <c r="B20" s="417"/>
      <c r="C20" s="417">
        <v>210747109</v>
      </c>
      <c r="D20" s="419"/>
      <c r="E20" s="417">
        <v>49118260106</v>
      </c>
      <c r="F20" s="420">
        <f t="shared" si="0"/>
        <v>0.004290606152278109</v>
      </c>
    </row>
    <row r="21" spans="1:6" ht="11.25" customHeight="1">
      <c r="A21" s="417" t="s">
        <v>428</v>
      </c>
      <c r="B21" s="417"/>
      <c r="C21" s="417">
        <v>189688520</v>
      </c>
      <c r="D21" s="419"/>
      <c r="E21" s="417">
        <v>50761767106</v>
      </c>
      <c r="F21" s="420">
        <f t="shared" si="0"/>
        <v>0.003736838388700991</v>
      </c>
    </row>
    <row r="22" spans="1:6" ht="11.25" customHeight="1">
      <c r="A22" s="417" t="s">
        <v>429</v>
      </c>
      <c r="B22" s="417"/>
      <c r="C22" s="417">
        <v>202003100</v>
      </c>
      <c r="D22" s="419"/>
      <c r="E22" s="417">
        <v>52716910637</v>
      </c>
      <c r="F22" s="420">
        <f t="shared" si="0"/>
        <v>0.0038318463195038156</v>
      </c>
    </row>
    <row r="23" spans="1:6" ht="11.25" customHeight="1">
      <c r="A23" s="417" t="s">
        <v>430</v>
      </c>
      <c r="B23" s="417"/>
      <c r="C23" s="417">
        <v>173488348</v>
      </c>
      <c r="D23" s="419"/>
      <c r="E23" s="417">
        <v>53319318455</v>
      </c>
      <c r="F23" s="420">
        <f t="shared" si="0"/>
        <v>0.003253761545103381</v>
      </c>
    </row>
    <row r="24" spans="1:6" ht="11.25" customHeight="1">
      <c r="A24" s="417" t="s">
        <v>431</v>
      </c>
      <c r="B24" s="417"/>
      <c r="C24" s="417">
        <v>169334942</v>
      </c>
      <c r="D24" s="419"/>
      <c r="E24" s="417">
        <v>56013986458</v>
      </c>
      <c r="F24" s="420">
        <f t="shared" si="0"/>
        <v>0.0030230832102437397</v>
      </c>
    </row>
    <row r="25" spans="1:6" ht="11.25" customHeight="1">
      <c r="A25" s="417" t="s">
        <v>432</v>
      </c>
      <c r="B25" s="417"/>
      <c r="C25" s="417">
        <v>141446608</v>
      </c>
      <c r="D25" s="419"/>
      <c r="E25" s="417">
        <v>62408831034</v>
      </c>
      <c r="F25" s="420">
        <f t="shared" si="0"/>
        <v>0.0022664518090867725</v>
      </c>
    </row>
    <row r="26" spans="1:6" ht="11.25" customHeight="1">
      <c r="A26" s="417" t="s">
        <v>433</v>
      </c>
      <c r="B26" s="417"/>
      <c r="C26" s="417">
        <v>145625530</v>
      </c>
      <c r="D26" s="419"/>
      <c r="E26" s="417">
        <v>62516299353</v>
      </c>
      <c r="F26" s="420">
        <f t="shared" si="0"/>
        <v>0.002329400996334115</v>
      </c>
    </row>
    <row r="27" spans="1:6" ht="11.25" customHeight="1">
      <c r="A27" s="417" t="s">
        <v>434</v>
      </c>
      <c r="B27" s="417"/>
      <c r="C27" s="417">
        <v>208922243</v>
      </c>
      <c r="D27" s="419"/>
      <c r="E27" s="417">
        <v>68592659404</v>
      </c>
      <c r="F27" s="420">
        <f t="shared" si="0"/>
        <v>0.003045839668782643</v>
      </c>
    </row>
    <row r="28" spans="1:6" ht="11.25" customHeight="1">
      <c r="A28" s="436" t="s">
        <v>435</v>
      </c>
      <c r="B28" s="436"/>
      <c r="C28" s="436">
        <v>194331149</v>
      </c>
      <c r="D28" s="437"/>
      <c r="E28" s="436">
        <v>82169894485</v>
      </c>
      <c r="F28" s="438">
        <f t="shared" si="0"/>
        <v>0.002364992071828386</v>
      </c>
    </row>
    <row r="29" spans="1:6" ht="11.25" customHeight="1">
      <c r="A29" s="436" t="s">
        <v>532</v>
      </c>
      <c r="B29" s="436"/>
      <c r="C29" s="436">
        <v>267379267</v>
      </c>
      <c r="D29" s="437"/>
      <c r="E29" s="436">
        <v>115449972000</v>
      </c>
      <c r="F29" s="438">
        <f t="shared" si="0"/>
        <v>0.002315975156754477</v>
      </c>
    </row>
    <row r="30" spans="1:6" ht="10.5" customHeight="1">
      <c r="A30" s="417"/>
      <c r="B30" s="417"/>
      <c r="C30" s="417"/>
      <c r="D30" s="419"/>
      <c r="E30" s="417"/>
      <c r="F30" s="420"/>
    </row>
    <row r="31" spans="1:6" ht="12.75">
      <c r="A31" s="421" t="s">
        <v>510</v>
      </c>
      <c r="B31" s="417"/>
      <c r="C31" s="418"/>
      <c r="D31" s="419"/>
      <c r="E31" s="417"/>
      <c r="F31" s="420"/>
    </row>
    <row r="32" spans="1:6" ht="5.25" customHeight="1">
      <c r="A32" s="421"/>
      <c r="B32" s="417"/>
      <c r="C32" s="418"/>
      <c r="D32" s="419"/>
      <c r="E32" s="417"/>
      <c r="F32" s="420"/>
    </row>
    <row r="33" spans="1:6" ht="10.5" customHeight="1">
      <c r="A33" s="417" t="s">
        <v>446</v>
      </c>
      <c r="B33" s="417"/>
      <c r="C33" s="417">
        <v>288434410</v>
      </c>
      <c r="D33" s="419"/>
      <c r="E33" s="417">
        <v>39494521693</v>
      </c>
      <c r="F33" s="420">
        <f aca="true" t="shared" si="1" ref="F33:F51">+C33/E33</f>
        <v>0.007303149845491661</v>
      </c>
    </row>
    <row r="34" spans="1:6" ht="10.5" customHeight="1">
      <c r="A34" s="417" t="s">
        <v>447</v>
      </c>
      <c r="B34" s="417"/>
      <c r="C34" s="417">
        <v>216716164</v>
      </c>
      <c r="D34" s="419"/>
      <c r="E34" s="417">
        <v>39386035250</v>
      </c>
      <c r="F34" s="420">
        <f t="shared" si="1"/>
        <v>0.005502360484481616</v>
      </c>
    </row>
    <row r="35" spans="1:6" ht="10.5" customHeight="1">
      <c r="A35" s="417" t="s">
        <v>448</v>
      </c>
      <c r="B35" s="417"/>
      <c r="C35" s="417">
        <v>141109590</v>
      </c>
      <c r="D35" s="419"/>
      <c r="E35" s="417">
        <v>43246616088</v>
      </c>
      <c r="F35" s="420">
        <f t="shared" si="1"/>
        <v>0.0032629047718523083</v>
      </c>
    </row>
    <row r="36" spans="1:6" ht="10.5" customHeight="1">
      <c r="A36" s="417" t="s">
        <v>449</v>
      </c>
      <c r="B36" s="417"/>
      <c r="C36" s="417">
        <v>157973096</v>
      </c>
      <c r="D36" s="419"/>
      <c r="E36" s="417">
        <v>42972089445</v>
      </c>
      <c r="F36" s="420">
        <f t="shared" si="1"/>
        <v>0.003676179074377797</v>
      </c>
    </row>
    <row r="37" spans="1:6" ht="10.5" customHeight="1">
      <c r="A37" s="417" t="s">
        <v>450</v>
      </c>
      <c r="B37" s="417"/>
      <c r="C37" s="417">
        <v>212094840</v>
      </c>
      <c r="D37" s="419"/>
      <c r="E37" s="417">
        <v>46171560919</v>
      </c>
      <c r="F37" s="420">
        <f t="shared" si="1"/>
        <v>0.004593625075229395</v>
      </c>
    </row>
    <row r="38" spans="1:6" ht="10.5" customHeight="1">
      <c r="A38" s="417" t="s">
        <v>451</v>
      </c>
      <c r="B38" s="417"/>
      <c r="C38" s="417">
        <v>203141792</v>
      </c>
      <c r="D38" s="419"/>
      <c r="E38" s="417">
        <v>56205844380</v>
      </c>
      <c r="F38" s="420">
        <f t="shared" si="1"/>
        <v>0.0036142467787973476</v>
      </c>
    </row>
    <row r="39" spans="1:6" ht="10.5" customHeight="1">
      <c r="A39" s="417" t="s">
        <v>452</v>
      </c>
      <c r="B39" s="417"/>
      <c r="C39" s="417">
        <v>202243151</v>
      </c>
      <c r="D39" s="419"/>
      <c r="E39" s="417">
        <v>60417980700</v>
      </c>
      <c r="F39" s="420">
        <f t="shared" si="1"/>
        <v>0.0033474000398030514</v>
      </c>
    </row>
    <row r="40" spans="1:6" ht="10.5" customHeight="1">
      <c r="A40" s="417" t="s">
        <v>453</v>
      </c>
      <c r="B40" s="417"/>
      <c r="C40" s="417">
        <v>205974639</v>
      </c>
      <c r="D40" s="419"/>
      <c r="E40" s="417">
        <v>57148575818</v>
      </c>
      <c r="F40" s="420">
        <f t="shared" si="1"/>
        <v>0.0036041954860951144</v>
      </c>
    </row>
    <row r="41" spans="1:6" ht="10.5" customHeight="1">
      <c r="A41" s="417" t="s">
        <v>454</v>
      </c>
      <c r="B41" s="417"/>
      <c r="C41" s="417">
        <v>281356969</v>
      </c>
      <c r="D41" s="419"/>
      <c r="E41" s="417">
        <v>51811561012</v>
      </c>
      <c r="F41" s="420">
        <f t="shared" si="1"/>
        <v>0.005430389733573851</v>
      </c>
    </row>
    <row r="42" spans="1:6" ht="10.5" customHeight="1">
      <c r="A42" s="417" t="s">
        <v>455</v>
      </c>
      <c r="B42" s="417"/>
      <c r="C42" s="417">
        <v>207271286</v>
      </c>
      <c r="D42" s="419"/>
      <c r="E42" s="417">
        <v>48389344820</v>
      </c>
      <c r="F42" s="420">
        <f t="shared" si="1"/>
        <v>0.004283407571873795</v>
      </c>
    </row>
    <row r="43" spans="1:6" ht="10.5" customHeight="1">
      <c r="A43" s="417" t="s">
        <v>456</v>
      </c>
      <c r="B43" s="417"/>
      <c r="C43" s="417">
        <v>183431514</v>
      </c>
      <c r="D43" s="419"/>
      <c r="E43" s="417">
        <v>51265450502</v>
      </c>
      <c r="F43" s="420">
        <f t="shared" si="1"/>
        <v>0.003578072799591293</v>
      </c>
    </row>
    <row r="44" spans="1:6" ht="10.5" customHeight="1">
      <c r="A44" s="417" t="s">
        <v>457</v>
      </c>
      <c r="B44" s="417"/>
      <c r="C44" s="417">
        <v>176174992</v>
      </c>
      <c r="D44" s="419"/>
      <c r="E44" s="417">
        <v>53678895854</v>
      </c>
      <c r="F44" s="420">
        <f t="shared" si="1"/>
        <v>0.0032820159430844912</v>
      </c>
    </row>
    <row r="45" spans="1:6" ht="10.5" customHeight="1">
      <c r="A45" s="417" t="s">
        <v>458</v>
      </c>
      <c r="B45" s="417"/>
      <c r="C45" s="417">
        <v>173504932</v>
      </c>
      <c r="D45" s="419"/>
      <c r="E45" s="417">
        <v>53143205486</v>
      </c>
      <c r="F45" s="420">
        <f t="shared" si="1"/>
        <v>0.003264856352063821</v>
      </c>
    </row>
    <row r="46" spans="1:6" ht="10.5" customHeight="1">
      <c r="A46" s="417" t="s">
        <v>459</v>
      </c>
      <c r="B46" s="417"/>
      <c r="C46" s="417">
        <v>156643834</v>
      </c>
      <c r="D46" s="419"/>
      <c r="E46" s="417">
        <v>59392299470</v>
      </c>
      <c r="F46" s="420">
        <f t="shared" si="1"/>
        <v>0.002637443496847993</v>
      </c>
    </row>
    <row r="47" spans="1:6" ht="10.5" customHeight="1">
      <c r="A47" s="417" t="s">
        <v>460</v>
      </c>
      <c r="B47" s="417"/>
      <c r="C47" s="417">
        <v>145312710</v>
      </c>
      <c r="D47" s="419"/>
      <c r="E47" s="417">
        <v>61426074663</v>
      </c>
      <c r="F47" s="420">
        <f t="shared" si="1"/>
        <v>0.0023656518961568795</v>
      </c>
    </row>
    <row r="48" spans="1:6" ht="10.5" customHeight="1">
      <c r="A48" s="417" t="s">
        <v>461</v>
      </c>
      <c r="B48" s="417"/>
      <c r="C48" s="417">
        <v>159578876</v>
      </c>
      <c r="D48" s="419"/>
      <c r="E48" s="417">
        <v>63181702336</v>
      </c>
      <c r="F48" s="420">
        <f t="shared" si="1"/>
        <v>0.0025257134597507403</v>
      </c>
    </row>
    <row r="49" spans="1:6" ht="10.5" customHeight="1">
      <c r="A49" s="417" t="s">
        <v>462</v>
      </c>
      <c r="B49" s="417"/>
      <c r="C49" s="417">
        <v>210861739</v>
      </c>
      <c r="D49" s="419"/>
      <c r="E49" s="417">
        <v>70948333503</v>
      </c>
      <c r="F49" s="420">
        <f t="shared" si="1"/>
        <v>0.0029720463975532823</v>
      </c>
    </row>
    <row r="50" spans="1:6" ht="10.5" customHeight="1">
      <c r="A50" s="436" t="s">
        <v>463</v>
      </c>
      <c r="B50" s="436"/>
      <c r="C50" s="436">
        <v>199410579</v>
      </c>
      <c r="D50" s="437"/>
      <c r="E50" s="436">
        <v>89942808786</v>
      </c>
      <c r="F50" s="438">
        <f t="shared" si="1"/>
        <v>0.002217081962321808</v>
      </c>
    </row>
    <row r="51" spans="1:6" ht="10.5" customHeight="1">
      <c r="A51" s="436" t="s">
        <v>533</v>
      </c>
      <c r="B51" s="436"/>
      <c r="C51" s="436">
        <v>317242665</v>
      </c>
      <c r="D51" s="437"/>
      <c r="E51" s="436">
        <v>115438701000</v>
      </c>
      <c r="F51" s="438">
        <f t="shared" si="1"/>
        <v>0.002748148257489488</v>
      </c>
    </row>
    <row r="52" spans="1:6" ht="10.5" customHeight="1">
      <c r="A52" s="417"/>
      <c r="B52" s="417"/>
      <c r="C52" s="417"/>
      <c r="D52" s="419"/>
      <c r="E52" s="417"/>
      <c r="F52" s="420"/>
    </row>
    <row r="53" spans="1:6" ht="12.75">
      <c r="A53" s="421" t="s">
        <v>509</v>
      </c>
      <c r="B53" s="417"/>
      <c r="C53" s="417"/>
      <c r="D53" s="419"/>
      <c r="E53" s="417"/>
      <c r="F53" s="420"/>
    </row>
    <row r="54" spans="1:6" ht="6" customHeight="1">
      <c r="A54" s="421"/>
      <c r="B54" s="417"/>
      <c r="C54" s="417"/>
      <c r="D54" s="419"/>
      <c r="E54" s="417"/>
      <c r="F54" s="420"/>
    </row>
    <row r="55" spans="1:6" ht="10.5" customHeight="1">
      <c r="A55" s="417" t="s">
        <v>464</v>
      </c>
      <c r="B55" s="417"/>
      <c r="C55" s="417">
        <v>238213850</v>
      </c>
      <c r="D55" s="419"/>
      <c r="E55" s="417">
        <v>40622290111</v>
      </c>
      <c r="F55" s="420">
        <f aca="true" t="shared" si="2" ref="F55:F73">+C55/E55</f>
        <v>0.0058641167041317225</v>
      </c>
    </row>
    <row r="56" spans="1:6" ht="10.5" customHeight="1">
      <c r="A56" s="417" t="s">
        <v>465</v>
      </c>
      <c r="B56" s="417"/>
      <c r="C56" s="417">
        <v>283730998</v>
      </c>
      <c r="D56" s="419"/>
      <c r="E56" s="417">
        <v>37712555213</v>
      </c>
      <c r="F56" s="420">
        <f t="shared" si="2"/>
        <v>0.0075235156142958535</v>
      </c>
    </row>
    <row r="57" spans="1:6" ht="10.5" customHeight="1">
      <c r="A57" s="417" t="s">
        <v>466</v>
      </c>
      <c r="B57" s="417"/>
      <c r="C57" s="417">
        <v>182296766</v>
      </c>
      <c r="D57" s="419"/>
      <c r="E57" s="417">
        <v>42076263467</v>
      </c>
      <c r="F57" s="420">
        <f t="shared" si="2"/>
        <v>0.004332532192241204</v>
      </c>
    </row>
    <row r="58" spans="1:6" ht="10.5" customHeight="1">
      <c r="A58" s="417" t="s">
        <v>467</v>
      </c>
      <c r="B58" s="417"/>
      <c r="C58" s="417">
        <v>147385372</v>
      </c>
      <c r="D58" s="419"/>
      <c r="E58" s="417">
        <v>43171682244</v>
      </c>
      <c r="F58" s="420">
        <f t="shared" si="2"/>
        <v>0.003413936273481296</v>
      </c>
    </row>
    <row r="59" spans="1:6" ht="10.5" customHeight="1">
      <c r="A59" s="417" t="s">
        <v>468</v>
      </c>
      <c r="B59" s="417"/>
      <c r="C59" s="417">
        <v>156781017</v>
      </c>
      <c r="D59" s="419"/>
      <c r="E59" s="417">
        <v>43540109654</v>
      </c>
      <c r="F59" s="420">
        <f t="shared" si="2"/>
        <v>0.0036008411151439677</v>
      </c>
    </row>
    <row r="60" spans="1:6" ht="10.5" customHeight="1">
      <c r="A60" s="417" t="s">
        <v>469</v>
      </c>
      <c r="B60" s="417"/>
      <c r="C60" s="417">
        <v>244796217</v>
      </c>
      <c r="D60" s="419"/>
      <c r="E60" s="417">
        <v>53524663929</v>
      </c>
      <c r="F60" s="420">
        <f t="shared" si="2"/>
        <v>0.004573521794078335</v>
      </c>
    </row>
    <row r="61" spans="1:6" ht="10.5" customHeight="1">
      <c r="A61" s="417" t="s">
        <v>470</v>
      </c>
      <c r="B61" s="417"/>
      <c r="C61" s="417">
        <v>194185927</v>
      </c>
      <c r="D61" s="419"/>
      <c r="E61" s="417">
        <v>60090057689</v>
      </c>
      <c r="F61" s="420">
        <f t="shared" si="2"/>
        <v>0.0032315816370991337</v>
      </c>
    </row>
    <row r="62" spans="1:6" ht="10.5" customHeight="1">
      <c r="A62" s="417" t="s">
        <v>471</v>
      </c>
      <c r="B62" s="417"/>
      <c r="C62" s="417">
        <v>215588465</v>
      </c>
      <c r="D62" s="419"/>
      <c r="E62" s="417">
        <v>57205798838</v>
      </c>
      <c r="F62" s="420">
        <f t="shared" si="2"/>
        <v>0.003768647049410512</v>
      </c>
    </row>
    <row r="63" spans="1:6" ht="10.5" customHeight="1">
      <c r="A63" s="417" t="s">
        <v>472</v>
      </c>
      <c r="B63" s="417"/>
      <c r="C63" s="417">
        <v>258993787</v>
      </c>
      <c r="D63" s="419"/>
      <c r="E63" s="417">
        <v>54704263580</v>
      </c>
      <c r="F63" s="420">
        <f t="shared" si="2"/>
        <v>0.004734435125358103</v>
      </c>
    </row>
    <row r="64" spans="1:6" ht="10.5" customHeight="1">
      <c r="A64" s="417" t="s">
        <v>473</v>
      </c>
      <c r="B64" s="417"/>
      <c r="C64" s="417">
        <v>212419202</v>
      </c>
      <c r="D64" s="419"/>
      <c r="E64" s="417">
        <v>48601286491</v>
      </c>
      <c r="F64" s="420">
        <f t="shared" si="2"/>
        <v>0.0043706497777447895</v>
      </c>
    </row>
    <row r="65" spans="1:6" ht="10.5" customHeight="1">
      <c r="A65" s="417" t="s">
        <v>474</v>
      </c>
      <c r="B65" s="417"/>
      <c r="C65" s="417">
        <v>187140483</v>
      </c>
      <c r="D65" s="419"/>
      <c r="E65" s="417">
        <v>50639026045</v>
      </c>
      <c r="F65" s="420">
        <f t="shared" si="2"/>
        <v>0.0036955782450021645</v>
      </c>
    </row>
    <row r="66" spans="1:6" ht="10.5" customHeight="1">
      <c r="A66" s="417" t="s">
        <v>475</v>
      </c>
      <c r="B66" s="417"/>
      <c r="C66" s="417">
        <v>204403428</v>
      </c>
      <c r="D66" s="419"/>
      <c r="E66" s="417">
        <v>52900908938</v>
      </c>
      <c r="F66" s="420">
        <f t="shared" si="2"/>
        <v>0.0038638925512520274</v>
      </c>
    </row>
    <row r="67" spans="1:6" ht="10.5" customHeight="1">
      <c r="A67" s="417" t="s">
        <v>476</v>
      </c>
      <c r="B67" s="417"/>
      <c r="C67" s="417">
        <v>169958525</v>
      </c>
      <c r="D67" s="419"/>
      <c r="E67" s="417">
        <v>53329807930</v>
      </c>
      <c r="F67" s="420">
        <f t="shared" si="2"/>
        <v>0.0031869330042044275</v>
      </c>
    </row>
    <row r="68" spans="1:6" ht="10.5" customHeight="1">
      <c r="A68" s="417" t="s">
        <v>477</v>
      </c>
      <c r="B68" s="417"/>
      <c r="C68" s="417">
        <v>163773598</v>
      </c>
      <c r="D68" s="419"/>
      <c r="E68" s="417">
        <v>55529578123</v>
      </c>
      <c r="F68" s="420">
        <f t="shared" si="2"/>
        <v>0.0029493038401486793</v>
      </c>
    </row>
    <row r="69" spans="1:6" ht="10.5" customHeight="1">
      <c r="A69" s="417" t="s">
        <v>478</v>
      </c>
      <c r="B69" s="417"/>
      <c r="C69" s="417">
        <v>150250135</v>
      </c>
      <c r="D69" s="419"/>
      <c r="E69" s="417">
        <v>62204762107</v>
      </c>
      <c r="F69" s="420">
        <f t="shared" si="2"/>
        <v>0.0024154120988607096</v>
      </c>
    </row>
    <row r="70" spans="1:6" ht="10.5" customHeight="1">
      <c r="A70" s="417" t="s">
        <v>479</v>
      </c>
      <c r="B70" s="417"/>
      <c r="C70" s="417">
        <v>140175736</v>
      </c>
      <c r="D70" s="419"/>
      <c r="E70" s="417">
        <v>62461340366</v>
      </c>
      <c r="F70" s="420">
        <f t="shared" si="2"/>
        <v>0.002244199935169864</v>
      </c>
    </row>
    <row r="71" spans="1:6" ht="10.5" customHeight="1">
      <c r="A71" s="417" t="s">
        <v>480</v>
      </c>
      <c r="B71" s="417"/>
      <c r="C71" s="417">
        <v>203103630</v>
      </c>
      <c r="D71" s="419"/>
      <c r="E71" s="417">
        <v>67863721343</v>
      </c>
      <c r="F71" s="420">
        <f t="shared" si="2"/>
        <v>0.0029928159844560265</v>
      </c>
    </row>
    <row r="72" spans="1:6" ht="10.5" customHeight="1">
      <c r="A72" s="436" t="s">
        <v>481</v>
      </c>
      <c r="B72" s="436"/>
      <c r="C72" s="436">
        <v>195501602</v>
      </c>
      <c r="D72" s="437"/>
      <c r="E72" s="436">
        <v>79693675650</v>
      </c>
      <c r="F72" s="438">
        <f t="shared" si="2"/>
        <v>0.0024531633207458916</v>
      </c>
    </row>
    <row r="73" spans="1:6" ht="10.5" customHeight="1">
      <c r="A73" s="436" t="s">
        <v>521</v>
      </c>
      <c r="B73" s="436"/>
      <c r="C73" s="436">
        <v>271961602</v>
      </c>
      <c r="D73" s="437"/>
      <c r="E73" s="436">
        <v>114170208437</v>
      </c>
      <c r="F73" s="438">
        <f t="shared" si="2"/>
        <v>0.002382071520435828</v>
      </c>
    </row>
    <row r="74" spans="1:7" ht="8.25" customHeight="1">
      <c r="A74" s="422"/>
      <c r="B74" s="422"/>
      <c r="C74" s="422"/>
      <c r="D74" s="423"/>
      <c r="E74" s="422"/>
      <c r="F74" s="424"/>
      <c r="G74" s="411"/>
    </row>
    <row r="75" spans="1:6" ht="6" customHeight="1">
      <c r="A75" s="419"/>
      <c r="B75" s="419"/>
      <c r="C75" s="419"/>
      <c r="D75" s="419"/>
      <c r="E75" s="417"/>
      <c r="F75" s="417"/>
    </row>
    <row r="76" spans="1:6" ht="12.75">
      <c r="A76" s="419" t="s">
        <v>493</v>
      </c>
      <c r="B76" s="419"/>
      <c r="C76" s="419"/>
      <c r="D76" s="419"/>
      <c r="E76" s="417"/>
      <c r="F76" s="417"/>
    </row>
    <row r="79" ht="12.75">
      <c r="A79" s="404" t="s">
        <v>500</v>
      </c>
    </row>
    <row r="80" spans="1:21" ht="12.75">
      <c r="A80" s="408"/>
      <c r="B80" s="408"/>
      <c r="C80" s="409" t="s">
        <v>483</v>
      </c>
      <c r="D80" s="409" t="s">
        <v>484</v>
      </c>
      <c r="E80" s="409" t="s">
        <v>485</v>
      </c>
      <c r="F80" s="409" t="s">
        <v>486</v>
      </c>
      <c r="G80" s="409" t="s">
        <v>58</v>
      </c>
      <c r="H80" s="409" t="s">
        <v>59</v>
      </c>
      <c r="I80" s="409" t="s">
        <v>60</v>
      </c>
      <c r="J80" s="409" t="s">
        <v>487</v>
      </c>
      <c r="K80" s="409" t="s">
        <v>488</v>
      </c>
      <c r="L80" s="409" t="s">
        <v>489</v>
      </c>
      <c r="M80" s="409" t="s">
        <v>490</v>
      </c>
      <c r="N80" s="409" t="s">
        <v>491</v>
      </c>
      <c r="O80" s="406"/>
      <c r="U80"/>
    </row>
    <row r="81" spans="3:21" ht="7.5" customHeight="1">
      <c r="C81" s="125"/>
      <c r="D81" s="125"/>
      <c r="U81"/>
    </row>
    <row r="82" spans="3:21" ht="12.75">
      <c r="C82" s="125"/>
      <c r="D82" s="125"/>
      <c r="H82" s="407" t="s">
        <v>492</v>
      </c>
      <c r="U82"/>
    </row>
    <row r="83" spans="3:21" ht="8.25" customHeight="1">
      <c r="C83" s="125"/>
      <c r="D83" s="125"/>
      <c r="U83"/>
    </row>
    <row r="84" spans="1:21" ht="12.75">
      <c r="A84" s="405">
        <v>1990</v>
      </c>
      <c r="C84" s="125">
        <v>21226577</v>
      </c>
      <c r="D84" s="125">
        <v>26955239</v>
      </c>
      <c r="E84" s="125">
        <v>13611519</v>
      </c>
      <c r="F84" s="125">
        <v>12252088</v>
      </c>
      <c r="G84" s="125">
        <v>15175137</v>
      </c>
      <c r="H84" s="125">
        <v>12397708</v>
      </c>
      <c r="I84" s="125">
        <v>15212305</v>
      </c>
      <c r="J84" s="125">
        <v>11489490</v>
      </c>
      <c r="K84" s="125">
        <v>21286873</v>
      </c>
      <c r="L84" s="125">
        <v>56206140</v>
      </c>
      <c r="M84" s="125">
        <v>49506792</v>
      </c>
      <c r="N84" s="125">
        <v>33114542</v>
      </c>
      <c r="U84"/>
    </row>
    <row r="85" spans="1:21" ht="12.75">
      <c r="A85" s="405">
        <v>1991</v>
      </c>
      <c r="C85" s="125">
        <v>18507860</v>
      </c>
      <c r="D85" s="125">
        <v>20157824</v>
      </c>
      <c r="E85" s="125">
        <v>17012679</v>
      </c>
      <c r="F85" s="125">
        <v>15608214</v>
      </c>
      <c r="G85" s="125">
        <v>11268219</v>
      </c>
      <c r="H85" s="125">
        <v>11945240</v>
      </c>
      <c r="I85" s="125">
        <v>11176863</v>
      </c>
      <c r="J85" s="125">
        <v>17939752</v>
      </c>
      <c r="K85" s="125">
        <v>16867604</v>
      </c>
      <c r="L85" s="125">
        <v>29532629</v>
      </c>
      <c r="M85" s="125">
        <v>18757627</v>
      </c>
      <c r="N85" s="125">
        <v>27941653</v>
      </c>
      <c r="U85"/>
    </row>
    <row r="86" spans="1:21" ht="12.75">
      <c r="A86" s="405">
        <v>1992</v>
      </c>
      <c r="C86" s="125">
        <v>13443723</v>
      </c>
      <c r="D86" s="125">
        <v>12728017</v>
      </c>
      <c r="E86" s="125">
        <v>11666995</v>
      </c>
      <c r="F86" s="125">
        <v>12099661</v>
      </c>
      <c r="G86" s="125">
        <v>12439791</v>
      </c>
      <c r="H86" s="125">
        <v>9887942</v>
      </c>
      <c r="I86" s="125">
        <v>8286684</v>
      </c>
      <c r="J86" s="125">
        <v>8644440</v>
      </c>
      <c r="K86" s="125">
        <v>10380815</v>
      </c>
      <c r="L86" s="125">
        <v>15312113</v>
      </c>
      <c r="M86" s="125">
        <v>13879635</v>
      </c>
      <c r="N86" s="125">
        <v>12339774</v>
      </c>
      <c r="U86"/>
    </row>
    <row r="87" spans="1:21" ht="12.75">
      <c r="A87" s="405">
        <v>1993</v>
      </c>
      <c r="C87" s="125">
        <v>11506167</v>
      </c>
      <c r="D87" s="125">
        <v>13521111</v>
      </c>
      <c r="E87" s="125">
        <v>13848160</v>
      </c>
      <c r="F87" s="125">
        <v>12255711</v>
      </c>
      <c r="G87" s="125">
        <v>12193558</v>
      </c>
      <c r="H87" s="125">
        <v>11963527</v>
      </c>
      <c r="I87" s="125">
        <v>10275190</v>
      </c>
      <c r="J87" s="125">
        <v>9909611</v>
      </c>
      <c r="K87" s="125">
        <v>12905730</v>
      </c>
      <c r="L87" s="125">
        <v>15076598</v>
      </c>
      <c r="M87" s="125">
        <v>18224806</v>
      </c>
      <c r="N87" s="125">
        <v>16292927</v>
      </c>
      <c r="U87"/>
    </row>
    <row r="88" spans="1:21" ht="12.75">
      <c r="A88" s="405">
        <v>1994</v>
      </c>
      <c r="C88" s="125">
        <v>10510428</v>
      </c>
      <c r="D88" s="125">
        <v>10547653</v>
      </c>
      <c r="E88" s="125">
        <v>11579281</v>
      </c>
      <c r="F88" s="125">
        <v>15237748</v>
      </c>
      <c r="G88" s="125">
        <v>10401646</v>
      </c>
      <c r="H88" s="125">
        <v>11661585</v>
      </c>
      <c r="I88" s="125">
        <v>9707613</v>
      </c>
      <c r="J88" s="125">
        <v>14635002</v>
      </c>
      <c r="K88" s="125">
        <v>37943384</v>
      </c>
      <c r="L88" s="125">
        <v>31539068</v>
      </c>
      <c r="M88" s="125">
        <v>22375514</v>
      </c>
      <c r="N88" s="125">
        <v>25955918</v>
      </c>
      <c r="U88"/>
    </row>
    <row r="89" spans="1:21" ht="12.75">
      <c r="A89" s="405">
        <v>1995</v>
      </c>
      <c r="C89" s="125">
        <v>14448807</v>
      </c>
      <c r="D89" s="125">
        <v>16731607</v>
      </c>
      <c r="E89" s="125">
        <v>10897523</v>
      </c>
      <c r="F89" s="125">
        <v>13153799</v>
      </c>
      <c r="G89" s="125">
        <v>17453356</v>
      </c>
      <c r="H89" s="125">
        <v>25101730</v>
      </c>
      <c r="I89" s="125">
        <v>17356517</v>
      </c>
      <c r="J89" s="125">
        <v>11838994</v>
      </c>
      <c r="K89" s="125">
        <v>10503820</v>
      </c>
      <c r="L89" s="125">
        <v>21359607</v>
      </c>
      <c r="M89" s="125">
        <v>22999470</v>
      </c>
      <c r="N89" s="125">
        <v>21296562</v>
      </c>
      <c r="U89"/>
    </row>
    <row r="90" spans="1:21" ht="12.75">
      <c r="A90" s="405">
        <v>1996</v>
      </c>
      <c r="C90" s="125">
        <v>13004480</v>
      </c>
      <c r="D90" s="125">
        <v>12181941</v>
      </c>
      <c r="E90" s="125">
        <v>10584554</v>
      </c>
      <c r="F90" s="125">
        <v>13262280</v>
      </c>
      <c r="G90" s="125">
        <v>16915982</v>
      </c>
      <c r="H90" s="125">
        <v>16164000</v>
      </c>
      <c r="I90" s="125">
        <v>16978155</v>
      </c>
      <c r="J90" s="125">
        <v>18935076</v>
      </c>
      <c r="K90" s="125">
        <v>18931045</v>
      </c>
      <c r="L90" s="125">
        <v>26923422</v>
      </c>
      <c r="M90" s="125">
        <v>19549469</v>
      </c>
      <c r="N90" s="125">
        <v>18812747</v>
      </c>
      <c r="U90"/>
    </row>
    <row r="91" spans="1:21" ht="12.75">
      <c r="A91" s="405">
        <v>1997</v>
      </c>
      <c r="C91" s="125">
        <v>17390184</v>
      </c>
      <c r="D91" s="125">
        <v>12308825</v>
      </c>
      <c r="E91" s="125">
        <v>18094049</v>
      </c>
      <c r="F91" s="125">
        <v>9746277</v>
      </c>
      <c r="G91" s="125">
        <v>18159475</v>
      </c>
      <c r="H91" s="125">
        <v>23615078</v>
      </c>
      <c r="I91" s="125">
        <v>16406668</v>
      </c>
      <c r="J91" s="125">
        <v>15651226</v>
      </c>
      <c r="K91" s="125">
        <v>11499488</v>
      </c>
      <c r="L91" s="125">
        <v>21255183</v>
      </c>
      <c r="M91" s="125">
        <v>16792629</v>
      </c>
      <c r="N91" s="125">
        <v>25055557</v>
      </c>
      <c r="U91"/>
    </row>
    <row r="92" spans="1:21" ht="12.75">
      <c r="A92" s="405">
        <v>1998</v>
      </c>
      <c r="C92" s="125">
        <v>12198058</v>
      </c>
      <c r="D92" s="125">
        <v>28538793</v>
      </c>
      <c r="E92" s="125">
        <v>26797143</v>
      </c>
      <c r="F92" s="125">
        <v>22110083</v>
      </c>
      <c r="G92" s="125">
        <v>22106615</v>
      </c>
      <c r="H92" s="125">
        <v>38487139</v>
      </c>
      <c r="I92" s="125">
        <v>22651186</v>
      </c>
      <c r="J92" s="125">
        <v>11501913</v>
      </c>
      <c r="K92" s="125">
        <v>17158756</v>
      </c>
      <c r="L92" s="125">
        <v>28941046</v>
      </c>
      <c r="M92" s="125">
        <v>24788800</v>
      </c>
      <c r="N92" s="125">
        <v>26077437</v>
      </c>
      <c r="U92"/>
    </row>
    <row r="93" spans="1:21" ht="12.75">
      <c r="A93" s="405">
        <v>1999</v>
      </c>
      <c r="C93" s="125">
        <v>16967620</v>
      </c>
      <c r="D93" s="125">
        <v>16084372</v>
      </c>
      <c r="E93" s="125">
        <v>15533337</v>
      </c>
      <c r="F93" s="125">
        <v>11741722</v>
      </c>
      <c r="G93" s="125">
        <v>16226234</v>
      </c>
      <c r="H93" s="125">
        <v>13733530</v>
      </c>
      <c r="I93" s="125">
        <v>13762381</v>
      </c>
      <c r="J93" s="125">
        <v>11403967</v>
      </c>
      <c r="K93" s="125">
        <v>15486663</v>
      </c>
      <c r="L93" s="125">
        <v>20784197</v>
      </c>
      <c r="M93" s="125">
        <v>24090051</v>
      </c>
      <c r="N93" s="125">
        <v>31457212</v>
      </c>
      <c r="U93"/>
    </row>
    <row r="94" spans="1:21" ht="12.75">
      <c r="A94" s="405">
        <v>2000</v>
      </c>
      <c r="C94" s="125">
        <v>14112557</v>
      </c>
      <c r="D94" s="125">
        <v>11264148</v>
      </c>
      <c r="E94" s="125">
        <v>15364674</v>
      </c>
      <c r="F94" s="125">
        <v>12889769</v>
      </c>
      <c r="G94" s="125">
        <v>10712002</v>
      </c>
      <c r="H94" s="125">
        <v>9499304</v>
      </c>
      <c r="I94" s="125">
        <v>11359663</v>
      </c>
      <c r="J94" s="125">
        <v>10120243</v>
      </c>
      <c r="K94" s="125">
        <v>18034700</v>
      </c>
      <c r="L94" s="125">
        <v>26972484</v>
      </c>
      <c r="M94" s="125">
        <v>25035164</v>
      </c>
      <c r="N94" s="125">
        <v>18066806</v>
      </c>
      <c r="U94"/>
    </row>
    <row r="95" spans="1:21" ht="12.75">
      <c r="A95" s="405">
        <v>2001</v>
      </c>
      <c r="C95" s="125">
        <v>11140615</v>
      </c>
      <c r="D95" s="125">
        <v>12720679</v>
      </c>
      <c r="E95" s="125">
        <v>11657674</v>
      </c>
      <c r="F95" s="125">
        <v>16485087</v>
      </c>
      <c r="G95" s="125">
        <v>16157617</v>
      </c>
      <c r="H95" s="125">
        <v>15763043</v>
      </c>
      <c r="I95" s="125">
        <v>16382538</v>
      </c>
      <c r="J95" s="125">
        <v>15987021</v>
      </c>
      <c r="K95" s="125">
        <v>15634372</v>
      </c>
      <c r="L95" s="125">
        <v>13565953</v>
      </c>
      <c r="M95" s="125">
        <v>19348149</v>
      </c>
      <c r="N95" s="125">
        <v>11332244</v>
      </c>
      <c r="U95"/>
    </row>
    <row r="96" spans="1:21" ht="12.75">
      <c r="A96" s="405">
        <v>2002</v>
      </c>
      <c r="C96" s="125">
        <v>10825817</v>
      </c>
      <c r="D96" s="125">
        <v>11900696</v>
      </c>
      <c r="E96" s="125">
        <v>10871028</v>
      </c>
      <c r="F96" s="125">
        <v>15858764</v>
      </c>
      <c r="G96" s="125">
        <v>19338822</v>
      </c>
      <c r="H96" s="125">
        <v>11227075</v>
      </c>
      <c r="I96" s="125">
        <v>14191000</v>
      </c>
      <c r="J96" s="125">
        <v>15864605</v>
      </c>
      <c r="K96" s="125">
        <v>19164195</v>
      </c>
      <c r="L96" s="125">
        <v>12668241</v>
      </c>
      <c r="M96" s="125">
        <v>13982668</v>
      </c>
      <c r="N96" s="125">
        <v>17612021</v>
      </c>
      <c r="U96"/>
    </row>
    <row r="97" spans="1:21" ht="12.75">
      <c r="A97" s="405">
        <v>2003</v>
      </c>
      <c r="C97" s="125">
        <v>12679375</v>
      </c>
      <c r="D97" s="125">
        <v>9872833</v>
      </c>
      <c r="E97" s="125">
        <v>8372314</v>
      </c>
      <c r="F97" s="125">
        <v>11121930</v>
      </c>
      <c r="G97" s="125">
        <v>9338607</v>
      </c>
      <c r="H97" s="125">
        <v>16331067</v>
      </c>
      <c r="I97" s="125">
        <v>16391634</v>
      </c>
      <c r="J97" s="125">
        <v>16238713</v>
      </c>
      <c r="K97" s="125">
        <v>24725539</v>
      </c>
      <c r="L97" s="125">
        <v>13737142</v>
      </c>
      <c r="M97" s="125">
        <v>8805752</v>
      </c>
      <c r="N97" s="125">
        <v>9028928</v>
      </c>
      <c r="U97"/>
    </row>
    <row r="98" spans="1:21" ht="12.75">
      <c r="A98" s="405">
        <v>2004</v>
      </c>
      <c r="C98" s="125">
        <v>17133507</v>
      </c>
      <c r="D98" s="125">
        <v>12921995</v>
      </c>
      <c r="E98" s="125">
        <v>13015010</v>
      </c>
      <c r="F98" s="125">
        <v>11654352</v>
      </c>
      <c r="G98" s="125">
        <v>12297040</v>
      </c>
      <c r="H98" s="125">
        <v>6005949</v>
      </c>
      <c r="I98" s="125">
        <v>11072454</v>
      </c>
      <c r="J98" s="125">
        <v>9852467</v>
      </c>
      <c r="K98" s="125">
        <v>15922012</v>
      </c>
      <c r="L98" s="125">
        <v>10814070</v>
      </c>
      <c r="M98" s="125">
        <v>10008052</v>
      </c>
      <c r="N98" s="125">
        <v>14615802</v>
      </c>
      <c r="U98"/>
    </row>
    <row r="99" spans="1:21" ht="12.75">
      <c r="A99" s="405">
        <v>2005</v>
      </c>
      <c r="C99" s="125">
        <v>14843513</v>
      </c>
      <c r="D99" s="125">
        <v>9141516</v>
      </c>
      <c r="E99" s="125">
        <v>8809403</v>
      </c>
      <c r="F99" s="125">
        <v>10841373</v>
      </c>
      <c r="G99" s="125">
        <v>12037667</v>
      </c>
      <c r="H99" s="125">
        <v>9977032</v>
      </c>
      <c r="I99" s="125">
        <v>12050565</v>
      </c>
      <c r="J99" s="125">
        <v>11114731</v>
      </c>
      <c r="K99" s="125">
        <v>21371806</v>
      </c>
      <c r="L99" s="125">
        <v>15383546</v>
      </c>
      <c r="M99" s="125">
        <v>15097281</v>
      </c>
      <c r="N99" s="125">
        <v>18910443</v>
      </c>
      <c r="U99"/>
    </row>
    <row r="100" spans="1:21" ht="12.75">
      <c r="A100" s="405">
        <v>2006</v>
      </c>
      <c r="C100" s="125">
        <v>18611642</v>
      </c>
      <c r="D100" s="125">
        <v>20546911</v>
      </c>
      <c r="E100" s="125">
        <v>16830390</v>
      </c>
      <c r="F100" s="125">
        <v>16813191</v>
      </c>
      <c r="G100" s="125">
        <v>24108926</v>
      </c>
      <c r="H100" s="125">
        <v>11158349</v>
      </c>
      <c r="I100" s="125">
        <v>13436818</v>
      </c>
      <c r="J100" s="125">
        <v>10834327</v>
      </c>
      <c r="K100" s="125">
        <v>27190419</v>
      </c>
      <c r="L100" s="125">
        <v>17831289</v>
      </c>
      <c r="M100" s="125">
        <v>18636709</v>
      </c>
      <c r="N100" s="125">
        <v>14862768</v>
      </c>
      <c r="U100"/>
    </row>
    <row r="101" spans="1:21" ht="12.75">
      <c r="A101" s="405">
        <v>2007</v>
      </c>
      <c r="C101" s="125">
        <v>14174260</v>
      </c>
      <c r="D101" s="125">
        <v>11842871</v>
      </c>
      <c r="E101" s="125">
        <v>12355417</v>
      </c>
      <c r="F101" s="125">
        <v>16758370</v>
      </c>
      <c r="G101" s="125">
        <v>18878715</v>
      </c>
      <c r="H101" s="125">
        <v>11814511</v>
      </c>
      <c r="I101" s="125">
        <v>16091255</v>
      </c>
      <c r="J101" s="125">
        <v>15065018</v>
      </c>
      <c r="K101" s="125">
        <v>26019966</v>
      </c>
      <c r="L101" s="125">
        <v>20268243</v>
      </c>
      <c r="M101" s="125">
        <v>18917564</v>
      </c>
      <c r="N101" s="125">
        <v>17224389</v>
      </c>
      <c r="U101"/>
    </row>
    <row r="102" spans="1:21" ht="12.75">
      <c r="A102" s="405">
        <v>2008</v>
      </c>
      <c r="C102" s="125">
        <v>20076201</v>
      </c>
      <c r="D102" s="125">
        <v>19975242</v>
      </c>
      <c r="E102" s="125">
        <v>23028091</v>
      </c>
      <c r="F102" s="125">
        <v>30990356</v>
      </c>
      <c r="G102" s="125">
        <v>20914415</v>
      </c>
      <c r="H102" s="125">
        <v>30088574</v>
      </c>
      <c r="I102" s="125">
        <v>23231738</v>
      </c>
      <c r="J102" s="125">
        <v>21226823</v>
      </c>
      <c r="K102" s="125">
        <v>21437631</v>
      </c>
      <c r="L102" s="125">
        <v>34735469</v>
      </c>
      <c r="M102" s="125">
        <v>27863867</v>
      </c>
      <c r="N102" s="125">
        <v>43674258</v>
      </c>
      <c r="U102"/>
    </row>
    <row r="103" spans="1:21" ht="6" customHeight="1">
      <c r="A103" s="410"/>
      <c r="B103" s="410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U103"/>
    </row>
    <row r="104" spans="3:21" ht="12.75">
      <c r="C104" s="125"/>
      <c r="D104" s="125"/>
      <c r="U104"/>
    </row>
    <row r="105" spans="1:21" ht="12.75">
      <c r="A105" t="s">
        <v>493</v>
      </c>
      <c r="C105" s="125"/>
      <c r="D105" s="125"/>
      <c r="U105"/>
    </row>
    <row r="106" spans="3:21" ht="12.75">
      <c r="C106" s="125"/>
      <c r="D106" s="125"/>
      <c r="U106"/>
    </row>
    <row r="107" spans="3:21" ht="12.75">
      <c r="C107" s="125"/>
      <c r="D107" s="125"/>
      <c r="U107"/>
    </row>
    <row r="108" spans="3:21" ht="12.75">
      <c r="C108" s="125"/>
      <c r="D108" s="125"/>
      <c r="U108"/>
    </row>
    <row r="109" spans="3:21" ht="12.75">
      <c r="C109" s="125"/>
      <c r="D109" s="125"/>
      <c r="U109"/>
    </row>
    <row r="110" spans="3:21" ht="12.75">
      <c r="C110" s="125"/>
      <c r="D110" s="125"/>
      <c r="U110"/>
    </row>
    <row r="111" spans="3:21" ht="12.75">
      <c r="C111" s="125"/>
      <c r="D111" s="125"/>
      <c r="U111"/>
    </row>
    <row r="113" spans="3:4" ht="12.75">
      <c r="C113" s="200"/>
      <c r="D113" s="200"/>
    </row>
    <row r="114" spans="3:4" ht="12.75">
      <c r="C114" s="200"/>
      <c r="D114" s="200"/>
    </row>
  </sheetData>
  <printOptions horizontalCentered="1"/>
  <pageMargins left="0.417" right="0.417" top="0.25" bottom="0.6" header="0" footer="0.2"/>
  <pageSetup fitToHeight="1" fitToWidth="1" horizontalDpi="600" verticalDpi="600" orientation="portrait" scale="95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55"/>
  <sheetViews>
    <sheetView showGridLines="0" workbookViewId="0" topLeftCell="A2">
      <pane xSplit="2" ySplit="4" topLeftCell="C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2.57421875" defaultRowHeight="12.75"/>
  <cols>
    <col min="1" max="1" width="4.28125" style="80" customWidth="1"/>
    <col min="2" max="2" width="1.57421875" style="80" customWidth="1"/>
    <col min="3" max="3" width="7.00390625" style="80" customWidth="1"/>
    <col min="4" max="4" width="1.421875" style="80" customWidth="1"/>
    <col min="5" max="5" width="7.00390625" style="80" customWidth="1"/>
    <col min="6" max="6" width="1.1484375" style="80" customWidth="1"/>
    <col min="7" max="7" width="7.8515625" style="80" customWidth="1"/>
    <col min="8" max="8" width="2.00390625" style="80" customWidth="1"/>
    <col min="9" max="9" width="7.421875" style="80" customWidth="1"/>
    <col min="10" max="10" width="7.140625" style="80" customWidth="1"/>
    <col min="11" max="11" width="8.00390625" style="80" customWidth="1"/>
    <col min="12" max="12" width="1.421875" style="80" customWidth="1"/>
    <col min="13" max="13" width="5.8515625" style="80" customWidth="1"/>
    <col min="14" max="14" width="1.28515625" style="80" customWidth="1"/>
    <col min="15" max="17" width="6.28125" style="80" customWidth="1"/>
    <col min="18" max="18" width="1.421875" style="80" customWidth="1"/>
    <col min="19" max="19" width="5.57421875" style="80" customWidth="1"/>
    <col min="20" max="20" width="1.28515625" style="80" customWidth="1"/>
    <col min="21" max="21" width="7.00390625" style="80" customWidth="1"/>
    <col min="22" max="22" width="1.421875" style="80" customWidth="1"/>
    <col min="23" max="23" width="6.8515625" style="80" customWidth="1"/>
    <col min="24" max="24" width="1.8515625" style="80" customWidth="1"/>
    <col min="25" max="25" width="4.8515625" style="80" customWidth="1"/>
    <col min="26" max="26" width="1.1484375" style="80" customWidth="1"/>
    <col min="27" max="27" width="6.421875" style="80" customWidth="1"/>
    <col min="28" max="28" width="1.57421875" style="80" customWidth="1"/>
    <col min="29" max="29" width="5.57421875" style="80" customWidth="1"/>
    <col min="30" max="30" width="0.85546875" style="80" customWidth="1"/>
    <col min="31" max="31" width="7.00390625" style="80" customWidth="1"/>
    <col min="32" max="32" width="1.57421875" style="80" customWidth="1"/>
    <col min="33" max="16384" width="12.57421875" style="80" customWidth="1"/>
  </cols>
  <sheetData>
    <row r="2" spans="1:40" ht="19.5" customHeight="1">
      <c r="A2" s="169" t="s">
        <v>561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8"/>
      <c r="AH2" s="78"/>
      <c r="AI2" s="78"/>
      <c r="AJ2" s="78"/>
      <c r="AK2" s="79"/>
      <c r="AL2" s="79"/>
      <c r="AM2" s="79"/>
      <c r="AN2" s="79"/>
    </row>
    <row r="3" spans="1:40" ht="12" customHeight="1">
      <c r="A3" s="314"/>
      <c r="B3" s="315"/>
      <c r="C3" s="314"/>
      <c r="D3" s="314"/>
      <c r="E3" s="316" t="s">
        <v>15</v>
      </c>
      <c r="F3" s="315"/>
      <c r="G3" s="317" t="s">
        <v>169</v>
      </c>
      <c r="H3" s="318"/>
      <c r="I3" s="319" t="s">
        <v>171</v>
      </c>
      <c r="J3" s="319"/>
      <c r="K3" s="319"/>
      <c r="L3" s="318"/>
      <c r="M3" s="318"/>
      <c r="N3" s="318"/>
      <c r="O3" s="319" t="s">
        <v>215</v>
      </c>
      <c r="P3" s="319"/>
      <c r="Q3" s="319"/>
      <c r="R3" s="317"/>
      <c r="S3" s="317" t="s">
        <v>172</v>
      </c>
      <c r="T3" s="317"/>
      <c r="U3" s="317"/>
      <c r="V3" s="317"/>
      <c r="W3" s="317"/>
      <c r="X3" s="318"/>
      <c r="Y3" s="318"/>
      <c r="Z3" s="318"/>
      <c r="AA3" s="318"/>
      <c r="AB3" s="318"/>
      <c r="AC3" s="316" t="s">
        <v>176</v>
      </c>
      <c r="AD3" s="315"/>
      <c r="AE3" s="314"/>
      <c r="AF3" s="315"/>
      <c r="AG3" s="78"/>
      <c r="AH3" s="78"/>
      <c r="AI3" s="78"/>
      <c r="AJ3" s="78"/>
      <c r="AK3" s="79"/>
      <c r="AL3" s="79"/>
      <c r="AM3" s="79"/>
      <c r="AN3" s="79"/>
    </row>
    <row r="4" spans="1:40" ht="10.5" customHeight="1">
      <c r="A4" s="320" t="s">
        <v>104</v>
      </c>
      <c r="B4" s="321"/>
      <c r="C4" s="322" t="s">
        <v>105</v>
      </c>
      <c r="D4" s="321"/>
      <c r="E4" s="322" t="s">
        <v>106</v>
      </c>
      <c r="F4" s="321"/>
      <c r="G4" s="320" t="s">
        <v>177</v>
      </c>
      <c r="H4" s="323"/>
      <c r="I4" s="320" t="s">
        <v>170</v>
      </c>
      <c r="J4" s="320" t="s">
        <v>216</v>
      </c>
      <c r="K4" s="320" t="s">
        <v>217</v>
      </c>
      <c r="L4" s="323"/>
      <c r="M4" s="324" t="s">
        <v>127</v>
      </c>
      <c r="N4" s="323"/>
      <c r="O4" s="320" t="s">
        <v>170</v>
      </c>
      <c r="P4" s="323" t="s">
        <v>218</v>
      </c>
      <c r="Q4" s="320" t="s">
        <v>219</v>
      </c>
      <c r="R4" s="320"/>
      <c r="S4" s="320" t="s">
        <v>173</v>
      </c>
      <c r="T4" s="320"/>
      <c r="U4" s="320" t="s">
        <v>174</v>
      </c>
      <c r="V4" s="320"/>
      <c r="W4" s="320" t="s">
        <v>175</v>
      </c>
      <c r="X4" s="323"/>
      <c r="Y4" s="323" t="s">
        <v>220</v>
      </c>
      <c r="Z4" s="323"/>
      <c r="AA4" s="323" t="s">
        <v>43</v>
      </c>
      <c r="AB4" s="323"/>
      <c r="AC4" s="320" t="s">
        <v>221</v>
      </c>
      <c r="AD4" s="321"/>
      <c r="AE4" s="322" t="s">
        <v>107</v>
      </c>
      <c r="AF4" s="321"/>
      <c r="AG4" s="78"/>
      <c r="AH4" s="78"/>
      <c r="AI4" s="78"/>
      <c r="AJ4" s="78"/>
      <c r="AK4" s="79"/>
      <c r="AL4" s="79"/>
      <c r="AM4" s="79"/>
      <c r="AN4" s="79"/>
    </row>
    <row r="5" spans="1:40" ht="12" customHeight="1">
      <c r="A5" s="81"/>
      <c r="B5" s="81"/>
      <c r="C5" s="81"/>
      <c r="D5" s="81"/>
      <c r="E5" s="81"/>
      <c r="F5" s="81"/>
      <c r="H5" s="81"/>
      <c r="I5" s="181"/>
      <c r="J5" s="81"/>
      <c r="K5" s="181" t="s">
        <v>108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314"/>
      <c r="AF5" s="314"/>
      <c r="AG5" s="78"/>
      <c r="AH5" s="78"/>
      <c r="AI5" s="78"/>
      <c r="AJ5" s="78"/>
      <c r="AK5" s="79"/>
      <c r="AL5" s="79"/>
      <c r="AM5" s="79"/>
      <c r="AN5" s="79"/>
    </row>
    <row r="6" spans="1:40" ht="5.25" customHeight="1">
      <c r="A6" s="81"/>
      <c r="B6" s="81"/>
      <c r="C6" s="81"/>
      <c r="D6" s="81"/>
      <c r="E6" s="81"/>
      <c r="F6" s="81"/>
      <c r="G6" s="83" t="s">
        <v>15</v>
      </c>
      <c r="H6" s="82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314"/>
      <c r="AF6" s="314"/>
      <c r="AG6" s="78"/>
      <c r="AH6" s="78"/>
      <c r="AI6" s="78"/>
      <c r="AJ6" s="78"/>
      <c r="AK6" s="79"/>
      <c r="AL6" s="79"/>
      <c r="AM6" s="79"/>
      <c r="AN6" s="79"/>
    </row>
    <row r="7" spans="1:40" ht="10.5" customHeight="1">
      <c r="A7" s="81">
        <f aca="true" t="shared" si="0" ref="A7:A13">A8-1</f>
        <v>1970</v>
      </c>
      <c r="B7" s="81"/>
      <c r="C7" s="117">
        <v>2.24</v>
      </c>
      <c r="D7" s="117"/>
      <c r="E7" s="117">
        <v>1.6865799894660867</v>
      </c>
      <c r="F7" s="117"/>
      <c r="G7" s="116">
        <v>0.3891448022940523</v>
      </c>
      <c r="H7" s="370"/>
      <c r="I7" s="116">
        <v>0.4451352827575445</v>
      </c>
      <c r="J7" s="148" t="s">
        <v>222</v>
      </c>
      <c r="K7" s="148" t="s">
        <v>223</v>
      </c>
      <c r="L7" s="117"/>
      <c r="M7" s="116">
        <v>0.006207693658194053</v>
      </c>
      <c r="N7" s="117"/>
      <c r="O7" s="117">
        <f aca="true" t="shared" si="1" ref="O7:O27">P7+Q7</f>
        <v>0.36</v>
      </c>
      <c r="P7" s="117">
        <v>0.15</v>
      </c>
      <c r="Q7" s="117">
        <v>0.21</v>
      </c>
      <c r="R7" s="117"/>
      <c r="S7" s="148" t="s">
        <v>224</v>
      </c>
      <c r="T7" s="117"/>
      <c r="U7" s="148" t="s">
        <v>225</v>
      </c>
      <c r="V7" s="148"/>
      <c r="W7" s="148" t="s">
        <v>225</v>
      </c>
      <c r="X7" s="117"/>
      <c r="Y7" s="148" t="s">
        <v>128</v>
      </c>
      <c r="Z7" s="148"/>
      <c r="AA7" s="148" t="s">
        <v>72</v>
      </c>
      <c r="AB7" s="117"/>
      <c r="AC7" s="116">
        <f aca="true" t="shared" si="2" ref="AC7:AC16">AE7-(C7+E7+G7+I7+M7+O7+S7+U7+W7+Y7+AA7)</f>
        <v>1.1129322318241224</v>
      </c>
      <c r="AD7" s="117"/>
      <c r="AE7" s="325">
        <v>6.24</v>
      </c>
      <c r="AF7" s="314"/>
      <c r="AG7" s="78"/>
      <c r="AH7" s="78"/>
      <c r="AI7" s="78"/>
      <c r="AJ7" s="78"/>
      <c r="AK7" s="79"/>
      <c r="AL7" s="79"/>
      <c r="AM7" s="79"/>
      <c r="AN7" s="79"/>
    </row>
    <row r="8" spans="1:40" ht="10.5" customHeight="1">
      <c r="A8" s="81">
        <f t="shared" si="0"/>
        <v>1971</v>
      </c>
      <c r="B8" s="81"/>
      <c r="C8" s="117">
        <v>2.45</v>
      </c>
      <c r="D8" s="117"/>
      <c r="E8" s="117">
        <v>1.775297239250509</v>
      </c>
      <c r="F8" s="117"/>
      <c r="G8" s="116">
        <v>0.4550601220258017</v>
      </c>
      <c r="H8" s="370"/>
      <c r="I8" s="116">
        <v>0.5464982832597358</v>
      </c>
      <c r="J8" s="148" t="s">
        <v>222</v>
      </c>
      <c r="K8" s="148" t="s">
        <v>223</v>
      </c>
      <c r="L8" s="117"/>
      <c r="M8" s="116">
        <v>0.030372578384963964</v>
      </c>
      <c r="N8" s="117"/>
      <c r="O8" s="117">
        <f t="shared" si="1"/>
        <v>0.306</v>
      </c>
      <c r="P8" s="117">
        <v>0.142</v>
      </c>
      <c r="Q8" s="117">
        <v>0.164</v>
      </c>
      <c r="R8" s="117"/>
      <c r="S8" s="148" t="s">
        <v>224</v>
      </c>
      <c r="T8" s="117"/>
      <c r="U8" s="148" t="s">
        <v>225</v>
      </c>
      <c r="V8" s="148"/>
      <c r="W8" s="148" t="s">
        <v>225</v>
      </c>
      <c r="X8" s="117"/>
      <c r="Y8" s="148" t="s">
        <v>128</v>
      </c>
      <c r="Z8" s="148"/>
      <c r="AA8" s="148" t="s">
        <v>72</v>
      </c>
      <c r="AB8" s="117"/>
      <c r="AC8" s="116">
        <f t="shared" si="2"/>
        <v>1.1967717770789896</v>
      </c>
      <c r="AD8" s="117"/>
      <c r="AE8" s="325">
        <v>6.76</v>
      </c>
      <c r="AF8" s="314"/>
      <c r="AG8" s="78"/>
      <c r="AH8" s="78"/>
      <c r="AI8" s="78"/>
      <c r="AJ8" s="78"/>
      <c r="AK8" s="79"/>
      <c r="AL8" s="79"/>
      <c r="AM8" s="79"/>
      <c r="AN8" s="79"/>
    </row>
    <row r="9" spans="1:40" ht="10.5" customHeight="1">
      <c r="A9" s="81">
        <f t="shared" si="0"/>
        <v>1972</v>
      </c>
      <c r="B9" s="81"/>
      <c r="C9" s="117">
        <v>1.96</v>
      </c>
      <c r="D9" s="117"/>
      <c r="E9" s="117">
        <v>1.8441232801006213</v>
      </c>
      <c r="F9" s="117"/>
      <c r="G9" s="116">
        <v>0.36661946868925555</v>
      </c>
      <c r="H9" s="370"/>
      <c r="I9" s="116">
        <v>0.2883168807409385</v>
      </c>
      <c r="J9" s="148" t="s">
        <v>222</v>
      </c>
      <c r="K9" s="148" t="s">
        <v>223</v>
      </c>
      <c r="L9" s="117"/>
      <c r="M9" s="116">
        <v>0.02498141936959255</v>
      </c>
      <c r="N9" s="117"/>
      <c r="O9" s="117">
        <f t="shared" si="1"/>
        <v>0.26</v>
      </c>
      <c r="P9" s="117">
        <v>0.13</v>
      </c>
      <c r="Q9" s="117">
        <v>0.13</v>
      </c>
      <c r="R9" s="117"/>
      <c r="S9" s="148" t="s">
        <v>224</v>
      </c>
      <c r="T9" s="117"/>
      <c r="U9" s="148" t="s">
        <v>225</v>
      </c>
      <c r="V9" s="148"/>
      <c r="W9" s="148" t="s">
        <v>225</v>
      </c>
      <c r="X9" s="117"/>
      <c r="Y9" s="148" t="s">
        <v>128</v>
      </c>
      <c r="Z9" s="148"/>
      <c r="AA9" s="148" t="s">
        <v>72</v>
      </c>
      <c r="AB9" s="117"/>
      <c r="AC9" s="116">
        <f t="shared" si="2"/>
        <v>1.0259589510995912</v>
      </c>
      <c r="AD9" s="117"/>
      <c r="AE9" s="325">
        <v>5.77</v>
      </c>
      <c r="AF9" s="314"/>
      <c r="AG9" s="78"/>
      <c r="AH9" s="78"/>
      <c r="AI9" s="78"/>
      <c r="AJ9" s="78"/>
      <c r="AK9" s="79"/>
      <c r="AL9" s="79"/>
      <c r="AM9" s="79"/>
      <c r="AN9" s="79"/>
    </row>
    <row r="10" spans="1:40" ht="10.5" customHeight="1">
      <c r="A10" s="81">
        <f t="shared" si="0"/>
        <v>1973</v>
      </c>
      <c r="B10" s="81"/>
      <c r="C10" s="117">
        <v>2.48</v>
      </c>
      <c r="D10" s="117"/>
      <c r="E10" s="117">
        <v>2.363101142471532</v>
      </c>
      <c r="F10" s="117"/>
      <c r="G10" s="116">
        <v>0.40364533832918864</v>
      </c>
      <c r="H10" s="370"/>
      <c r="I10" s="116">
        <v>0.44326206060148465</v>
      </c>
      <c r="J10" s="148" t="s">
        <v>222</v>
      </c>
      <c r="K10" s="148" t="s">
        <v>223</v>
      </c>
      <c r="L10" s="117"/>
      <c r="M10" s="116">
        <v>0.009955216626004544</v>
      </c>
      <c r="N10" s="117"/>
      <c r="O10" s="117">
        <f t="shared" si="1"/>
        <v>0.34</v>
      </c>
      <c r="P10" s="117">
        <v>0.14</v>
      </c>
      <c r="Q10" s="117">
        <v>0.2</v>
      </c>
      <c r="R10" s="117"/>
      <c r="S10" s="148" t="s">
        <v>224</v>
      </c>
      <c r="T10" s="117"/>
      <c r="U10" s="148" t="s">
        <v>225</v>
      </c>
      <c r="V10" s="148"/>
      <c r="W10" s="148" t="s">
        <v>225</v>
      </c>
      <c r="X10" s="117"/>
      <c r="Y10" s="148" t="s">
        <v>128</v>
      </c>
      <c r="Z10" s="148"/>
      <c r="AA10" s="148" t="s">
        <v>72</v>
      </c>
      <c r="AB10" s="117"/>
      <c r="AC10" s="116">
        <f t="shared" si="2"/>
        <v>1.4000362419717902</v>
      </c>
      <c r="AD10" s="117"/>
      <c r="AE10" s="325">
        <v>7.44</v>
      </c>
      <c r="AF10" s="314"/>
      <c r="AG10" s="78"/>
      <c r="AH10" s="78"/>
      <c r="AI10" s="78"/>
      <c r="AJ10" s="78"/>
      <c r="AK10" s="79"/>
      <c r="AL10" s="79"/>
      <c r="AM10" s="79"/>
      <c r="AN10" s="79"/>
    </row>
    <row r="11" spans="1:40" ht="10.5" customHeight="1">
      <c r="A11" s="81">
        <f t="shared" si="0"/>
        <v>1974</v>
      </c>
      <c r="B11" s="81"/>
      <c r="C11" s="117">
        <v>1.32</v>
      </c>
      <c r="D11" s="117"/>
      <c r="E11" s="117">
        <v>1.219853731985373</v>
      </c>
      <c r="F11" s="117"/>
      <c r="G11" s="116">
        <v>0.5657964779709521</v>
      </c>
      <c r="H11" s="370"/>
      <c r="I11" s="116">
        <v>0.4911506915933301</v>
      </c>
      <c r="J11" s="148" t="s">
        <v>222</v>
      </c>
      <c r="K11" s="148" t="s">
        <v>223</v>
      </c>
      <c r="L11" s="117"/>
      <c r="M11" s="116">
        <v>0.02358244409737482</v>
      </c>
      <c r="N11" s="117"/>
      <c r="O11" s="117">
        <f t="shared" si="1"/>
        <v>0.38</v>
      </c>
      <c r="P11" s="117">
        <v>0.16</v>
      </c>
      <c r="Q11" s="117">
        <v>0.22</v>
      </c>
      <c r="R11" s="117"/>
      <c r="S11" s="148" t="s">
        <v>224</v>
      </c>
      <c r="T11" s="117"/>
      <c r="U11" s="148" t="s">
        <v>225</v>
      </c>
      <c r="V11" s="148"/>
      <c r="W11" s="148" t="s">
        <v>225</v>
      </c>
      <c r="X11" s="117"/>
      <c r="Y11" s="148" t="s">
        <v>128</v>
      </c>
      <c r="Z11" s="148"/>
      <c r="AA11" s="148" t="s">
        <v>72</v>
      </c>
      <c r="AB11" s="117"/>
      <c r="AC11" s="116">
        <f t="shared" si="2"/>
        <v>1.479616654352971</v>
      </c>
      <c r="AD11" s="117"/>
      <c r="AE11" s="325">
        <v>5.48</v>
      </c>
      <c r="AF11" s="314"/>
      <c r="AG11" s="78"/>
      <c r="AH11" s="78"/>
      <c r="AI11" s="78"/>
      <c r="AJ11" s="78"/>
      <c r="AK11" s="79"/>
      <c r="AL11" s="79"/>
      <c r="AM11" s="79"/>
      <c r="AN11" s="79"/>
    </row>
    <row r="12" spans="1:40" ht="10.5" customHeight="1">
      <c r="A12" s="81">
        <f t="shared" si="0"/>
        <v>1975</v>
      </c>
      <c r="B12" s="81"/>
      <c r="C12" s="117">
        <v>1.68</v>
      </c>
      <c r="D12" s="117"/>
      <c r="E12" s="117">
        <v>2.3024813286846046</v>
      </c>
      <c r="F12" s="117"/>
      <c r="G12" s="116">
        <v>0.5879064512693718</v>
      </c>
      <c r="H12" s="370"/>
      <c r="I12" s="116">
        <v>0.49644418515277366</v>
      </c>
      <c r="J12" s="148" t="s">
        <v>222</v>
      </c>
      <c r="K12" s="148" t="s">
        <v>223</v>
      </c>
      <c r="L12" s="117"/>
      <c r="M12" s="116">
        <v>0.026242169160033874</v>
      </c>
      <c r="N12" s="117"/>
      <c r="O12" s="117">
        <f t="shared" si="1"/>
        <v>0.41000000000000003</v>
      </c>
      <c r="P12" s="117">
        <v>0.18</v>
      </c>
      <c r="Q12" s="117">
        <v>0.23</v>
      </c>
      <c r="R12" s="117"/>
      <c r="S12" s="148" t="s">
        <v>224</v>
      </c>
      <c r="T12" s="117"/>
      <c r="U12" s="148" t="s">
        <v>225</v>
      </c>
      <c r="V12" s="148"/>
      <c r="W12" s="148" t="s">
        <v>225</v>
      </c>
      <c r="X12" s="117"/>
      <c r="Y12" s="148" t="s">
        <v>128</v>
      </c>
      <c r="Z12" s="148"/>
      <c r="AA12" s="148" t="s">
        <v>72</v>
      </c>
      <c r="AB12" s="117"/>
      <c r="AC12" s="116">
        <f t="shared" si="2"/>
        <v>1.2969258657332157</v>
      </c>
      <c r="AD12" s="117"/>
      <c r="AE12" s="325">
        <v>6.8</v>
      </c>
      <c r="AF12" s="314"/>
      <c r="AG12" s="78"/>
      <c r="AH12" s="78"/>
      <c r="AI12" s="78"/>
      <c r="AJ12" s="78"/>
      <c r="AK12" s="79"/>
      <c r="AL12" s="79"/>
      <c r="AM12" s="79"/>
      <c r="AN12" s="79"/>
    </row>
    <row r="13" spans="1:40" ht="10.5" customHeight="1">
      <c r="A13" s="81">
        <f t="shared" si="0"/>
        <v>1976</v>
      </c>
      <c r="B13" s="81"/>
      <c r="C13" s="117">
        <v>2.53</v>
      </c>
      <c r="D13" s="117"/>
      <c r="E13" s="117">
        <v>1.3692627330474465</v>
      </c>
      <c r="F13" s="117"/>
      <c r="G13" s="116">
        <v>0.43252817208246375</v>
      </c>
      <c r="H13" s="370"/>
      <c r="I13" s="116">
        <v>0.5844919393675326</v>
      </c>
      <c r="J13" s="148" t="s">
        <v>222</v>
      </c>
      <c r="K13" s="148" t="s">
        <v>223</v>
      </c>
      <c r="L13" s="117"/>
      <c r="M13" s="116">
        <v>0.006663150411631159</v>
      </c>
      <c r="N13" s="117"/>
      <c r="O13" s="117">
        <f t="shared" si="1"/>
        <v>0.27</v>
      </c>
      <c r="P13" s="117">
        <v>0.11</v>
      </c>
      <c r="Q13" s="117">
        <v>0.16</v>
      </c>
      <c r="R13" s="117"/>
      <c r="S13" s="148" t="s">
        <v>224</v>
      </c>
      <c r="T13" s="117"/>
      <c r="U13" s="148" t="s">
        <v>225</v>
      </c>
      <c r="V13" s="148"/>
      <c r="W13" s="148" t="s">
        <v>225</v>
      </c>
      <c r="X13" s="117"/>
      <c r="Y13" s="148" t="s">
        <v>128</v>
      </c>
      <c r="Z13" s="148"/>
      <c r="AA13" s="148" t="s">
        <v>72</v>
      </c>
      <c r="AB13" s="117"/>
      <c r="AC13" s="116">
        <f t="shared" si="2"/>
        <v>1.0770540050909254</v>
      </c>
      <c r="AD13" s="117"/>
      <c r="AE13" s="325">
        <v>6.27</v>
      </c>
      <c r="AF13" s="314"/>
      <c r="AG13" s="78"/>
      <c r="AH13" s="78"/>
      <c r="AI13" s="78"/>
      <c r="AJ13" s="78"/>
      <c r="AK13" s="79"/>
      <c r="AL13" s="79"/>
      <c r="AM13" s="79"/>
      <c r="AN13" s="79"/>
    </row>
    <row r="14" spans="1:40" ht="9.75" customHeight="1">
      <c r="A14" s="84">
        <v>1977</v>
      </c>
      <c r="B14" s="81"/>
      <c r="C14" s="116">
        <v>2.03</v>
      </c>
      <c r="D14" s="116"/>
      <c r="E14" s="116">
        <v>2.119354882650212</v>
      </c>
      <c r="F14" s="116"/>
      <c r="G14" s="116">
        <v>0.37579120864152127</v>
      </c>
      <c r="H14" s="116"/>
      <c r="I14" s="116">
        <v>0.5275293658253081</v>
      </c>
      <c r="J14" s="148" t="s">
        <v>222</v>
      </c>
      <c r="K14" s="148" t="s">
        <v>223</v>
      </c>
      <c r="L14" s="116"/>
      <c r="M14" s="116">
        <v>0.00854435408805889</v>
      </c>
      <c r="N14" s="116"/>
      <c r="O14" s="117">
        <f t="shared" si="1"/>
        <v>0.265</v>
      </c>
      <c r="P14" s="117">
        <v>0.091</v>
      </c>
      <c r="Q14" s="117">
        <v>0.174</v>
      </c>
      <c r="R14" s="117"/>
      <c r="S14" s="148" t="s">
        <v>224</v>
      </c>
      <c r="T14" s="117"/>
      <c r="U14" s="148" t="s">
        <v>225</v>
      </c>
      <c r="V14" s="148"/>
      <c r="W14" s="148" t="s">
        <v>225</v>
      </c>
      <c r="X14" s="117"/>
      <c r="Y14" s="148" t="s">
        <v>128</v>
      </c>
      <c r="Z14" s="148"/>
      <c r="AA14" s="148" t="s">
        <v>72</v>
      </c>
      <c r="AB14" s="148"/>
      <c r="AC14" s="116">
        <f t="shared" si="2"/>
        <v>1.3437801887949004</v>
      </c>
      <c r="AD14" s="116"/>
      <c r="AE14" s="325">
        <v>6.67</v>
      </c>
      <c r="AF14" s="326"/>
      <c r="AG14" s="85"/>
      <c r="AH14" s="85"/>
      <c r="AI14" s="86"/>
      <c r="AJ14" s="85"/>
      <c r="AK14" s="87"/>
      <c r="AL14" s="88"/>
      <c r="AM14" s="79"/>
      <c r="AN14" s="79"/>
    </row>
    <row r="15" spans="1:40" ht="9.75" customHeight="1">
      <c r="A15" s="84">
        <v>1978</v>
      </c>
      <c r="B15" s="81"/>
      <c r="C15" s="116">
        <v>1.85</v>
      </c>
      <c r="D15" s="116"/>
      <c r="E15" s="116">
        <v>1.16</v>
      </c>
      <c r="F15" s="116"/>
      <c r="G15" s="116">
        <v>0.33</v>
      </c>
      <c r="H15" s="116"/>
      <c r="I15" s="116">
        <v>0.51</v>
      </c>
      <c r="J15" s="148" t="s">
        <v>222</v>
      </c>
      <c r="K15" s="148" t="s">
        <v>223</v>
      </c>
      <c r="L15" s="116"/>
      <c r="M15" s="116">
        <v>0.03</v>
      </c>
      <c r="N15" s="116"/>
      <c r="O15" s="117">
        <f t="shared" si="1"/>
        <v>0.29400000000000004</v>
      </c>
      <c r="P15" s="117">
        <v>0.138</v>
      </c>
      <c r="Q15" s="117">
        <v>0.156</v>
      </c>
      <c r="R15" s="117"/>
      <c r="S15" s="148" t="s">
        <v>224</v>
      </c>
      <c r="T15" s="117"/>
      <c r="U15" s="148" t="s">
        <v>225</v>
      </c>
      <c r="V15" s="148"/>
      <c r="W15" s="148" t="s">
        <v>225</v>
      </c>
      <c r="X15" s="117"/>
      <c r="Y15" s="148" t="s">
        <v>128</v>
      </c>
      <c r="Z15" s="148"/>
      <c r="AA15" s="148" t="s">
        <v>72</v>
      </c>
      <c r="AB15" s="148"/>
      <c r="AC15" s="116">
        <f t="shared" si="2"/>
        <v>0.8860000000000001</v>
      </c>
      <c r="AD15" s="116"/>
      <c r="AE15" s="325">
        <v>5.06</v>
      </c>
      <c r="AF15" s="326"/>
      <c r="AG15" s="85"/>
      <c r="AH15" s="86"/>
      <c r="AI15" s="86"/>
      <c r="AJ15" s="86"/>
      <c r="AK15" s="87"/>
      <c r="AL15" s="88"/>
      <c r="AM15" s="79"/>
      <c r="AN15" s="79"/>
    </row>
    <row r="16" spans="1:40" ht="9.75" customHeight="1">
      <c r="A16" s="84">
        <v>1979</v>
      </c>
      <c r="B16" s="81"/>
      <c r="C16" s="116">
        <v>1.9</v>
      </c>
      <c r="D16" s="116"/>
      <c r="E16" s="116">
        <v>1.98</v>
      </c>
      <c r="F16" s="116"/>
      <c r="G16" s="116">
        <v>0.4</v>
      </c>
      <c r="H16" s="116"/>
      <c r="I16" s="116">
        <v>0.48</v>
      </c>
      <c r="J16" s="148" t="s">
        <v>222</v>
      </c>
      <c r="K16" s="148" t="s">
        <v>223</v>
      </c>
      <c r="L16" s="116"/>
      <c r="M16" s="116">
        <v>0.02</v>
      </c>
      <c r="N16" s="116"/>
      <c r="O16" s="117">
        <f t="shared" si="1"/>
        <v>0.324</v>
      </c>
      <c r="P16" s="117">
        <v>0.171</v>
      </c>
      <c r="Q16" s="117">
        <v>0.153</v>
      </c>
      <c r="R16" s="117"/>
      <c r="S16" s="148" t="s">
        <v>224</v>
      </c>
      <c r="T16" s="117"/>
      <c r="U16" s="148" t="s">
        <v>225</v>
      </c>
      <c r="V16" s="148"/>
      <c r="W16" s="148" t="s">
        <v>225</v>
      </c>
      <c r="X16" s="117"/>
      <c r="Y16" s="148" t="s">
        <v>128</v>
      </c>
      <c r="Z16" s="148"/>
      <c r="AA16" s="148" t="s">
        <v>72</v>
      </c>
      <c r="AB16" s="148"/>
      <c r="AC16" s="116">
        <f t="shared" si="2"/>
        <v>1.136000000000001</v>
      </c>
      <c r="AD16" s="116"/>
      <c r="AE16" s="325">
        <v>6.24</v>
      </c>
      <c r="AF16" s="326"/>
      <c r="AG16" s="85"/>
      <c r="AH16" s="85"/>
      <c r="AI16" s="85"/>
      <c r="AJ16" s="85"/>
      <c r="AK16" s="89"/>
      <c r="AL16" s="90"/>
      <c r="AM16" s="90"/>
      <c r="AN16" s="79"/>
    </row>
    <row r="17" spans="1:40" ht="3" customHeight="1">
      <c r="A17" s="84"/>
      <c r="B17" s="81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6"/>
      <c r="AD17" s="116"/>
      <c r="AE17" s="325"/>
      <c r="AF17" s="326"/>
      <c r="AG17" s="85"/>
      <c r="AH17" s="85"/>
      <c r="AI17" s="85"/>
      <c r="AJ17" s="85"/>
      <c r="AK17" s="89"/>
      <c r="AL17" s="90"/>
      <c r="AM17" s="90"/>
      <c r="AN17" s="79"/>
    </row>
    <row r="18" spans="1:40" ht="9.75" customHeight="1">
      <c r="A18" s="84">
        <v>1980</v>
      </c>
      <c r="B18" s="81"/>
      <c r="C18" s="116">
        <v>0.79</v>
      </c>
      <c r="D18" s="116"/>
      <c r="E18" s="116">
        <v>2.01</v>
      </c>
      <c r="F18" s="116"/>
      <c r="G18" s="116">
        <v>0.41</v>
      </c>
      <c r="H18" s="116"/>
      <c r="I18" s="116">
        <v>0.48</v>
      </c>
      <c r="J18" s="148" t="s">
        <v>222</v>
      </c>
      <c r="K18" s="148" t="s">
        <v>223</v>
      </c>
      <c r="L18" s="116"/>
      <c r="M18" s="116">
        <v>0.01</v>
      </c>
      <c r="N18" s="116"/>
      <c r="O18" s="117">
        <f t="shared" si="1"/>
        <v>0.306</v>
      </c>
      <c r="P18" s="117">
        <v>0.172</v>
      </c>
      <c r="Q18" s="117">
        <v>0.134</v>
      </c>
      <c r="R18" s="117"/>
      <c r="S18" s="148">
        <v>0.1</v>
      </c>
      <c r="T18" s="117"/>
      <c r="U18" s="148">
        <v>0.14</v>
      </c>
      <c r="V18" s="148"/>
      <c r="W18" s="148">
        <v>0.23</v>
      </c>
      <c r="X18" s="117"/>
      <c r="Y18" s="148">
        <v>0.19</v>
      </c>
      <c r="Z18" s="148"/>
      <c r="AA18" s="148">
        <v>0.12</v>
      </c>
      <c r="AB18" s="148"/>
      <c r="AC18" s="116">
        <f aca="true" t="shared" si="3" ref="AC18:AC27">AE18-(C18+E18+G18+I18+M18+O18+S18+U18+W18+Y18+AA18)</f>
        <v>0.4240000000000004</v>
      </c>
      <c r="AD18" s="116"/>
      <c r="AE18" s="325">
        <v>5.21</v>
      </c>
      <c r="AF18" s="326"/>
      <c r="AG18" s="85"/>
      <c r="AH18" s="85"/>
      <c r="AI18" s="85"/>
      <c r="AJ18" s="85"/>
      <c r="AK18" s="89"/>
      <c r="AL18" s="90"/>
      <c r="AM18" s="90"/>
      <c r="AN18" s="79"/>
    </row>
    <row r="19" spans="1:40" ht="9.75" customHeight="1">
      <c r="A19" s="84">
        <v>1981</v>
      </c>
      <c r="B19" s="81"/>
      <c r="C19" s="116">
        <v>1.98</v>
      </c>
      <c r="D19" s="116"/>
      <c r="E19" s="116">
        <v>1.15</v>
      </c>
      <c r="F19" s="116"/>
      <c r="G19" s="116">
        <v>0.29</v>
      </c>
      <c r="H19" s="116"/>
      <c r="I19" s="116">
        <v>0.31</v>
      </c>
      <c r="J19" s="148" t="s">
        <v>222</v>
      </c>
      <c r="K19" s="148" t="s">
        <v>223</v>
      </c>
      <c r="L19" s="116"/>
      <c r="M19" s="116">
        <v>0.07</v>
      </c>
      <c r="N19" s="116"/>
      <c r="O19" s="117">
        <f t="shared" si="1"/>
        <v>0.28200000000000003</v>
      </c>
      <c r="P19" s="117">
        <v>0.101</v>
      </c>
      <c r="Q19" s="117">
        <v>0.181</v>
      </c>
      <c r="R19" s="117"/>
      <c r="S19" s="148">
        <v>0.16</v>
      </c>
      <c r="T19" s="117"/>
      <c r="U19" s="148">
        <v>0.15</v>
      </c>
      <c r="V19" s="148"/>
      <c r="W19" s="148">
        <v>0.19</v>
      </c>
      <c r="X19" s="117"/>
      <c r="Y19" s="148">
        <v>0.39</v>
      </c>
      <c r="Z19" s="148"/>
      <c r="AA19" s="148">
        <v>0.11</v>
      </c>
      <c r="AB19" s="148"/>
      <c r="AC19" s="116">
        <f t="shared" si="3"/>
        <v>0.7879999999999994</v>
      </c>
      <c r="AD19" s="116"/>
      <c r="AE19" s="325">
        <v>5.87</v>
      </c>
      <c r="AF19" s="326"/>
      <c r="AG19" s="85"/>
      <c r="AH19" s="85"/>
      <c r="AI19" s="85"/>
      <c r="AJ19" s="85"/>
      <c r="AK19" s="89"/>
      <c r="AL19" s="79"/>
      <c r="AM19" s="79"/>
      <c r="AN19" s="79"/>
    </row>
    <row r="20" spans="1:40" ht="9.75" customHeight="1">
      <c r="A20" s="84">
        <v>1982</v>
      </c>
      <c r="B20" s="81"/>
      <c r="C20" s="116">
        <v>3.27</v>
      </c>
      <c r="D20" s="116"/>
      <c r="E20" s="116">
        <v>1.56</v>
      </c>
      <c r="F20" s="116"/>
      <c r="G20" s="116">
        <v>0.49</v>
      </c>
      <c r="H20" s="116"/>
      <c r="I20" s="116">
        <v>0.51</v>
      </c>
      <c r="J20" s="148" t="s">
        <v>222</v>
      </c>
      <c r="K20" s="148" t="s">
        <v>223</v>
      </c>
      <c r="L20" s="116"/>
      <c r="M20" s="116">
        <v>0.04</v>
      </c>
      <c r="N20" s="116"/>
      <c r="O20" s="117">
        <f t="shared" si="1"/>
        <v>0.345</v>
      </c>
      <c r="P20" s="117">
        <v>0.175</v>
      </c>
      <c r="Q20" s="117">
        <v>0.17</v>
      </c>
      <c r="R20" s="117"/>
      <c r="S20" s="148">
        <v>0.06</v>
      </c>
      <c r="T20" s="117"/>
      <c r="U20" s="148">
        <v>0.11</v>
      </c>
      <c r="V20" s="148"/>
      <c r="W20" s="148">
        <v>0.29</v>
      </c>
      <c r="X20" s="117"/>
      <c r="Y20" s="148">
        <v>0.33</v>
      </c>
      <c r="Z20" s="148"/>
      <c r="AA20" s="148">
        <v>0.11</v>
      </c>
      <c r="AB20" s="148"/>
      <c r="AC20" s="116">
        <f t="shared" si="3"/>
        <v>0.6949999999999994</v>
      </c>
      <c r="AD20" s="116"/>
      <c r="AE20" s="325">
        <v>7.81</v>
      </c>
      <c r="AF20" s="326"/>
      <c r="AG20" s="85"/>
      <c r="AH20" s="85"/>
      <c r="AI20" s="85"/>
      <c r="AJ20" s="85"/>
      <c r="AK20" s="89"/>
      <c r="AL20" s="90"/>
      <c r="AM20" s="90"/>
      <c r="AN20" s="79"/>
    </row>
    <row r="21" spans="1:40" ht="9.75" customHeight="1">
      <c r="A21" s="84">
        <v>1983</v>
      </c>
      <c r="B21" s="81"/>
      <c r="C21" s="116">
        <v>2.35</v>
      </c>
      <c r="D21" s="116"/>
      <c r="E21" s="116">
        <v>1.6</v>
      </c>
      <c r="F21" s="116"/>
      <c r="G21" s="116">
        <v>0.45</v>
      </c>
      <c r="H21" s="116"/>
      <c r="I21" s="116">
        <v>0.52</v>
      </c>
      <c r="J21" s="148" t="s">
        <v>222</v>
      </c>
      <c r="K21" s="148" t="s">
        <v>223</v>
      </c>
      <c r="L21" s="116"/>
      <c r="M21" s="116">
        <v>0.03</v>
      </c>
      <c r="N21" s="116"/>
      <c r="O21" s="117">
        <f t="shared" si="1"/>
        <v>0.279</v>
      </c>
      <c r="P21" s="117">
        <v>0.112</v>
      </c>
      <c r="Q21" s="117">
        <v>0.167</v>
      </c>
      <c r="R21" s="117"/>
      <c r="S21" s="148">
        <v>0.1</v>
      </c>
      <c r="T21" s="117"/>
      <c r="U21" s="148">
        <v>0.14</v>
      </c>
      <c r="V21" s="148"/>
      <c r="W21" s="148">
        <v>0.26</v>
      </c>
      <c r="X21" s="117"/>
      <c r="Y21" s="148">
        <v>0.14</v>
      </c>
      <c r="Z21" s="148"/>
      <c r="AA21" s="148">
        <v>0.14</v>
      </c>
      <c r="AB21" s="148"/>
      <c r="AC21" s="116">
        <f t="shared" si="3"/>
        <v>0.5610000000000017</v>
      </c>
      <c r="AD21" s="116"/>
      <c r="AE21" s="325">
        <v>6.57</v>
      </c>
      <c r="AF21" s="326"/>
      <c r="AG21" s="85"/>
      <c r="AH21" s="85"/>
      <c r="AI21" s="85"/>
      <c r="AJ21" s="85"/>
      <c r="AK21" s="89"/>
      <c r="AL21" s="90"/>
      <c r="AM21" s="90"/>
      <c r="AN21" s="79"/>
    </row>
    <row r="22" spans="1:40" ht="9.75" customHeight="1">
      <c r="A22" s="84">
        <v>1984</v>
      </c>
      <c r="B22" s="81"/>
      <c r="C22" s="116">
        <v>1.7</v>
      </c>
      <c r="D22" s="116"/>
      <c r="E22" s="116">
        <v>1.72</v>
      </c>
      <c r="F22" s="116"/>
      <c r="G22" s="116">
        <v>0.49</v>
      </c>
      <c r="H22" s="116"/>
      <c r="I22" s="116">
        <v>0.34</v>
      </c>
      <c r="J22" s="148" t="s">
        <v>222</v>
      </c>
      <c r="K22" s="148" t="s">
        <v>223</v>
      </c>
      <c r="L22" s="116"/>
      <c r="M22" s="116">
        <v>0.02</v>
      </c>
      <c r="N22" s="116"/>
      <c r="O22" s="117">
        <f t="shared" si="1"/>
        <v>0.307</v>
      </c>
      <c r="P22" s="117">
        <v>0.12</v>
      </c>
      <c r="Q22" s="117">
        <v>0.187</v>
      </c>
      <c r="R22" s="117"/>
      <c r="S22" s="148">
        <v>0.04</v>
      </c>
      <c r="T22" s="117"/>
      <c r="U22" s="148">
        <v>0.1</v>
      </c>
      <c r="V22" s="148"/>
      <c r="W22" s="148">
        <v>0.21</v>
      </c>
      <c r="X22" s="117"/>
      <c r="Y22" s="148">
        <v>0.05</v>
      </c>
      <c r="Z22" s="148"/>
      <c r="AA22" s="148">
        <v>0.07</v>
      </c>
      <c r="AB22" s="148"/>
      <c r="AC22" s="116">
        <f t="shared" si="3"/>
        <v>0.6530000000000005</v>
      </c>
      <c r="AD22" s="116"/>
      <c r="AE22" s="325">
        <v>5.7</v>
      </c>
      <c r="AF22" s="326"/>
      <c r="AG22" s="85"/>
      <c r="AH22" s="85"/>
      <c r="AI22" s="85"/>
      <c r="AJ22" s="85"/>
      <c r="AK22" s="89"/>
      <c r="AL22" s="90"/>
      <c r="AM22" s="90"/>
      <c r="AN22" s="79"/>
    </row>
    <row r="23" spans="1:40" ht="9.75" customHeight="1">
      <c r="A23" s="84">
        <v>1985</v>
      </c>
      <c r="B23" s="81"/>
      <c r="C23" s="116">
        <v>2.77</v>
      </c>
      <c r="D23" s="116"/>
      <c r="E23" s="116">
        <v>1.85</v>
      </c>
      <c r="F23" s="116"/>
      <c r="G23" s="116">
        <v>0.47</v>
      </c>
      <c r="H23" s="116"/>
      <c r="I23" s="116">
        <v>0.45</v>
      </c>
      <c r="J23" s="148" t="s">
        <v>222</v>
      </c>
      <c r="K23" s="148" t="s">
        <v>223</v>
      </c>
      <c r="L23" s="116"/>
      <c r="M23" s="116">
        <v>0.01</v>
      </c>
      <c r="N23" s="116"/>
      <c r="O23" s="117">
        <f t="shared" si="1"/>
        <v>0.366</v>
      </c>
      <c r="P23" s="117">
        <v>0.113</v>
      </c>
      <c r="Q23" s="117">
        <v>0.253</v>
      </c>
      <c r="R23" s="117"/>
      <c r="S23" s="148">
        <v>0.05</v>
      </c>
      <c r="T23" s="117"/>
      <c r="U23" s="148">
        <v>0.07</v>
      </c>
      <c r="V23" s="148"/>
      <c r="W23" s="148">
        <v>0.23</v>
      </c>
      <c r="X23" s="117"/>
      <c r="Y23" s="148">
        <v>0.1</v>
      </c>
      <c r="Z23" s="148"/>
      <c r="AA23" s="148">
        <v>0.07</v>
      </c>
      <c r="AB23" s="148"/>
      <c r="AC23" s="116">
        <f t="shared" si="3"/>
        <v>0.9039999999999999</v>
      </c>
      <c r="AD23" s="116"/>
      <c r="AE23" s="325">
        <v>7.34</v>
      </c>
      <c r="AF23" s="326"/>
      <c r="AG23" s="85"/>
      <c r="AH23" s="85"/>
      <c r="AI23" s="85"/>
      <c r="AJ23" s="85"/>
      <c r="AK23" s="89"/>
      <c r="AL23" s="90"/>
      <c r="AM23" s="90"/>
      <c r="AN23" s="79"/>
    </row>
    <row r="24" spans="1:40" ht="9.75" customHeight="1">
      <c r="A24" s="84">
        <v>1986</v>
      </c>
      <c r="B24" s="81"/>
      <c r="C24" s="116">
        <v>2.63</v>
      </c>
      <c r="D24" s="116"/>
      <c r="E24" s="116">
        <v>1.19</v>
      </c>
      <c r="F24" s="116"/>
      <c r="G24" s="116">
        <v>0.47</v>
      </c>
      <c r="H24" s="116"/>
      <c r="I24" s="116">
        <v>0.5</v>
      </c>
      <c r="J24" s="148" t="s">
        <v>222</v>
      </c>
      <c r="K24" s="148" t="s">
        <v>223</v>
      </c>
      <c r="L24" s="116"/>
      <c r="M24" s="116">
        <v>0.03</v>
      </c>
      <c r="N24" s="116"/>
      <c r="O24" s="117">
        <f t="shared" si="1"/>
        <v>0.348</v>
      </c>
      <c r="P24" s="117">
        <v>0.105</v>
      </c>
      <c r="Q24" s="117">
        <v>0.243</v>
      </c>
      <c r="R24" s="117"/>
      <c r="S24" s="148">
        <v>0.16</v>
      </c>
      <c r="T24" s="117"/>
      <c r="U24" s="148">
        <v>0.09</v>
      </c>
      <c r="V24" s="148"/>
      <c r="W24" s="148">
        <v>0.19</v>
      </c>
      <c r="X24" s="117"/>
      <c r="Y24" s="148">
        <v>0.3</v>
      </c>
      <c r="Z24" s="148"/>
      <c r="AA24" s="148">
        <v>0.1</v>
      </c>
      <c r="AB24" s="148"/>
      <c r="AC24" s="116">
        <f t="shared" si="3"/>
        <v>0.6719999999999997</v>
      </c>
      <c r="AD24" s="116"/>
      <c r="AE24" s="325">
        <v>6.68</v>
      </c>
      <c r="AF24" s="326"/>
      <c r="AG24" s="85"/>
      <c r="AH24" s="85"/>
      <c r="AI24" s="85"/>
      <c r="AJ24" s="85"/>
      <c r="AK24" s="89"/>
      <c r="AL24" s="90"/>
      <c r="AM24" s="90"/>
      <c r="AN24" s="79"/>
    </row>
    <row r="25" spans="1:40" ht="9.75" customHeight="1">
      <c r="A25" s="84">
        <v>1987</v>
      </c>
      <c r="B25" s="81"/>
      <c r="C25" s="116">
        <v>2.25</v>
      </c>
      <c r="D25" s="116"/>
      <c r="E25" s="116">
        <v>1.44</v>
      </c>
      <c r="F25" s="116"/>
      <c r="G25" s="116">
        <v>0.2</v>
      </c>
      <c r="H25" s="116"/>
      <c r="I25" s="116">
        <v>0.36</v>
      </c>
      <c r="J25" s="148" t="s">
        <v>222</v>
      </c>
      <c r="K25" s="148" t="s">
        <v>223</v>
      </c>
      <c r="L25" s="116"/>
      <c r="M25" s="116">
        <v>0.05</v>
      </c>
      <c r="N25" s="116"/>
      <c r="O25" s="117">
        <f t="shared" si="1"/>
        <v>0.179</v>
      </c>
      <c r="P25" s="117">
        <v>0.08</v>
      </c>
      <c r="Q25" s="117">
        <v>0.099</v>
      </c>
      <c r="R25" s="117"/>
      <c r="S25" s="148">
        <v>0.08</v>
      </c>
      <c r="T25" s="117"/>
      <c r="U25" s="148">
        <v>0.1</v>
      </c>
      <c r="V25" s="148"/>
      <c r="W25" s="148">
        <v>0.23</v>
      </c>
      <c r="X25" s="117"/>
      <c r="Y25" s="148">
        <v>0.18</v>
      </c>
      <c r="Z25" s="148"/>
      <c r="AA25" s="148">
        <v>0.06</v>
      </c>
      <c r="AB25" s="148"/>
      <c r="AC25" s="116">
        <f t="shared" si="3"/>
        <v>0.5110000000000001</v>
      </c>
      <c r="AD25" s="116"/>
      <c r="AE25" s="325">
        <v>5.64</v>
      </c>
      <c r="AF25" s="326"/>
      <c r="AG25" s="85"/>
      <c r="AH25" s="85"/>
      <c r="AI25" s="85"/>
      <c r="AJ25" s="85"/>
      <c r="AK25" s="89"/>
      <c r="AL25" s="90"/>
      <c r="AM25" s="90"/>
      <c r="AN25" s="79"/>
    </row>
    <row r="26" spans="1:40" ht="9.75" customHeight="1">
      <c r="A26" s="84">
        <v>1988</v>
      </c>
      <c r="B26" s="81"/>
      <c r="C26" s="116">
        <v>3.34</v>
      </c>
      <c r="D26" s="116"/>
      <c r="E26" s="116">
        <v>1.12</v>
      </c>
      <c r="F26" s="116"/>
      <c r="G26" s="116">
        <v>0.54</v>
      </c>
      <c r="H26" s="116"/>
      <c r="I26" s="116">
        <v>0.31</v>
      </c>
      <c r="J26" s="148" t="s">
        <v>222</v>
      </c>
      <c r="K26" s="148" t="s">
        <v>223</v>
      </c>
      <c r="L26" s="116"/>
      <c r="M26" s="116">
        <v>0.01</v>
      </c>
      <c r="N26" s="116"/>
      <c r="O26" s="117">
        <f t="shared" si="1"/>
        <v>0.197</v>
      </c>
      <c r="P26" s="117">
        <v>0.041</v>
      </c>
      <c r="Q26" s="117">
        <v>0.156</v>
      </c>
      <c r="R26" s="117"/>
      <c r="S26" s="148">
        <v>0.1</v>
      </c>
      <c r="T26" s="117"/>
      <c r="U26" s="148">
        <v>0.13</v>
      </c>
      <c r="V26" s="148"/>
      <c r="W26" s="148">
        <v>0.35</v>
      </c>
      <c r="X26" s="117"/>
      <c r="Y26" s="148">
        <v>0.2</v>
      </c>
      <c r="Z26" s="148"/>
      <c r="AA26" s="148">
        <v>0.05</v>
      </c>
      <c r="AB26" s="148"/>
      <c r="AC26" s="116">
        <f t="shared" si="3"/>
        <v>0.7430000000000012</v>
      </c>
      <c r="AD26" s="116"/>
      <c r="AE26" s="325">
        <v>7.09</v>
      </c>
      <c r="AF26" s="326"/>
      <c r="AG26" s="85"/>
      <c r="AH26" s="85"/>
      <c r="AI26" s="85"/>
      <c r="AJ26" s="85"/>
      <c r="AK26" s="89"/>
      <c r="AL26" s="90"/>
      <c r="AM26" s="90"/>
      <c r="AN26" s="79"/>
    </row>
    <row r="27" spans="1:40" ht="9.75" customHeight="1">
      <c r="A27" s="84">
        <v>1989</v>
      </c>
      <c r="B27" s="81"/>
      <c r="C27" s="116">
        <v>2.13</v>
      </c>
      <c r="D27" s="116"/>
      <c r="E27" s="116">
        <v>1.06</v>
      </c>
      <c r="F27" s="116"/>
      <c r="G27" s="116">
        <v>0.44</v>
      </c>
      <c r="H27" s="116"/>
      <c r="I27" s="116">
        <v>0.4</v>
      </c>
      <c r="J27" s="148" t="s">
        <v>222</v>
      </c>
      <c r="K27" s="148" t="s">
        <v>223</v>
      </c>
      <c r="L27" s="116"/>
      <c r="M27" s="116">
        <v>0.06</v>
      </c>
      <c r="N27" s="116"/>
      <c r="O27" s="117">
        <f t="shared" si="1"/>
        <v>0.297</v>
      </c>
      <c r="P27" s="117">
        <v>0.104</v>
      </c>
      <c r="Q27" s="117">
        <v>0.193</v>
      </c>
      <c r="R27" s="117"/>
      <c r="S27" s="148">
        <v>0.17</v>
      </c>
      <c r="T27" s="117"/>
      <c r="U27" s="148">
        <v>0.13</v>
      </c>
      <c r="V27" s="148"/>
      <c r="W27" s="148">
        <v>0.3</v>
      </c>
      <c r="X27" s="117"/>
      <c r="Y27" s="148">
        <v>0.07</v>
      </c>
      <c r="Z27" s="148"/>
      <c r="AA27" s="148">
        <v>0.05</v>
      </c>
      <c r="AB27" s="148"/>
      <c r="AC27" s="116">
        <f t="shared" si="3"/>
        <v>0.6930000000000005</v>
      </c>
      <c r="AD27" s="116"/>
      <c r="AE27" s="325">
        <v>5.8</v>
      </c>
      <c r="AF27" s="326"/>
      <c r="AG27" s="85"/>
      <c r="AH27" s="85"/>
      <c r="AI27" s="85"/>
      <c r="AJ27" s="85"/>
      <c r="AK27" s="89"/>
      <c r="AL27" s="90"/>
      <c r="AM27" s="90"/>
      <c r="AN27" s="79"/>
    </row>
    <row r="28" spans="1:40" ht="3" customHeight="1">
      <c r="A28" s="84"/>
      <c r="B28" s="81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6"/>
      <c r="AD28" s="116"/>
      <c r="AE28" s="325"/>
      <c r="AF28" s="326"/>
      <c r="AG28" s="85"/>
      <c r="AH28" s="85"/>
      <c r="AI28" s="85"/>
      <c r="AJ28" s="85"/>
      <c r="AK28" s="89"/>
      <c r="AL28" s="90"/>
      <c r="AM28" s="90"/>
      <c r="AN28" s="79"/>
    </row>
    <row r="29" spans="1:40" ht="9.75" customHeight="1">
      <c r="A29" s="84">
        <v>1990</v>
      </c>
      <c r="B29" s="81"/>
      <c r="C29" s="116">
        <v>3.08</v>
      </c>
      <c r="D29" s="116"/>
      <c r="E29" s="116">
        <v>1.26</v>
      </c>
      <c r="F29" s="116"/>
      <c r="G29" s="116">
        <v>0.36</v>
      </c>
      <c r="H29" s="116"/>
      <c r="I29" s="116">
        <f aca="true" t="shared" si="4" ref="I29:I38">J29+K29</f>
        <v>0.59</v>
      </c>
      <c r="J29" s="116">
        <v>0.18</v>
      </c>
      <c r="K29" s="116">
        <v>0.41</v>
      </c>
      <c r="L29" s="116"/>
      <c r="M29" s="116">
        <v>0.1</v>
      </c>
      <c r="N29" s="116"/>
      <c r="O29" s="117">
        <f aca="true" t="shared" si="5" ref="O29:O38">P29+Q29</f>
        <v>0.22799999999999998</v>
      </c>
      <c r="P29" s="117">
        <v>0.082</v>
      </c>
      <c r="Q29" s="117">
        <v>0.146</v>
      </c>
      <c r="R29" s="117"/>
      <c r="S29" s="117">
        <v>0.12</v>
      </c>
      <c r="T29" s="117"/>
      <c r="U29" s="117">
        <v>0.1</v>
      </c>
      <c r="V29" s="117"/>
      <c r="W29" s="117">
        <v>0.27</v>
      </c>
      <c r="X29" s="117"/>
      <c r="Y29" s="117">
        <v>0.26</v>
      </c>
      <c r="Z29" s="117"/>
      <c r="AA29" s="117">
        <v>0.08</v>
      </c>
      <c r="AB29" s="117"/>
      <c r="AC29" s="116">
        <f aca="true" t="shared" si="6" ref="AC29:AC38">AE29-(C29+E29+G29+I29+M29+O29+S29+U29+W29+Y29+AA29)</f>
        <v>0.4820000000000011</v>
      </c>
      <c r="AD29" s="116"/>
      <c r="AE29" s="325">
        <v>6.93</v>
      </c>
      <c r="AF29" s="326"/>
      <c r="AG29" s="85"/>
      <c r="AH29" s="85"/>
      <c r="AI29" s="85"/>
      <c r="AJ29" s="85"/>
      <c r="AK29" s="89"/>
      <c r="AL29" s="90"/>
      <c r="AM29" s="90"/>
      <c r="AN29" s="79"/>
    </row>
    <row r="30" spans="1:40" ht="9.75" customHeight="1">
      <c r="A30" s="84">
        <v>1991</v>
      </c>
      <c r="B30" s="81"/>
      <c r="C30" s="116">
        <v>3.28</v>
      </c>
      <c r="D30" s="116"/>
      <c r="E30" s="116">
        <v>1.47</v>
      </c>
      <c r="F30" s="116"/>
      <c r="G30" s="116">
        <v>0.5</v>
      </c>
      <c r="H30" s="116"/>
      <c r="I30" s="116">
        <f t="shared" si="4"/>
        <v>0.52</v>
      </c>
      <c r="J30" s="116">
        <v>0.13</v>
      </c>
      <c r="K30" s="116">
        <v>0.39</v>
      </c>
      <c r="L30" s="116"/>
      <c r="M30" s="116">
        <v>0.15</v>
      </c>
      <c r="N30" s="116"/>
      <c r="O30" s="117">
        <f t="shared" si="5"/>
        <v>0.249</v>
      </c>
      <c r="P30" s="117">
        <v>0.104</v>
      </c>
      <c r="Q30" s="117">
        <v>0.145</v>
      </c>
      <c r="R30" s="117"/>
      <c r="S30" s="117">
        <v>0.17</v>
      </c>
      <c r="T30" s="117"/>
      <c r="U30" s="117">
        <v>0.11</v>
      </c>
      <c r="V30" s="117"/>
      <c r="W30" s="117">
        <v>0.28</v>
      </c>
      <c r="X30" s="117"/>
      <c r="Y30" s="117">
        <v>0.22</v>
      </c>
      <c r="Z30" s="117"/>
      <c r="AA30" s="117">
        <v>0.12</v>
      </c>
      <c r="AB30" s="117"/>
      <c r="AC30" s="116">
        <f t="shared" si="6"/>
        <v>0.43100000000000005</v>
      </c>
      <c r="AD30" s="116"/>
      <c r="AE30" s="325">
        <v>7.5</v>
      </c>
      <c r="AF30" s="326"/>
      <c r="AG30" s="85"/>
      <c r="AH30" s="85"/>
      <c r="AI30" s="85"/>
      <c r="AJ30" s="85"/>
      <c r="AK30" s="89"/>
      <c r="AL30" s="79"/>
      <c r="AM30" s="79"/>
      <c r="AN30" s="79"/>
    </row>
    <row r="31" spans="1:40" ht="9.75" customHeight="1">
      <c r="A31" s="84">
        <v>1992</v>
      </c>
      <c r="B31" s="81"/>
      <c r="C31" s="116">
        <v>3.79</v>
      </c>
      <c r="D31" s="116"/>
      <c r="E31" s="116">
        <v>1.54</v>
      </c>
      <c r="F31" s="116"/>
      <c r="G31" s="116">
        <v>0.49</v>
      </c>
      <c r="H31" s="116"/>
      <c r="I31" s="116">
        <f t="shared" si="4"/>
        <v>0.56</v>
      </c>
      <c r="J31" s="116">
        <v>0.14</v>
      </c>
      <c r="K31" s="116">
        <v>0.42</v>
      </c>
      <c r="L31" s="116"/>
      <c r="M31" s="116">
        <v>0.14</v>
      </c>
      <c r="N31" s="116"/>
      <c r="O31" s="117">
        <f t="shared" si="5"/>
        <v>0.22</v>
      </c>
      <c r="P31" s="117">
        <v>0.066</v>
      </c>
      <c r="Q31" s="117">
        <v>0.154</v>
      </c>
      <c r="R31" s="117"/>
      <c r="S31" s="117">
        <v>0.04</v>
      </c>
      <c r="T31" s="117"/>
      <c r="U31" s="117">
        <v>0.1</v>
      </c>
      <c r="V31" s="117"/>
      <c r="W31" s="117">
        <v>0.29</v>
      </c>
      <c r="X31" s="117"/>
      <c r="Y31" s="117">
        <v>0.16</v>
      </c>
      <c r="Z31" s="117"/>
      <c r="AA31" s="117">
        <v>0.17</v>
      </c>
      <c r="AB31" s="117"/>
      <c r="AC31" s="116">
        <f t="shared" si="6"/>
        <v>0.3899999999999997</v>
      </c>
      <c r="AD31" s="116"/>
      <c r="AE31" s="325">
        <v>7.89</v>
      </c>
      <c r="AF31" s="314"/>
      <c r="AG31" s="85"/>
      <c r="AH31" s="78"/>
      <c r="AI31" s="78"/>
      <c r="AJ31" s="78"/>
      <c r="AK31" s="79"/>
      <c r="AL31" s="79"/>
      <c r="AM31" s="79"/>
      <c r="AN31" s="79"/>
    </row>
    <row r="32" spans="1:40" ht="9.75" customHeight="1">
      <c r="A32" s="84">
        <v>1993</v>
      </c>
      <c r="B32" s="81"/>
      <c r="C32" s="116">
        <v>3.55</v>
      </c>
      <c r="D32" s="116"/>
      <c r="E32" s="116">
        <v>1.2</v>
      </c>
      <c r="F32" s="116"/>
      <c r="G32" s="116">
        <v>0.42</v>
      </c>
      <c r="H32" s="116"/>
      <c r="I32" s="116">
        <f t="shared" si="4"/>
        <v>0.5900000000000001</v>
      </c>
      <c r="J32" s="116">
        <v>0.13</v>
      </c>
      <c r="K32" s="116">
        <v>0.46</v>
      </c>
      <c r="L32" s="116"/>
      <c r="M32" s="116">
        <v>0.21</v>
      </c>
      <c r="N32" s="116"/>
      <c r="O32" s="117">
        <f t="shared" si="5"/>
        <v>0.226</v>
      </c>
      <c r="P32" s="117">
        <v>0.069</v>
      </c>
      <c r="Q32" s="117">
        <v>0.157</v>
      </c>
      <c r="R32" s="117"/>
      <c r="S32" s="117">
        <v>0.19</v>
      </c>
      <c r="T32" s="117"/>
      <c r="U32" s="117">
        <v>0.18</v>
      </c>
      <c r="V32" s="117"/>
      <c r="W32" s="117">
        <v>0.24</v>
      </c>
      <c r="X32" s="117"/>
      <c r="Y32" s="117">
        <v>0.18</v>
      </c>
      <c r="Z32" s="117"/>
      <c r="AA32" s="117">
        <v>0.14</v>
      </c>
      <c r="AB32" s="117"/>
      <c r="AC32" s="116">
        <f t="shared" si="6"/>
        <v>0.30400000000000027</v>
      </c>
      <c r="AD32" s="116"/>
      <c r="AE32" s="325">
        <v>7.43</v>
      </c>
      <c r="AF32" s="326"/>
      <c r="AG32" s="85"/>
      <c r="AH32" s="85"/>
      <c r="AI32" s="85"/>
      <c r="AJ32" s="85"/>
      <c r="AK32" s="89"/>
      <c r="AL32" s="79"/>
      <c r="AM32" s="79"/>
      <c r="AN32" s="79"/>
    </row>
    <row r="33" spans="1:40" ht="9.75" customHeight="1">
      <c r="A33" s="91" t="s">
        <v>109</v>
      </c>
      <c r="B33" s="81"/>
      <c r="C33" s="116">
        <v>3.31</v>
      </c>
      <c r="D33" s="116"/>
      <c r="E33" s="116">
        <v>1.84</v>
      </c>
      <c r="F33" s="116"/>
      <c r="G33" s="116">
        <v>0.35</v>
      </c>
      <c r="H33" s="116"/>
      <c r="I33" s="116">
        <f t="shared" si="4"/>
        <v>0.61</v>
      </c>
      <c r="J33" s="116">
        <v>0.2</v>
      </c>
      <c r="K33" s="116">
        <v>0.41</v>
      </c>
      <c r="L33" s="116"/>
      <c r="M33" s="116">
        <v>0.3</v>
      </c>
      <c r="N33" s="116"/>
      <c r="O33" s="117">
        <f t="shared" si="5"/>
        <v>0.194</v>
      </c>
      <c r="P33" s="117">
        <v>0.058</v>
      </c>
      <c r="Q33" s="117">
        <v>0.136</v>
      </c>
      <c r="R33" s="117"/>
      <c r="S33" s="117">
        <v>0.12</v>
      </c>
      <c r="T33" s="117"/>
      <c r="U33" s="117">
        <v>0.16</v>
      </c>
      <c r="V33" s="117"/>
      <c r="W33" s="117">
        <v>0.28</v>
      </c>
      <c r="X33" s="117"/>
      <c r="Y33" s="117">
        <v>0.21</v>
      </c>
      <c r="Z33" s="117"/>
      <c r="AA33" s="117">
        <v>0.18</v>
      </c>
      <c r="AB33" s="117"/>
      <c r="AC33" s="116">
        <f t="shared" si="6"/>
        <v>0.3259999999999996</v>
      </c>
      <c r="AD33" s="116"/>
      <c r="AE33" s="325">
        <v>7.88</v>
      </c>
      <c r="AF33" s="326"/>
      <c r="AG33" s="85"/>
      <c r="AH33" s="85"/>
      <c r="AI33" s="85"/>
      <c r="AJ33" s="85"/>
      <c r="AK33" s="89"/>
      <c r="AL33" s="79"/>
      <c r="AM33" s="79"/>
      <c r="AN33" s="79"/>
    </row>
    <row r="34" spans="1:40" ht="9.75" customHeight="1">
      <c r="A34" s="92">
        <v>1995</v>
      </c>
      <c r="B34" s="81"/>
      <c r="C34" s="116">
        <v>3.22</v>
      </c>
      <c r="D34" s="116"/>
      <c r="E34" s="116">
        <v>1.65</v>
      </c>
      <c r="F34" s="116"/>
      <c r="G34" s="116">
        <v>0.36</v>
      </c>
      <c r="H34" s="116"/>
      <c r="I34" s="116">
        <f t="shared" si="4"/>
        <v>0.54</v>
      </c>
      <c r="J34" s="116">
        <v>0.14</v>
      </c>
      <c r="K34" s="116">
        <v>0.4</v>
      </c>
      <c r="L34" s="116"/>
      <c r="M34" s="116">
        <v>0.43</v>
      </c>
      <c r="N34" s="116"/>
      <c r="O34" s="117">
        <f t="shared" si="5"/>
        <v>0.23700000000000002</v>
      </c>
      <c r="P34" s="117">
        <v>0.097</v>
      </c>
      <c r="Q34" s="117">
        <v>0.14</v>
      </c>
      <c r="R34" s="117"/>
      <c r="S34" s="117">
        <v>0.14</v>
      </c>
      <c r="T34" s="117"/>
      <c r="U34" s="117">
        <v>0.13</v>
      </c>
      <c r="V34" s="117"/>
      <c r="W34" s="117">
        <v>0.26</v>
      </c>
      <c r="X34" s="117"/>
      <c r="Y34" s="117">
        <v>0.18</v>
      </c>
      <c r="Z34" s="117"/>
      <c r="AA34" s="117">
        <v>0.13</v>
      </c>
      <c r="AB34" s="117"/>
      <c r="AC34" s="116">
        <f t="shared" si="6"/>
        <v>0.28300000000000036</v>
      </c>
      <c r="AD34" s="116"/>
      <c r="AE34" s="325">
        <v>7.56</v>
      </c>
      <c r="AF34" s="326"/>
      <c r="AG34" s="85"/>
      <c r="AH34" s="85"/>
      <c r="AI34" s="85"/>
      <c r="AJ34" s="85"/>
      <c r="AK34" s="89"/>
      <c r="AL34" s="79"/>
      <c r="AM34" s="79"/>
      <c r="AN34" s="79"/>
    </row>
    <row r="35" spans="1:40" ht="9.75" customHeight="1">
      <c r="A35" s="93" t="s">
        <v>110</v>
      </c>
      <c r="B35" s="81"/>
      <c r="C35" s="116">
        <v>3.4</v>
      </c>
      <c r="D35" s="116"/>
      <c r="E35" s="116">
        <v>1.27</v>
      </c>
      <c r="F35" s="116"/>
      <c r="G35" s="116">
        <v>0.54</v>
      </c>
      <c r="H35" s="116"/>
      <c r="I35" s="116">
        <f t="shared" si="4"/>
        <v>0.55</v>
      </c>
      <c r="J35" s="116">
        <v>0.19</v>
      </c>
      <c r="K35" s="116">
        <v>0.36</v>
      </c>
      <c r="L35" s="116"/>
      <c r="M35" s="116">
        <v>0.36</v>
      </c>
      <c r="N35" s="116"/>
      <c r="O35" s="117">
        <f t="shared" si="5"/>
        <v>0.199</v>
      </c>
      <c r="P35" s="117">
        <v>0.07</v>
      </c>
      <c r="Q35" s="117">
        <v>0.129</v>
      </c>
      <c r="R35" s="117"/>
      <c r="S35" s="117">
        <v>0.17</v>
      </c>
      <c r="T35" s="117"/>
      <c r="U35" s="117">
        <v>0.26</v>
      </c>
      <c r="V35" s="117"/>
      <c r="W35" s="117">
        <v>0.26</v>
      </c>
      <c r="X35" s="117"/>
      <c r="Y35" s="117">
        <v>0.15</v>
      </c>
      <c r="Z35" s="117"/>
      <c r="AA35" s="117">
        <v>0.17</v>
      </c>
      <c r="AB35" s="117"/>
      <c r="AC35" s="116">
        <f t="shared" si="6"/>
        <v>0.13100000000000023</v>
      </c>
      <c r="AD35" s="116"/>
      <c r="AE35" s="325">
        <v>7.46</v>
      </c>
      <c r="AF35" s="326"/>
      <c r="AG35" s="85"/>
      <c r="AH35" s="85"/>
      <c r="AI35" s="85"/>
      <c r="AJ35" s="85"/>
      <c r="AK35" s="89"/>
      <c r="AL35" s="79"/>
      <c r="AM35" s="79"/>
      <c r="AN35" s="79"/>
    </row>
    <row r="36" spans="1:40" ht="9.75" customHeight="1">
      <c r="A36" s="93" t="s">
        <v>115</v>
      </c>
      <c r="B36" s="81"/>
      <c r="C36" s="116">
        <v>3.47</v>
      </c>
      <c r="D36" s="116"/>
      <c r="E36" s="116">
        <v>1.37</v>
      </c>
      <c r="F36" s="116"/>
      <c r="G36" s="116">
        <v>0.4</v>
      </c>
      <c r="H36" s="116"/>
      <c r="I36" s="116">
        <f t="shared" si="4"/>
        <v>0.55</v>
      </c>
      <c r="J36" s="116">
        <v>0.13</v>
      </c>
      <c r="K36" s="116">
        <v>0.42</v>
      </c>
      <c r="L36" s="116"/>
      <c r="M36" s="116">
        <v>0.34</v>
      </c>
      <c r="N36" s="116"/>
      <c r="O36" s="117">
        <f t="shared" si="5"/>
        <v>0.20900000000000002</v>
      </c>
      <c r="P36" s="117">
        <v>0.076</v>
      </c>
      <c r="Q36" s="117">
        <v>0.133</v>
      </c>
      <c r="R36" s="117"/>
      <c r="S36" s="117">
        <v>0.14</v>
      </c>
      <c r="T36" s="117"/>
      <c r="U36" s="117">
        <v>0.24</v>
      </c>
      <c r="V36" s="117"/>
      <c r="W36" s="117">
        <v>0.24</v>
      </c>
      <c r="X36" s="117"/>
      <c r="Y36" s="117">
        <v>0.2</v>
      </c>
      <c r="Z36" s="117"/>
      <c r="AA36" s="117">
        <v>0.17</v>
      </c>
      <c r="AB36" s="117"/>
      <c r="AC36" s="116">
        <f t="shared" si="6"/>
        <v>0.020999999999999908</v>
      </c>
      <c r="AD36" s="116"/>
      <c r="AE36" s="325">
        <v>7.35</v>
      </c>
      <c r="AF36" s="326"/>
      <c r="AG36" s="85"/>
      <c r="AH36" s="85"/>
      <c r="AI36" s="85"/>
      <c r="AJ36" s="85"/>
      <c r="AK36" s="89"/>
      <c r="AL36" s="79"/>
      <c r="AM36" s="79"/>
      <c r="AN36" s="79"/>
    </row>
    <row r="37" spans="1:40" ht="9.75" customHeight="1">
      <c r="A37" s="93" t="s">
        <v>114</v>
      </c>
      <c r="B37" s="81"/>
      <c r="C37" s="116">
        <v>3.44</v>
      </c>
      <c r="D37" s="116"/>
      <c r="E37" s="116">
        <v>1.11</v>
      </c>
      <c r="F37" s="116"/>
      <c r="G37" s="116">
        <v>0.35</v>
      </c>
      <c r="H37" s="116"/>
      <c r="I37" s="116">
        <f t="shared" si="4"/>
        <v>0.61</v>
      </c>
      <c r="J37" s="116">
        <v>0.18</v>
      </c>
      <c r="K37" s="116">
        <v>0.43</v>
      </c>
      <c r="L37" s="116"/>
      <c r="M37" s="116">
        <v>0.53</v>
      </c>
      <c r="N37" s="116"/>
      <c r="O37" s="117">
        <f t="shared" si="5"/>
        <v>0.214</v>
      </c>
      <c r="P37" s="117">
        <v>0.128</v>
      </c>
      <c r="Q37" s="117">
        <v>0.086</v>
      </c>
      <c r="R37" s="117"/>
      <c r="S37" s="117">
        <v>0.21</v>
      </c>
      <c r="T37" s="117"/>
      <c r="U37" s="117">
        <v>0.16</v>
      </c>
      <c r="V37" s="117"/>
      <c r="W37" s="117">
        <v>0.22</v>
      </c>
      <c r="X37" s="117"/>
      <c r="Y37" s="117">
        <v>0.21</v>
      </c>
      <c r="Z37" s="117"/>
      <c r="AA37" s="117">
        <v>0.15</v>
      </c>
      <c r="AB37" s="117"/>
      <c r="AC37" s="116">
        <f t="shared" si="6"/>
        <v>0.06599999999999895</v>
      </c>
      <c r="AD37" s="116"/>
      <c r="AE37" s="325">
        <v>7.27</v>
      </c>
      <c r="AF37" s="326"/>
      <c r="AG37" s="85"/>
      <c r="AH37" s="85"/>
      <c r="AI37" s="85"/>
      <c r="AJ37" s="85"/>
      <c r="AK37" s="89"/>
      <c r="AL37" s="79"/>
      <c r="AM37" s="79"/>
      <c r="AN37" s="79"/>
    </row>
    <row r="38" spans="1:40" ht="9.75" customHeight="1">
      <c r="A38" s="93" t="s">
        <v>113</v>
      </c>
      <c r="B38" s="81"/>
      <c r="C38" s="116">
        <v>3.46</v>
      </c>
      <c r="D38" s="116"/>
      <c r="E38" s="116">
        <v>1.22</v>
      </c>
      <c r="F38" s="116"/>
      <c r="G38" s="116">
        <v>0.53</v>
      </c>
      <c r="H38" s="116"/>
      <c r="I38" s="116">
        <f t="shared" si="4"/>
        <v>0.59</v>
      </c>
      <c r="J38" s="116">
        <v>0.17</v>
      </c>
      <c r="K38" s="116">
        <v>0.42</v>
      </c>
      <c r="L38" s="116"/>
      <c r="M38" s="116">
        <v>0.62</v>
      </c>
      <c r="N38" s="116"/>
      <c r="O38" s="117">
        <f t="shared" si="5"/>
        <v>0.20900000000000002</v>
      </c>
      <c r="P38" s="117">
        <v>0.082</v>
      </c>
      <c r="Q38" s="117">
        <v>0.127</v>
      </c>
      <c r="R38" s="117"/>
      <c r="S38" s="117">
        <v>0.22</v>
      </c>
      <c r="T38" s="117"/>
      <c r="U38" s="117">
        <v>0.16</v>
      </c>
      <c r="V38" s="117"/>
      <c r="W38" s="117">
        <v>0.25</v>
      </c>
      <c r="X38" s="117"/>
      <c r="Y38" s="117">
        <v>0.28</v>
      </c>
      <c r="Z38" s="117"/>
      <c r="AA38" s="117">
        <v>0.17</v>
      </c>
      <c r="AB38" s="117"/>
      <c r="AC38" s="116">
        <f t="shared" si="6"/>
        <v>0.07100000000000062</v>
      </c>
      <c r="AD38" s="116"/>
      <c r="AE38" s="325">
        <v>7.78</v>
      </c>
      <c r="AF38" s="326"/>
      <c r="AG38" s="85"/>
      <c r="AH38" s="85"/>
      <c r="AI38" s="85"/>
      <c r="AJ38" s="85"/>
      <c r="AK38" s="89"/>
      <c r="AL38" s="79"/>
      <c r="AM38" s="79"/>
      <c r="AN38" s="79"/>
    </row>
    <row r="39" spans="1:40" ht="3" customHeight="1">
      <c r="A39" s="93"/>
      <c r="B39" s="81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6"/>
      <c r="AD39" s="116"/>
      <c r="AE39" s="325"/>
      <c r="AF39" s="326"/>
      <c r="AG39" s="85"/>
      <c r="AH39" s="85"/>
      <c r="AI39" s="85"/>
      <c r="AJ39" s="85"/>
      <c r="AK39" s="89"/>
      <c r="AL39" s="79"/>
      <c r="AM39" s="79"/>
      <c r="AN39" s="79"/>
    </row>
    <row r="40" spans="1:40" ht="9.75" customHeight="1">
      <c r="A40" s="94" t="s">
        <v>226</v>
      </c>
      <c r="B40" s="81"/>
      <c r="C40" s="116">
        <v>3.47</v>
      </c>
      <c r="D40" s="116"/>
      <c r="E40" s="116">
        <v>1.16</v>
      </c>
      <c r="F40" s="116"/>
      <c r="G40" s="116">
        <v>0.47</v>
      </c>
      <c r="H40" s="116"/>
      <c r="I40" s="116">
        <f aca="true" t="shared" si="7" ref="I40:I49">J40+K40</f>
        <v>0.49</v>
      </c>
      <c r="J40" s="116">
        <v>0.18</v>
      </c>
      <c r="K40" s="116">
        <v>0.31</v>
      </c>
      <c r="L40" s="116"/>
      <c r="M40" s="116">
        <v>0.57</v>
      </c>
      <c r="N40" s="116"/>
      <c r="O40" s="117">
        <f aca="true" t="shared" si="8" ref="O40:O49">P40+Q40</f>
        <v>0.178</v>
      </c>
      <c r="P40" s="117">
        <v>0.074</v>
      </c>
      <c r="Q40" s="117">
        <v>0.104</v>
      </c>
      <c r="R40" s="117"/>
      <c r="S40" s="117">
        <v>0.13</v>
      </c>
      <c r="T40" s="117"/>
      <c r="U40" s="117">
        <v>0.41</v>
      </c>
      <c r="V40" s="117"/>
      <c r="W40" s="117">
        <v>0.22</v>
      </c>
      <c r="X40" s="117"/>
      <c r="Y40" s="117">
        <v>0.15</v>
      </c>
      <c r="Z40" s="117"/>
      <c r="AA40" s="117">
        <v>0.14</v>
      </c>
      <c r="AB40" s="117"/>
      <c r="AC40" s="116">
        <f aca="true" t="shared" si="9" ref="AC40:AC49">AE40-(C40+E40+G40+I40+M40+O40+S40+U40+W40+Y40+AA40)</f>
        <v>0.2519999999999998</v>
      </c>
      <c r="AD40" s="116"/>
      <c r="AE40" s="325">
        <v>7.64</v>
      </c>
      <c r="AF40" s="326"/>
      <c r="AG40" s="85"/>
      <c r="AH40" s="85"/>
      <c r="AI40" s="85"/>
      <c r="AJ40" s="85"/>
      <c r="AK40" s="89"/>
      <c r="AL40" s="79"/>
      <c r="AM40" s="79"/>
      <c r="AN40" s="79"/>
    </row>
    <row r="41" spans="1:40" ht="9.75" customHeight="1">
      <c r="A41" s="94" t="s">
        <v>168</v>
      </c>
      <c r="B41" s="81"/>
      <c r="C41" s="116">
        <v>3.23</v>
      </c>
      <c r="D41" s="116"/>
      <c r="E41" s="116">
        <v>1</v>
      </c>
      <c r="F41" s="116"/>
      <c r="G41" s="116">
        <v>0.45</v>
      </c>
      <c r="H41" s="116"/>
      <c r="I41" s="116">
        <f t="shared" si="7"/>
        <v>0.53</v>
      </c>
      <c r="J41" s="116">
        <v>0.22</v>
      </c>
      <c r="K41" s="116">
        <v>0.31</v>
      </c>
      <c r="L41" s="116"/>
      <c r="M41" s="116">
        <v>0.49</v>
      </c>
      <c r="N41" s="116"/>
      <c r="O41" s="117">
        <f t="shared" si="8"/>
        <v>0.215</v>
      </c>
      <c r="P41" s="117">
        <v>0.102</v>
      </c>
      <c r="Q41" s="117">
        <v>0.113</v>
      </c>
      <c r="R41" s="117"/>
      <c r="S41" s="117">
        <v>0.12</v>
      </c>
      <c r="T41" s="117"/>
      <c r="U41" s="117">
        <v>0.36</v>
      </c>
      <c r="V41" s="117"/>
      <c r="W41" s="117">
        <v>0.22</v>
      </c>
      <c r="X41" s="117"/>
      <c r="Y41" s="117">
        <v>0.09</v>
      </c>
      <c r="Z41" s="117"/>
      <c r="AA41" s="117">
        <v>0.04</v>
      </c>
      <c r="AB41" s="117"/>
      <c r="AC41" s="116">
        <f t="shared" si="9"/>
        <v>0.1949999999999994</v>
      </c>
      <c r="AD41" s="116"/>
      <c r="AE41" s="325">
        <v>6.94</v>
      </c>
      <c r="AF41" s="326"/>
      <c r="AG41" s="85"/>
      <c r="AH41" s="85"/>
      <c r="AI41" s="85"/>
      <c r="AJ41" s="85"/>
      <c r="AK41" s="89"/>
      <c r="AL41" s="79"/>
      <c r="AM41" s="79"/>
      <c r="AN41" s="79"/>
    </row>
    <row r="42" spans="1:40" ht="9.75" customHeight="1">
      <c r="A42" s="94" t="s">
        <v>213</v>
      </c>
      <c r="B42" s="81"/>
      <c r="C42" s="116">
        <v>3.24</v>
      </c>
      <c r="D42" s="116"/>
      <c r="E42" s="116">
        <v>0.9</v>
      </c>
      <c r="F42" s="116"/>
      <c r="G42" s="116">
        <v>0.36</v>
      </c>
      <c r="H42" s="116"/>
      <c r="I42" s="116">
        <f t="shared" si="7"/>
        <v>0.49</v>
      </c>
      <c r="J42" s="116">
        <v>0.26</v>
      </c>
      <c r="K42" s="116">
        <v>0.23</v>
      </c>
      <c r="L42" s="116"/>
      <c r="M42" s="116">
        <v>0.46</v>
      </c>
      <c r="N42" s="116"/>
      <c r="O42" s="117">
        <f t="shared" si="8"/>
        <v>0.14300000000000002</v>
      </c>
      <c r="P42" s="117">
        <v>0.066</v>
      </c>
      <c r="Q42" s="117">
        <v>0.077</v>
      </c>
      <c r="R42" s="117"/>
      <c r="S42" s="117">
        <v>0.09</v>
      </c>
      <c r="T42" s="117"/>
      <c r="U42" s="117">
        <v>0.28</v>
      </c>
      <c r="V42" s="117"/>
      <c r="W42" s="117">
        <v>0.18</v>
      </c>
      <c r="X42" s="117"/>
      <c r="Y42" s="117">
        <v>0.12</v>
      </c>
      <c r="Z42" s="117"/>
      <c r="AA42" s="117">
        <v>0.07</v>
      </c>
      <c r="AB42" s="117"/>
      <c r="AC42" s="116">
        <f t="shared" si="9"/>
        <v>0.4169999999999989</v>
      </c>
      <c r="AD42" s="116"/>
      <c r="AE42" s="325">
        <v>6.75</v>
      </c>
      <c r="AF42" s="326"/>
      <c r="AG42" s="85"/>
      <c r="AH42" s="85"/>
      <c r="AI42" s="85"/>
      <c r="AJ42" s="85"/>
      <c r="AK42" s="89"/>
      <c r="AL42" s="79"/>
      <c r="AM42" s="79"/>
      <c r="AN42" s="79"/>
    </row>
    <row r="43" spans="1:40" ht="9.75" customHeight="1">
      <c r="A43" s="94" t="s">
        <v>227</v>
      </c>
      <c r="B43" s="81"/>
      <c r="C43" s="116">
        <v>3.05</v>
      </c>
      <c r="D43" s="116"/>
      <c r="E43" s="116">
        <v>0.85</v>
      </c>
      <c r="F43" s="116"/>
      <c r="G43" s="116">
        <v>0.42</v>
      </c>
      <c r="H43" s="116"/>
      <c r="I43" s="116">
        <f t="shared" si="7"/>
        <v>0.5900000000000001</v>
      </c>
      <c r="J43" s="116">
        <v>0.25</v>
      </c>
      <c r="K43" s="116">
        <v>0.34</v>
      </c>
      <c r="L43" s="116"/>
      <c r="M43" s="116">
        <v>0.46</v>
      </c>
      <c r="N43" s="116"/>
      <c r="O43" s="117">
        <f t="shared" si="8"/>
        <v>0.151</v>
      </c>
      <c r="P43" s="117">
        <v>0.064</v>
      </c>
      <c r="Q43" s="117">
        <v>0.087</v>
      </c>
      <c r="R43" s="117"/>
      <c r="S43" s="117">
        <v>0.17</v>
      </c>
      <c r="T43" s="117"/>
      <c r="U43" s="117">
        <v>0.17</v>
      </c>
      <c r="V43" s="117"/>
      <c r="W43" s="117">
        <v>0.23</v>
      </c>
      <c r="X43" s="117"/>
      <c r="Y43" s="117">
        <v>0.22</v>
      </c>
      <c r="Z43" s="117"/>
      <c r="AA43" s="117">
        <v>0.05</v>
      </c>
      <c r="AB43" s="117"/>
      <c r="AC43" s="116">
        <f t="shared" si="9"/>
        <v>0.2890000000000006</v>
      </c>
      <c r="AD43" s="116"/>
      <c r="AE43" s="325">
        <v>6.65</v>
      </c>
      <c r="AF43" s="326"/>
      <c r="AG43" s="85"/>
      <c r="AH43" s="85"/>
      <c r="AI43" s="85"/>
      <c r="AJ43" s="85"/>
      <c r="AK43" s="89"/>
      <c r="AL43" s="79"/>
      <c r="AM43" s="79"/>
      <c r="AN43" s="79"/>
    </row>
    <row r="44" spans="1:40" ht="9.75" customHeight="1">
      <c r="A44" s="94" t="s">
        <v>228</v>
      </c>
      <c r="B44" s="81"/>
      <c r="C44" s="116">
        <v>2.75</v>
      </c>
      <c r="D44" s="116"/>
      <c r="E44" s="116">
        <v>0.55</v>
      </c>
      <c r="F44" s="116"/>
      <c r="G44" s="116">
        <v>0.34</v>
      </c>
      <c r="H44" s="116"/>
      <c r="I44" s="116">
        <f t="shared" si="7"/>
        <v>0.49</v>
      </c>
      <c r="J44" s="116">
        <v>0.2</v>
      </c>
      <c r="K44" s="116">
        <v>0.29</v>
      </c>
      <c r="L44" s="116"/>
      <c r="M44" s="116">
        <v>0.54</v>
      </c>
      <c r="N44" s="116"/>
      <c r="O44" s="117">
        <f t="shared" si="8"/>
        <v>0.136</v>
      </c>
      <c r="P44" s="117">
        <v>0.059</v>
      </c>
      <c r="Q44" s="117">
        <v>0.077</v>
      </c>
      <c r="R44" s="117"/>
      <c r="S44" s="117">
        <v>0.16</v>
      </c>
      <c r="T44" s="117"/>
      <c r="U44" s="117">
        <v>0.25</v>
      </c>
      <c r="V44" s="117"/>
      <c r="W44" s="117">
        <v>0.13</v>
      </c>
      <c r="X44" s="117"/>
      <c r="Y44" s="117">
        <v>0.19</v>
      </c>
      <c r="Z44" s="117"/>
      <c r="AA44" s="117">
        <v>0.06</v>
      </c>
      <c r="AB44" s="117"/>
      <c r="AC44" s="116">
        <f t="shared" si="9"/>
        <v>0.38400000000000034</v>
      </c>
      <c r="AD44" s="116"/>
      <c r="AE44" s="325">
        <v>5.98</v>
      </c>
      <c r="AF44" s="326"/>
      <c r="AG44" s="85"/>
      <c r="AH44" s="85"/>
      <c r="AI44" s="85"/>
      <c r="AJ44" s="85"/>
      <c r="AK44" s="89"/>
      <c r="AL44" s="79"/>
      <c r="AM44" s="79"/>
      <c r="AN44" s="79"/>
    </row>
    <row r="45" spans="1:40" ht="9.75" customHeight="1">
      <c r="A45" s="94">
        <v>2005</v>
      </c>
      <c r="B45" s="81"/>
      <c r="C45" s="116">
        <v>2.56</v>
      </c>
      <c r="D45" s="116"/>
      <c r="E45" s="116">
        <v>0.66</v>
      </c>
      <c r="F45" s="116"/>
      <c r="G45" s="116">
        <v>0.29</v>
      </c>
      <c r="H45" s="116"/>
      <c r="I45" s="116">
        <f t="shared" si="7"/>
        <v>0.6200000000000001</v>
      </c>
      <c r="J45" s="116">
        <v>0.28</v>
      </c>
      <c r="K45" s="116">
        <v>0.34</v>
      </c>
      <c r="L45" s="116"/>
      <c r="M45" s="116">
        <v>0.49</v>
      </c>
      <c r="N45" s="116"/>
      <c r="O45" s="117">
        <f t="shared" si="8"/>
        <v>0.133</v>
      </c>
      <c r="P45" s="117">
        <v>0.052</v>
      </c>
      <c r="Q45" s="117">
        <v>0.081</v>
      </c>
      <c r="R45" s="117"/>
      <c r="S45" s="117">
        <v>0.25</v>
      </c>
      <c r="T45" s="117"/>
      <c r="U45" s="117">
        <v>0.29</v>
      </c>
      <c r="V45" s="117"/>
      <c r="W45" s="117">
        <v>0.16</v>
      </c>
      <c r="X45" s="117"/>
      <c r="Y45" s="117">
        <v>0.21</v>
      </c>
      <c r="Z45" s="117"/>
      <c r="AA45" s="117">
        <v>0.06</v>
      </c>
      <c r="AB45" s="117"/>
      <c r="AC45" s="116">
        <f t="shared" si="9"/>
        <v>0.38699999999999957</v>
      </c>
      <c r="AD45" s="116"/>
      <c r="AE45" s="325">
        <v>6.11</v>
      </c>
      <c r="AF45" s="326"/>
      <c r="AG45" s="85"/>
      <c r="AH45" s="85"/>
      <c r="AI45" s="85"/>
      <c r="AJ45" s="85"/>
      <c r="AK45" s="89"/>
      <c r="AL45" s="79"/>
      <c r="AM45" s="79"/>
      <c r="AN45" s="79"/>
    </row>
    <row r="46" spans="1:40" ht="9.75" customHeight="1">
      <c r="A46" s="94">
        <v>2006</v>
      </c>
      <c r="B46" s="81"/>
      <c r="C46" s="116">
        <v>2.71</v>
      </c>
      <c r="D46" s="116"/>
      <c r="E46" s="116">
        <v>0.94</v>
      </c>
      <c r="F46" s="116"/>
      <c r="G46" s="116">
        <v>0.29</v>
      </c>
      <c r="H46" s="116"/>
      <c r="I46" s="116">
        <f t="shared" si="7"/>
        <v>0.43</v>
      </c>
      <c r="J46" s="116">
        <v>0.22</v>
      </c>
      <c r="K46" s="116">
        <v>0.21</v>
      </c>
      <c r="L46" s="116"/>
      <c r="M46" s="116">
        <v>0.54</v>
      </c>
      <c r="N46" s="116"/>
      <c r="O46" s="117">
        <f t="shared" si="8"/>
        <v>0.104</v>
      </c>
      <c r="P46" s="117">
        <v>0.028</v>
      </c>
      <c r="Q46" s="117">
        <v>0.076</v>
      </c>
      <c r="R46" s="117"/>
      <c r="S46" s="117">
        <v>0.19</v>
      </c>
      <c r="T46" s="117"/>
      <c r="U46" s="117">
        <v>0.44</v>
      </c>
      <c r="V46" s="117"/>
      <c r="W46" s="117">
        <v>0.17</v>
      </c>
      <c r="X46" s="117"/>
      <c r="Y46" s="117">
        <v>0.19</v>
      </c>
      <c r="Z46" s="117"/>
      <c r="AA46" s="117">
        <v>0.04</v>
      </c>
      <c r="AB46" s="117"/>
      <c r="AC46" s="116">
        <f t="shared" si="9"/>
        <v>0.31599999999999895</v>
      </c>
      <c r="AD46" s="116"/>
      <c r="AE46" s="325">
        <v>6.36</v>
      </c>
      <c r="AF46" s="326"/>
      <c r="AG46" s="85"/>
      <c r="AH46" s="85"/>
      <c r="AI46" s="85"/>
      <c r="AJ46" s="85"/>
      <c r="AK46" s="89"/>
      <c r="AL46" s="79"/>
      <c r="AM46" s="79"/>
      <c r="AN46" s="79"/>
    </row>
    <row r="47" spans="1:40" ht="9.75" customHeight="1">
      <c r="A47" s="94">
        <v>2007</v>
      </c>
      <c r="B47" s="81"/>
      <c r="C47" s="116">
        <v>2.95</v>
      </c>
      <c r="D47" s="116"/>
      <c r="E47" s="116">
        <v>0.98</v>
      </c>
      <c r="F47" s="116"/>
      <c r="G47" s="116">
        <v>0.3</v>
      </c>
      <c r="H47" s="116"/>
      <c r="I47" s="116">
        <f t="shared" si="7"/>
        <v>0.51</v>
      </c>
      <c r="J47" s="116">
        <v>0.21</v>
      </c>
      <c r="K47" s="116">
        <v>0.3</v>
      </c>
      <c r="L47" s="116"/>
      <c r="M47" s="116">
        <v>0.69</v>
      </c>
      <c r="N47" s="116"/>
      <c r="O47" s="117">
        <f t="shared" si="8"/>
        <v>0.098</v>
      </c>
      <c r="P47" s="117">
        <v>0.034</v>
      </c>
      <c r="Q47" s="117">
        <v>0.064</v>
      </c>
      <c r="R47" s="117"/>
      <c r="S47" s="117">
        <v>0.18</v>
      </c>
      <c r="T47" s="117"/>
      <c r="U47" s="117">
        <v>0.45</v>
      </c>
      <c r="V47" s="117"/>
      <c r="W47" s="117">
        <v>0.16</v>
      </c>
      <c r="X47" s="117"/>
      <c r="Y47" s="117">
        <v>0.18</v>
      </c>
      <c r="Z47" s="117"/>
      <c r="AA47" s="117">
        <v>0.02</v>
      </c>
      <c r="AB47" s="117"/>
      <c r="AC47" s="116">
        <f t="shared" si="9"/>
        <v>0.3020000000000014</v>
      </c>
      <c r="AD47" s="116"/>
      <c r="AE47" s="325">
        <v>6.82</v>
      </c>
      <c r="AF47" s="326"/>
      <c r="AG47" s="85"/>
      <c r="AH47" s="85"/>
      <c r="AI47" s="85"/>
      <c r="AJ47" s="85"/>
      <c r="AK47" s="89"/>
      <c r="AL47" s="79"/>
      <c r="AM47" s="79"/>
      <c r="AN47" s="79"/>
    </row>
    <row r="48" spans="1:40" ht="9.75" customHeight="1">
      <c r="A48" s="472">
        <v>2008</v>
      </c>
      <c r="B48" s="473" t="s">
        <v>579</v>
      </c>
      <c r="C48" s="474">
        <v>2.71</v>
      </c>
      <c r="D48" s="474"/>
      <c r="E48" s="474">
        <v>0.86</v>
      </c>
      <c r="F48" s="474"/>
      <c r="G48" s="474">
        <v>0.2</v>
      </c>
      <c r="H48" s="474"/>
      <c r="I48" s="474">
        <f t="shared" si="7"/>
        <v>0.55</v>
      </c>
      <c r="J48" s="474">
        <v>0.29</v>
      </c>
      <c r="K48" s="474">
        <v>0.26</v>
      </c>
      <c r="L48" s="474"/>
      <c r="M48" s="474">
        <v>0.67</v>
      </c>
      <c r="N48" s="474"/>
      <c r="O48" s="475">
        <f t="shared" si="8"/>
        <v>0.131</v>
      </c>
      <c r="P48" s="475">
        <v>0.05</v>
      </c>
      <c r="Q48" s="475">
        <v>0.081</v>
      </c>
      <c r="R48" s="475"/>
      <c r="S48" s="475">
        <v>0.27</v>
      </c>
      <c r="T48" s="475"/>
      <c r="U48" s="475">
        <v>0.32</v>
      </c>
      <c r="V48" s="475"/>
      <c r="W48" s="475">
        <v>0.19</v>
      </c>
      <c r="X48" s="475"/>
      <c r="Y48" s="475">
        <v>0.18</v>
      </c>
      <c r="Z48" s="475"/>
      <c r="AA48" s="475">
        <v>0.02</v>
      </c>
      <c r="AB48" s="475"/>
      <c r="AC48" s="474">
        <f t="shared" si="9"/>
        <v>0.20899999999999963</v>
      </c>
      <c r="AD48" s="474"/>
      <c r="AE48" s="325">
        <v>6.31</v>
      </c>
      <c r="AF48" s="326"/>
      <c r="AG48" s="85"/>
      <c r="AH48" s="85"/>
      <c r="AI48" s="85"/>
      <c r="AJ48" s="85"/>
      <c r="AK48" s="89"/>
      <c r="AL48" s="79"/>
      <c r="AM48" s="79"/>
      <c r="AN48" s="79"/>
    </row>
    <row r="49" spans="1:40" ht="9.75" customHeight="1">
      <c r="A49" s="472">
        <v>2009</v>
      </c>
      <c r="B49" s="473" t="s">
        <v>229</v>
      </c>
      <c r="C49" s="474">
        <v>2.75</v>
      </c>
      <c r="D49" s="474"/>
      <c r="E49" s="474">
        <v>0.86</v>
      </c>
      <c r="F49" s="474"/>
      <c r="G49" s="474">
        <v>0.21</v>
      </c>
      <c r="H49" s="474"/>
      <c r="I49" s="474">
        <f t="shared" si="7"/>
        <v>0.54</v>
      </c>
      <c r="J49" s="474">
        <v>0.27</v>
      </c>
      <c r="K49" s="474">
        <v>0.27</v>
      </c>
      <c r="L49" s="474"/>
      <c r="M49" s="474">
        <v>0.67</v>
      </c>
      <c r="N49" s="474"/>
      <c r="O49" s="475">
        <f t="shared" si="8"/>
        <v>0.14</v>
      </c>
      <c r="P49" s="475">
        <v>0.05</v>
      </c>
      <c r="Q49" s="475">
        <v>0.09</v>
      </c>
      <c r="R49" s="475"/>
      <c r="S49" s="475">
        <v>0.25</v>
      </c>
      <c r="T49" s="475"/>
      <c r="U49" s="475">
        <v>0.49</v>
      </c>
      <c r="V49" s="475"/>
      <c r="W49" s="475">
        <v>0.15</v>
      </c>
      <c r="X49" s="475"/>
      <c r="Y49" s="475">
        <v>0.18</v>
      </c>
      <c r="Z49" s="475"/>
      <c r="AA49" s="475">
        <v>0.03</v>
      </c>
      <c r="AB49" s="475"/>
      <c r="AC49" s="474">
        <f t="shared" si="9"/>
        <v>0.22000000000000064</v>
      </c>
      <c r="AD49" s="474"/>
      <c r="AE49" s="325">
        <v>6.49</v>
      </c>
      <c r="AF49" s="326"/>
      <c r="AG49" s="85"/>
      <c r="AH49" s="85"/>
      <c r="AI49" s="85"/>
      <c r="AJ49" s="85"/>
      <c r="AK49" s="89"/>
      <c r="AL49" s="79"/>
      <c r="AM49" s="79"/>
      <c r="AN49" s="79"/>
    </row>
    <row r="50" spans="1:40" ht="12.75" customHeight="1">
      <c r="A50" s="95" t="s">
        <v>392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89"/>
      <c r="AH50" s="79"/>
      <c r="AI50" s="79"/>
      <c r="AJ50" s="79"/>
      <c r="AK50" s="79"/>
      <c r="AL50" s="79"/>
      <c r="AM50" s="79"/>
      <c r="AN50" s="79"/>
    </row>
    <row r="51" spans="1:40" ht="10.5" customHeight="1">
      <c r="A51" s="146" t="s">
        <v>269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89"/>
      <c r="AH51" s="79"/>
      <c r="AI51" s="79"/>
      <c r="AJ51" s="79"/>
      <c r="AK51" s="79"/>
      <c r="AL51" s="79"/>
      <c r="AM51" s="79"/>
      <c r="AN51" s="79"/>
    </row>
    <row r="52" spans="1:40" ht="12.75" customHeight="1">
      <c r="A52" s="338" t="s">
        <v>275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9"/>
      <c r="AH52" s="79"/>
      <c r="AI52" s="79"/>
      <c r="AJ52" s="79"/>
      <c r="AK52" s="79"/>
      <c r="AL52" s="79"/>
      <c r="AM52" s="79"/>
      <c r="AN52" s="79"/>
    </row>
    <row r="53" ht="15">
      <c r="C53" s="97" t="s">
        <v>15</v>
      </c>
    </row>
    <row r="54" ht="15">
      <c r="C54" s="184"/>
    </row>
    <row r="55" ht="15">
      <c r="C55" s="184"/>
    </row>
  </sheetData>
  <printOptions horizontalCentered="1"/>
  <pageMargins left="0.417" right="0.417" top="0.25" bottom="0.6" header="0" footer="0.2"/>
  <pageSetup fitToHeight="1" fitToWidth="1" horizontalDpi="600" verticalDpi="600" orientation="landscape" scale="96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W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6.57421875" style="0" customWidth="1"/>
    <col min="3" max="6" width="5.8515625" style="0" customWidth="1"/>
    <col min="7" max="7" width="5.8515625" style="491" customWidth="1"/>
    <col min="8" max="14" width="5.8515625" style="0" customWidth="1"/>
    <col min="15" max="15" width="1.1484375" style="0" customWidth="1"/>
    <col min="16" max="16" width="6.7109375" style="0" customWidth="1"/>
    <col min="17" max="17" width="1.8515625" style="0" customWidth="1"/>
    <col min="18" max="18" width="5.8515625" style="0" customWidth="1"/>
    <col min="19" max="19" width="2.421875" style="0" customWidth="1"/>
    <col min="20" max="27" width="7.140625" style="0" customWidth="1"/>
  </cols>
  <sheetData>
    <row r="1" ht="6.75" customHeight="1">
      <c r="G1" s="490"/>
    </row>
    <row r="2" spans="1:18" ht="14.25" customHeight="1">
      <c r="A2" s="168" t="s">
        <v>517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49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 t="s">
        <v>244</v>
      </c>
      <c r="Q3" s="207"/>
      <c r="R3" s="207" t="s">
        <v>230</v>
      </c>
      <c r="S3" s="207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1:49" ht="9.75" customHeight="1">
      <c r="A4" s="209" t="s">
        <v>48</v>
      </c>
      <c r="B4" s="209" t="s">
        <v>49</v>
      </c>
      <c r="C4" s="209" t="s">
        <v>50</v>
      </c>
      <c r="D4" s="209" t="s">
        <v>51</v>
      </c>
      <c r="E4" s="209" t="s">
        <v>52</v>
      </c>
      <c r="F4" s="209" t="s">
        <v>53</v>
      </c>
      <c r="G4" s="209" t="s">
        <v>54</v>
      </c>
      <c r="H4" s="209" t="s">
        <v>55</v>
      </c>
      <c r="I4" s="209" t="s">
        <v>56</v>
      </c>
      <c r="J4" s="209" t="s">
        <v>57</v>
      </c>
      <c r="K4" s="209" t="s">
        <v>58</v>
      </c>
      <c r="L4" s="209" t="s">
        <v>59</v>
      </c>
      <c r="M4" s="209" t="s">
        <v>60</v>
      </c>
      <c r="N4" s="209" t="s">
        <v>61</v>
      </c>
      <c r="O4" s="209"/>
      <c r="P4" s="210" t="s">
        <v>245</v>
      </c>
      <c r="Q4" s="208"/>
      <c r="R4" s="224" t="s">
        <v>205</v>
      </c>
      <c r="S4" s="208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</row>
    <row r="5" spans="1:49" ht="9" customHeight="1">
      <c r="A5" s="211"/>
      <c r="B5" s="212" t="s">
        <v>62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25" t="s">
        <v>180</v>
      </c>
      <c r="Q5" s="225"/>
      <c r="R5" s="213" t="s">
        <v>569</v>
      </c>
      <c r="S5" s="21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1:49" ht="15" customHeight="1">
      <c r="A6" s="55"/>
      <c r="C6" s="174" t="s">
        <v>63</v>
      </c>
      <c r="D6" s="56"/>
      <c r="E6" s="56"/>
      <c r="F6" s="56"/>
      <c r="G6" s="56"/>
      <c r="H6" s="57"/>
      <c r="I6" s="56"/>
      <c r="J6" s="56"/>
      <c r="K6" s="56"/>
      <c r="L6" s="56"/>
      <c r="M6" s="56"/>
      <c r="N6" s="56"/>
      <c r="O6" s="56"/>
      <c r="P6" s="54"/>
      <c r="Q6" s="54"/>
      <c r="R6" s="182" t="s">
        <v>204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</row>
    <row r="7" spans="1:49" ht="8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</row>
    <row r="8" spans="1:49" ht="9.75" customHeight="1">
      <c r="A8" s="58" t="s">
        <v>124</v>
      </c>
      <c r="B8" s="52" t="s">
        <v>112</v>
      </c>
      <c r="C8" s="59">
        <v>15.5</v>
      </c>
      <c r="D8" s="59">
        <v>15.7</v>
      </c>
      <c r="E8" s="59">
        <v>15.5</v>
      </c>
      <c r="F8" s="59">
        <v>14.4</v>
      </c>
      <c r="G8" s="59">
        <v>15.1</v>
      </c>
      <c r="H8" s="59">
        <v>15.3</v>
      </c>
      <c r="I8" s="59">
        <v>14.9</v>
      </c>
      <c r="J8" s="59">
        <v>15.6</v>
      </c>
      <c r="K8" s="59">
        <v>16.9</v>
      </c>
      <c r="L8" s="59">
        <v>16.4</v>
      </c>
      <c r="M8" s="59">
        <v>16.8</v>
      </c>
      <c r="N8" s="59">
        <v>17.4</v>
      </c>
      <c r="O8" s="59"/>
      <c r="P8" s="99">
        <v>15.5</v>
      </c>
      <c r="Q8" s="60"/>
      <c r="R8" s="118" t="s">
        <v>72</v>
      </c>
      <c r="S8" s="60"/>
      <c r="T8" s="60"/>
      <c r="U8" s="60"/>
      <c r="V8" s="60"/>
      <c r="W8" s="60"/>
      <c r="X8" s="60"/>
      <c r="Y8" s="60"/>
      <c r="Z8" s="60"/>
      <c r="AA8" s="60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</row>
    <row r="9" spans="1:49" ht="9.75" customHeight="1">
      <c r="A9" s="58"/>
      <c r="B9" s="52" t="s">
        <v>179</v>
      </c>
      <c r="C9" s="59">
        <v>18.4</v>
      </c>
      <c r="D9" s="59">
        <v>19.2</v>
      </c>
      <c r="E9" s="59">
        <v>22.7</v>
      </c>
      <c r="F9" s="59">
        <v>21.7</v>
      </c>
      <c r="G9" s="59">
        <v>21.5</v>
      </c>
      <c r="H9" s="59">
        <v>26.1</v>
      </c>
      <c r="I9" s="59">
        <v>27.1</v>
      </c>
      <c r="J9" s="59">
        <v>27.5</v>
      </c>
      <c r="K9" s="59">
        <v>27.8</v>
      </c>
      <c r="L9" s="59">
        <v>27.4</v>
      </c>
      <c r="M9" s="59">
        <v>24.5</v>
      </c>
      <c r="N9" s="59">
        <v>23.2</v>
      </c>
      <c r="O9" s="59"/>
      <c r="P9" s="99">
        <v>22.1</v>
      </c>
      <c r="Q9" s="60"/>
      <c r="R9" s="183">
        <f aca="true" t="shared" si="0" ref="R9:R16">(G9/G8-1)*100</f>
        <v>42.3841059602649</v>
      </c>
      <c r="S9" s="60"/>
      <c r="T9" s="60"/>
      <c r="U9" s="60"/>
      <c r="V9" s="60"/>
      <c r="W9" s="60"/>
      <c r="X9" s="60"/>
      <c r="Y9" s="60"/>
      <c r="Z9" s="60"/>
      <c r="AA9" s="60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ht="9.75" customHeight="1">
      <c r="A10" s="58"/>
      <c r="B10" s="52" t="s">
        <v>232</v>
      </c>
      <c r="C10" s="59">
        <v>17.9</v>
      </c>
      <c r="D10" s="59">
        <v>16.6</v>
      </c>
      <c r="E10" s="59">
        <v>15.9</v>
      </c>
      <c r="F10" s="59">
        <v>16.1</v>
      </c>
      <c r="G10" s="59">
        <v>16.4</v>
      </c>
      <c r="H10" s="59">
        <v>19.2</v>
      </c>
      <c r="I10" s="59">
        <v>15.9</v>
      </c>
      <c r="J10" s="59">
        <v>18.7</v>
      </c>
      <c r="K10" s="59">
        <v>19.1</v>
      </c>
      <c r="L10" s="59">
        <v>16.6</v>
      </c>
      <c r="M10" s="59">
        <v>17.2</v>
      </c>
      <c r="N10" s="59">
        <v>18</v>
      </c>
      <c r="O10" s="59"/>
      <c r="P10" s="99">
        <v>17.1</v>
      </c>
      <c r="Q10" s="60"/>
      <c r="R10" s="183">
        <f t="shared" si="0"/>
        <v>-23.720930232558146</v>
      </c>
      <c r="S10" s="60"/>
      <c r="T10" s="60"/>
      <c r="U10" s="60"/>
      <c r="V10" s="60"/>
      <c r="W10" s="60"/>
      <c r="X10" s="60"/>
      <c r="Y10" s="60"/>
      <c r="Z10" s="60"/>
      <c r="AA10" s="60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ht="9.75" customHeight="1">
      <c r="A11" s="58"/>
      <c r="B11" s="52" t="s">
        <v>243</v>
      </c>
      <c r="C11" s="59">
        <v>17.6</v>
      </c>
      <c r="D11" s="59">
        <v>17.6</v>
      </c>
      <c r="E11" s="59">
        <v>19.1</v>
      </c>
      <c r="F11" s="59">
        <v>17.4</v>
      </c>
      <c r="G11" s="59">
        <v>17.2</v>
      </c>
      <c r="H11" s="59">
        <v>17.5</v>
      </c>
      <c r="I11" s="59">
        <v>20.2</v>
      </c>
      <c r="J11" s="59">
        <v>19.6</v>
      </c>
      <c r="K11" s="59">
        <v>19.9</v>
      </c>
      <c r="L11" s="59">
        <v>20</v>
      </c>
      <c r="M11" s="59">
        <v>19.2</v>
      </c>
      <c r="N11" s="59">
        <v>20.9</v>
      </c>
      <c r="O11" s="59"/>
      <c r="P11" s="99">
        <v>18.4</v>
      </c>
      <c r="Q11" s="60"/>
      <c r="R11" s="183">
        <f t="shared" si="0"/>
        <v>4.878048780487809</v>
      </c>
      <c r="S11" s="60"/>
      <c r="T11" s="60"/>
      <c r="U11" s="60"/>
      <c r="V11" s="60"/>
      <c r="W11" s="60"/>
      <c r="X11" s="60"/>
      <c r="Y11" s="60"/>
      <c r="Z11" s="60"/>
      <c r="AA11" s="60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ht="9.75" customHeight="1">
      <c r="A12" s="58"/>
      <c r="B12" s="52" t="s">
        <v>273</v>
      </c>
      <c r="C12" s="59">
        <v>22.8</v>
      </c>
      <c r="D12" s="59">
        <v>24.5</v>
      </c>
      <c r="E12" s="59">
        <v>25.9</v>
      </c>
      <c r="F12" s="59">
        <v>27</v>
      </c>
      <c r="G12" s="59">
        <v>27.2</v>
      </c>
      <c r="H12" s="59">
        <v>27.8</v>
      </c>
      <c r="I12" s="59">
        <v>26.6</v>
      </c>
      <c r="J12" s="159">
        <v>28.7</v>
      </c>
      <c r="K12" s="59">
        <v>31.1</v>
      </c>
      <c r="L12" s="59">
        <v>27.7</v>
      </c>
      <c r="M12" s="59">
        <v>25.4</v>
      </c>
      <c r="N12" s="59">
        <v>21.4</v>
      </c>
      <c r="O12" s="59"/>
      <c r="P12" s="99">
        <v>25.7</v>
      </c>
      <c r="Q12" s="60"/>
      <c r="R12" s="183">
        <f t="shared" si="0"/>
        <v>58.13953488372092</v>
      </c>
      <c r="S12" s="60"/>
      <c r="T12" s="60"/>
      <c r="U12" s="60"/>
      <c r="V12" s="60"/>
      <c r="W12" s="60"/>
      <c r="X12" s="60"/>
      <c r="Y12" s="60"/>
      <c r="Z12" s="60"/>
      <c r="AA12" s="60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49" ht="9.75" customHeight="1">
      <c r="A13" s="58"/>
      <c r="B13" s="365" t="s">
        <v>286</v>
      </c>
      <c r="C13" s="441">
        <v>18</v>
      </c>
      <c r="D13" s="441">
        <v>18.8</v>
      </c>
      <c r="E13" s="441">
        <v>18</v>
      </c>
      <c r="F13" s="441">
        <v>18.1</v>
      </c>
      <c r="G13" s="441">
        <v>19.2</v>
      </c>
      <c r="H13" s="441">
        <v>17.4</v>
      </c>
      <c r="I13" s="441">
        <v>17.1</v>
      </c>
      <c r="J13" s="441">
        <v>18.9</v>
      </c>
      <c r="K13" s="441">
        <v>19.3</v>
      </c>
      <c r="L13" s="441">
        <v>19</v>
      </c>
      <c r="M13" s="441">
        <v>21.7</v>
      </c>
      <c r="N13" s="441">
        <v>19.5</v>
      </c>
      <c r="O13" s="441"/>
      <c r="P13" s="443">
        <v>18.5</v>
      </c>
      <c r="Q13" s="368"/>
      <c r="R13" s="183">
        <f t="shared" si="0"/>
        <v>-29.411764705882348</v>
      </c>
      <c r="S13" s="60"/>
      <c r="T13" s="60"/>
      <c r="U13" s="60"/>
      <c r="V13" s="60"/>
      <c r="W13" s="60"/>
      <c r="X13" s="60"/>
      <c r="Y13" s="60"/>
      <c r="Z13" s="60"/>
      <c r="AA13" s="60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</row>
    <row r="14" spans="1:49" ht="9.75" customHeight="1">
      <c r="A14" s="58"/>
      <c r="B14" s="365" t="s">
        <v>320</v>
      </c>
      <c r="C14" s="441">
        <v>18.8</v>
      </c>
      <c r="D14" s="441">
        <v>19.5</v>
      </c>
      <c r="E14" s="441">
        <v>21.8</v>
      </c>
      <c r="F14" s="441">
        <v>21.8</v>
      </c>
      <c r="G14" s="441">
        <v>22.7</v>
      </c>
      <c r="H14" s="441">
        <v>25.3</v>
      </c>
      <c r="I14" s="441">
        <v>25.7</v>
      </c>
      <c r="J14" s="441">
        <v>24.5</v>
      </c>
      <c r="K14" s="441">
        <v>24.4</v>
      </c>
      <c r="L14" s="441">
        <v>24.4</v>
      </c>
      <c r="M14" s="441">
        <v>28.5</v>
      </c>
      <c r="N14" s="441">
        <v>25.7</v>
      </c>
      <c r="O14" s="441"/>
      <c r="P14" s="443">
        <v>22.1</v>
      </c>
      <c r="Q14" s="368"/>
      <c r="R14" s="183">
        <f t="shared" si="0"/>
        <v>18.229166666666675</v>
      </c>
      <c r="S14" s="60"/>
      <c r="T14" s="60"/>
      <c r="U14" s="60"/>
      <c r="V14" s="60"/>
      <c r="W14" s="60"/>
      <c r="X14" s="60"/>
      <c r="Y14" s="60"/>
      <c r="Z14" s="60"/>
      <c r="AA14" s="60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49" ht="9.75" customHeight="1">
      <c r="A15" s="58"/>
      <c r="B15" s="214" t="s">
        <v>326</v>
      </c>
      <c r="C15" s="215">
        <v>24.6</v>
      </c>
      <c r="D15" s="215">
        <v>26</v>
      </c>
      <c r="E15" s="215">
        <v>28.1</v>
      </c>
      <c r="F15" s="215">
        <v>27.3</v>
      </c>
      <c r="G15" s="215">
        <v>27.4</v>
      </c>
      <c r="H15" s="215">
        <v>32</v>
      </c>
      <c r="I15" s="215">
        <v>32.2</v>
      </c>
      <c r="J15" s="215">
        <v>34.3</v>
      </c>
      <c r="K15" s="215">
        <v>35.6</v>
      </c>
      <c r="L15" s="215">
        <v>33</v>
      </c>
      <c r="M15" s="215">
        <v>36.5</v>
      </c>
      <c r="N15" s="215">
        <v>38</v>
      </c>
      <c r="O15" s="215"/>
      <c r="P15" s="217">
        <v>28.8</v>
      </c>
      <c r="Q15" s="218"/>
      <c r="R15" s="183">
        <f t="shared" si="0"/>
        <v>20.70484581497798</v>
      </c>
      <c r="S15" s="60"/>
      <c r="T15" s="60"/>
      <c r="U15" s="60"/>
      <c r="V15" s="60"/>
      <c r="W15" s="60"/>
      <c r="X15" s="60"/>
      <c r="Y15" s="60"/>
      <c r="Z15" s="60"/>
      <c r="AA15" s="60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</row>
    <row r="16" spans="1:49" ht="9.75" customHeight="1">
      <c r="A16" s="58"/>
      <c r="B16" s="214" t="s">
        <v>513</v>
      </c>
      <c r="C16" s="215">
        <v>36.8</v>
      </c>
      <c r="D16" s="215">
        <v>40</v>
      </c>
      <c r="E16" s="215">
        <v>34.5</v>
      </c>
      <c r="F16" s="215">
        <v>34.5</v>
      </c>
      <c r="G16" s="215">
        <v>32.3</v>
      </c>
      <c r="H16" s="215"/>
      <c r="I16" s="215"/>
      <c r="J16" s="215"/>
      <c r="K16" s="215"/>
      <c r="L16" s="215"/>
      <c r="M16" s="215"/>
      <c r="N16" s="215"/>
      <c r="O16" s="215"/>
      <c r="P16" s="217"/>
      <c r="Q16" s="218"/>
      <c r="R16" s="183">
        <f t="shared" si="0"/>
        <v>17.88321167883211</v>
      </c>
      <c r="S16" s="60"/>
      <c r="T16" s="60"/>
      <c r="U16" s="60"/>
      <c r="V16" s="60"/>
      <c r="W16" s="60"/>
      <c r="X16" s="60"/>
      <c r="Y16" s="60"/>
      <c r="Z16" s="60"/>
      <c r="AA16" s="60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</row>
    <row r="17" spans="1:49" ht="3.75" customHeight="1">
      <c r="A17" s="58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9.75" customHeight="1">
      <c r="A18" s="58" t="s">
        <v>8</v>
      </c>
      <c r="B18" s="52" t="s">
        <v>112</v>
      </c>
      <c r="C18" s="59">
        <v>27.2</v>
      </c>
      <c r="D18" s="59">
        <v>27.1</v>
      </c>
      <c r="E18" s="59">
        <v>27.2</v>
      </c>
      <c r="F18" s="59">
        <v>26.6</v>
      </c>
      <c r="G18" s="59">
        <v>26.9</v>
      </c>
      <c r="H18" s="59">
        <v>26.9</v>
      </c>
      <c r="I18" s="59">
        <v>26.6</v>
      </c>
      <c r="J18" s="59">
        <v>26.8</v>
      </c>
      <c r="K18" s="59">
        <v>26.8</v>
      </c>
      <c r="L18" s="59">
        <v>26.3</v>
      </c>
      <c r="M18" s="59">
        <v>26.3</v>
      </c>
      <c r="N18" s="59">
        <v>27</v>
      </c>
      <c r="O18" s="59"/>
      <c r="P18" s="99">
        <v>26.8</v>
      </c>
      <c r="Q18" s="54"/>
      <c r="R18" s="118" t="s">
        <v>72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1:49" ht="9.75" customHeight="1">
      <c r="A19" s="58"/>
      <c r="B19" s="52" t="s">
        <v>179</v>
      </c>
      <c r="C19" s="59">
        <v>27.2</v>
      </c>
      <c r="D19" s="59">
        <v>28.6</v>
      </c>
      <c r="E19" s="59">
        <v>31.5</v>
      </c>
      <c r="F19" s="59">
        <v>31.2</v>
      </c>
      <c r="G19" s="59">
        <v>31.8</v>
      </c>
      <c r="H19" s="59">
        <v>31.6</v>
      </c>
      <c r="I19" s="59">
        <v>32.7</v>
      </c>
      <c r="J19" s="59">
        <v>32.2</v>
      </c>
      <c r="K19" s="59">
        <v>32.3</v>
      </c>
      <c r="L19" s="59">
        <v>31.9</v>
      </c>
      <c r="M19" s="59">
        <v>32.4</v>
      </c>
      <c r="N19" s="59">
        <v>33.4</v>
      </c>
      <c r="O19" s="59"/>
      <c r="P19" s="99">
        <v>31.2</v>
      </c>
      <c r="Q19" s="54"/>
      <c r="R19" s="183">
        <f aca="true" t="shared" si="1" ref="R19:R26">(G19/G18-1)*100</f>
        <v>18.215613382899633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</row>
    <row r="20" spans="1:49" ht="9.75" customHeight="1">
      <c r="A20" s="58"/>
      <c r="B20" s="52" t="s">
        <v>232</v>
      </c>
      <c r="C20" s="59">
        <v>32.5</v>
      </c>
      <c r="D20" s="59">
        <v>31.7</v>
      </c>
      <c r="E20" s="59">
        <v>31.6</v>
      </c>
      <c r="F20" s="59">
        <v>32.6</v>
      </c>
      <c r="G20" s="59">
        <v>32.5</v>
      </c>
      <c r="H20" s="59">
        <v>32.6</v>
      </c>
      <c r="I20" s="59">
        <v>36.3</v>
      </c>
      <c r="J20" s="59">
        <v>35</v>
      </c>
      <c r="K20" s="59">
        <v>35.4</v>
      </c>
      <c r="L20" s="59">
        <v>35.7</v>
      </c>
      <c r="M20" s="59">
        <v>34.2</v>
      </c>
      <c r="N20" s="59">
        <v>29.6</v>
      </c>
      <c r="O20" s="59"/>
      <c r="P20" s="99">
        <v>33.3</v>
      </c>
      <c r="Q20" s="54"/>
      <c r="R20" s="183">
        <f t="shared" si="1"/>
        <v>2.2012578616352085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</row>
    <row r="21" spans="1:49" ht="9.75" customHeight="1">
      <c r="A21" s="58"/>
      <c r="B21" s="52" t="s">
        <v>243</v>
      </c>
      <c r="C21" s="59">
        <v>32</v>
      </c>
      <c r="D21" s="59">
        <v>41.1</v>
      </c>
      <c r="E21" s="59">
        <v>35.2</v>
      </c>
      <c r="F21" s="59">
        <v>35.6</v>
      </c>
      <c r="G21" s="59">
        <v>35</v>
      </c>
      <c r="H21" s="59">
        <v>32.5</v>
      </c>
      <c r="I21" s="59">
        <v>36.3</v>
      </c>
      <c r="J21" s="59">
        <v>34.8</v>
      </c>
      <c r="K21" s="59">
        <v>31.1</v>
      </c>
      <c r="L21" s="59">
        <v>34.5</v>
      </c>
      <c r="M21" s="159">
        <v>35.8</v>
      </c>
      <c r="N21" s="59">
        <v>36.3</v>
      </c>
      <c r="O21" s="59"/>
      <c r="P21" s="99">
        <v>35.3</v>
      </c>
      <c r="Q21" s="54"/>
      <c r="R21" s="183">
        <f t="shared" si="1"/>
        <v>7.692307692307687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</row>
    <row r="22" spans="1:49" ht="9.75" customHeight="1">
      <c r="A22" s="58"/>
      <c r="B22" s="52" t="s">
        <v>273</v>
      </c>
      <c r="C22" s="59">
        <v>35.8</v>
      </c>
      <c r="D22" s="59">
        <v>38.7</v>
      </c>
      <c r="E22" s="59">
        <v>36.8</v>
      </c>
      <c r="F22" s="59">
        <v>38.4</v>
      </c>
      <c r="G22" s="59">
        <v>40.7</v>
      </c>
      <c r="H22" s="59">
        <v>37</v>
      </c>
      <c r="I22" s="59">
        <v>37.2</v>
      </c>
      <c r="J22" s="59">
        <v>37.9</v>
      </c>
      <c r="K22" s="59">
        <v>35.4</v>
      </c>
      <c r="L22" s="59">
        <v>39.8</v>
      </c>
      <c r="M22" s="159">
        <v>35.1</v>
      </c>
      <c r="N22" s="191" t="s">
        <v>224</v>
      </c>
      <c r="O22" s="59"/>
      <c r="P22" s="99">
        <v>36.9</v>
      </c>
      <c r="Q22" s="54"/>
      <c r="R22" s="183">
        <f t="shared" si="1"/>
        <v>16.285714285714302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</row>
    <row r="23" spans="1:49" ht="9.75" customHeight="1">
      <c r="A23" s="58"/>
      <c r="B23" s="365" t="s">
        <v>286</v>
      </c>
      <c r="C23" s="442">
        <v>30.4</v>
      </c>
      <c r="D23" s="442">
        <v>37.8</v>
      </c>
      <c r="E23" s="441">
        <v>46.4</v>
      </c>
      <c r="F23" s="441">
        <v>44.8</v>
      </c>
      <c r="G23" s="441">
        <v>40</v>
      </c>
      <c r="H23" s="441">
        <v>42.8</v>
      </c>
      <c r="I23" s="441">
        <v>44.5</v>
      </c>
      <c r="J23" s="441">
        <v>42.6</v>
      </c>
      <c r="K23" s="441">
        <v>42.3</v>
      </c>
      <c r="L23" s="441">
        <v>41.4</v>
      </c>
      <c r="M23" s="441">
        <v>38.2</v>
      </c>
      <c r="N23" s="441">
        <v>41.3</v>
      </c>
      <c r="O23" s="441"/>
      <c r="P23" s="443">
        <v>41</v>
      </c>
      <c r="Q23" s="444"/>
      <c r="R23" s="183">
        <f t="shared" si="1"/>
        <v>-1.7199017199017286</v>
      </c>
      <c r="S23" s="54"/>
      <c r="T23" s="60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</row>
    <row r="24" spans="1:49" ht="9.75" customHeight="1">
      <c r="A24" s="58"/>
      <c r="B24" s="365" t="s">
        <v>320</v>
      </c>
      <c r="C24" s="442">
        <v>38.3</v>
      </c>
      <c r="D24" s="442">
        <v>49.1</v>
      </c>
      <c r="E24" s="441">
        <v>48.1</v>
      </c>
      <c r="F24" s="441">
        <v>54</v>
      </c>
      <c r="G24" s="441">
        <v>43.7</v>
      </c>
      <c r="H24" s="441">
        <v>47.8</v>
      </c>
      <c r="I24" s="441">
        <v>56.2</v>
      </c>
      <c r="J24" s="441">
        <v>42.5</v>
      </c>
      <c r="K24" s="441">
        <v>36.9</v>
      </c>
      <c r="L24" s="441">
        <v>42.7</v>
      </c>
      <c r="M24" s="441">
        <v>43</v>
      </c>
      <c r="N24" s="442">
        <v>36.3</v>
      </c>
      <c r="O24" s="441"/>
      <c r="P24" s="443">
        <v>46.6</v>
      </c>
      <c r="Q24" s="444"/>
      <c r="R24" s="183">
        <f t="shared" si="1"/>
        <v>9.250000000000004</v>
      </c>
      <c r="S24" s="54"/>
      <c r="T24" s="60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</row>
    <row r="25" spans="1:49" ht="9.75" customHeight="1">
      <c r="A25" s="58"/>
      <c r="B25" s="214" t="s">
        <v>326</v>
      </c>
      <c r="C25" s="216">
        <v>39</v>
      </c>
      <c r="D25" s="216" t="s">
        <v>128</v>
      </c>
      <c r="E25" s="216">
        <v>46.9</v>
      </c>
      <c r="F25" s="215">
        <v>49.2</v>
      </c>
      <c r="G25" s="215">
        <v>45.1</v>
      </c>
      <c r="H25" s="215">
        <v>47.3</v>
      </c>
      <c r="I25" s="216" t="s">
        <v>184</v>
      </c>
      <c r="J25" s="216" t="s">
        <v>184</v>
      </c>
      <c r="K25" s="216">
        <v>47.7</v>
      </c>
      <c r="L25" s="216" t="s">
        <v>184</v>
      </c>
      <c r="M25" s="216">
        <v>49.1</v>
      </c>
      <c r="N25" s="216" t="s">
        <v>184</v>
      </c>
      <c r="O25" s="215"/>
      <c r="P25" s="217">
        <v>48.9</v>
      </c>
      <c r="Q25" s="219"/>
      <c r="R25" s="183">
        <f t="shared" si="1"/>
        <v>3.203661327231111</v>
      </c>
      <c r="S25" s="54"/>
      <c r="T25" s="60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1:49" ht="9.75" customHeight="1">
      <c r="A26" s="58"/>
      <c r="B26" s="214" t="s">
        <v>513</v>
      </c>
      <c r="C26" s="216">
        <v>53</v>
      </c>
      <c r="D26" s="216">
        <v>66.8</v>
      </c>
      <c r="E26" s="216">
        <v>64.1</v>
      </c>
      <c r="F26" s="215">
        <v>66.7</v>
      </c>
      <c r="G26" s="215">
        <v>62.4</v>
      </c>
      <c r="H26" s="215"/>
      <c r="I26" s="216"/>
      <c r="J26" s="216"/>
      <c r="K26" s="216"/>
      <c r="L26" s="215"/>
      <c r="M26" s="216"/>
      <c r="N26" s="216"/>
      <c r="O26" s="215"/>
      <c r="P26" s="217"/>
      <c r="Q26" s="219"/>
      <c r="R26" s="183">
        <f t="shared" si="1"/>
        <v>38.35920177383591</v>
      </c>
      <c r="S26" s="54"/>
      <c r="T26" s="60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ht="3.75" customHeight="1">
      <c r="A27" s="58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</row>
    <row r="28" spans="1:49" ht="9.75" customHeight="1">
      <c r="A28" s="58" t="s">
        <v>7</v>
      </c>
      <c r="B28" s="52" t="s">
        <v>112</v>
      </c>
      <c r="C28" s="59">
        <v>15.2</v>
      </c>
      <c r="D28" s="59">
        <v>15.5</v>
      </c>
      <c r="E28" s="59">
        <v>15.5</v>
      </c>
      <c r="F28" s="59">
        <v>15.6</v>
      </c>
      <c r="G28" s="59">
        <v>15.1</v>
      </c>
      <c r="H28" s="59">
        <v>15.1</v>
      </c>
      <c r="I28" s="59">
        <v>15.1</v>
      </c>
      <c r="J28" s="59">
        <v>15.5</v>
      </c>
      <c r="K28" s="59">
        <v>15.6</v>
      </c>
      <c r="L28" s="59">
        <v>16.2</v>
      </c>
      <c r="M28" s="59">
        <v>17</v>
      </c>
      <c r="N28" s="59">
        <v>17.7</v>
      </c>
      <c r="O28" s="59"/>
      <c r="P28" s="99">
        <v>15.6</v>
      </c>
      <c r="Q28" s="54"/>
      <c r="R28" s="118" t="s">
        <v>72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</row>
    <row r="29" spans="1:49" ht="9.75" customHeight="1">
      <c r="A29" s="58"/>
      <c r="B29" s="52" t="s">
        <v>179</v>
      </c>
      <c r="C29" s="59">
        <v>20.5</v>
      </c>
      <c r="D29" s="59">
        <v>19.9</v>
      </c>
      <c r="E29" s="59">
        <v>19.2</v>
      </c>
      <c r="F29" s="59">
        <v>21</v>
      </c>
      <c r="G29" s="59">
        <v>24.5</v>
      </c>
      <c r="H29" s="59">
        <v>26.1</v>
      </c>
      <c r="I29" s="59">
        <v>27.3</v>
      </c>
      <c r="J29" s="59">
        <v>28.7</v>
      </c>
      <c r="K29" s="59">
        <v>28.7</v>
      </c>
      <c r="L29" s="59">
        <v>28.6</v>
      </c>
      <c r="M29" s="59">
        <v>26.4</v>
      </c>
      <c r="N29" s="59">
        <v>23.1</v>
      </c>
      <c r="O29" s="59"/>
      <c r="P29" s="99">
        <v>23.6</v>
      </c>
      <c r="Q29" s="54"/>
      <c r="R29" s="183">
        <f aca="true" t="shared" si="2" ref="R29:R36">(G29/G28-1)*100</f>
        <v>62.25165562913908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1:49" ht="9.75" customHeight="1">
      <c r="A30" s="58"/>
      <c r="B30" s="52" t="s">
        <v>232</v>
      </c>
      <c r="C30" s="59">
        <v>21.3</v>
      </c>
      <c r="D30" s="59">
        <v>16.6</v>
      </c>
      <c r="E30" s="59">
        <v>15</v>
      </c>
      <c r="F30" s="59">
        <v>15</v>
      </c>
      <c r="G30" s="59">
        <v>17.8</v>
      </c>
      <c r="H30" s="59">
        <v>18.5</v>
      </c>
      <c r="I30" s="59">
        <v>17</v>
      </c>
      <c r="J30" s="59">
        <v>16.5</v>
      </c>
      <c r="K30" s="59">
        <v>16.1</v>
      </c>
      <c r="L30" s="59">
        <v>16.9</v>
      </c>
      <c r="M30" s="59">
        <v>18.1</v>
      </c>
      <c r="N30" s="59">
        <v>16.5</v>
      </c>
      <c r="O30" s="59"/>
      <c r="P30" s="99">
        <v>17.7</v>
      </c>
      <c r="Q30" s="54"/>
      <c r="R30" s="183">
        <f t="shared" si="2"/>
        <v>-27.3469387755102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</row>
    <row r="31" spans="1:49" ht="9.75" customHeight="1">
      <c r="A31" s="58"/>
      <c r="B31" s="52" t="s">
        <v>243</v>
      </c>
      <c r="C31" s="59">
        <v>18</v>
      </c>
      <c r="D31" s="59">
        <v>18</v>
      </c>
      <c r="E31" s="59">
        <v>17.9</v>
      </c>
      <c r="F31" s="59">
        <v>16.1</v>
      </c>
      <c r="G31" s="59">
        <v>18.2</v>
      </c>
      <c r="H31" s="59">
        <v>16.3</v>
      </c>
      <c r="I31" s="59">
        <v>17.7</v>
      </c>
      <c r="J31" s="59">
        <v>18.2</v>
      </c>
      <c r="K31" s="59">
        <v>18.8</v>
      </c>
      <c r="L31" s="59">
        <v>19.6</v>
      </c>
      <c r="M31" s="59">
        <v>19.8</v>
      </c>
      <c r="N31" s="59">
        <v>20.7</v>
      </c>
      <c r="O31" s="59"/>
      <c r="P31" s="99">
        <v>18.2</v>
      </c>
      <c r="Q31" s="54"/>
      <c r="R31" s="183">
        <f t="shared" si="2"/>
        <v>2.2471910112359383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</row>
    <row r="32" spans="1:49" ht="9.75" customHeight="1">
      <c r="A32" s="58"/>
      <c r="B32" s="52" t="s">
        <v>273</v>
      </c>
      <c r="C32" s="59">
        <v>26.2</v>
      </c>
      <c r="D32" s="59">
        <v>25.9</v>
      </c>
      <c r="E32" s="59">
        <v>28.7</v>
      </c>
      <c r="F32" s="59">
        <v>30.2</v>
      </c>
      <c r="G32" s="59">
        <v>29</v>
      </c>
      <c r="H32" s="59">
        <v>29.8</v>
      </c>
      <c r="I32" s="59">
        <v>29.2</v>
      </c>
      <c r="J32" s="59">
        <v>27.6</v>
      </c>
      <c r="K32" s="59">
        <v>28.7</v>
      </c>
      <c r="L32" s="59">
        <v>30.7</v>
      </c>
      <c r="M32" s="59">
        <v>30.1</v>
      </c>
      <c r="N32" s="59">
        <v>25</v>
      </c>
      <c r="O32" s="59"/>
      <c r="P32" s="99">
        <v>28</v>
      </c>
      <c r="Q32" s="54"/>
      <c r="R32" s="183">
        <f t="shared" si="2"/>
        <v>59.34065934065935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</row>
    <row r="33" spans="1:49" ht="9.75" customHeight="1">
      <c r="A33" s="58"/>
      <c r="B33" s="365" t="s">
        <v>286</v>
      </c>
      <c r="C33" s="441">
        <v>19.7</v>
      </c>
      <c r="D33" s="441">
        <v>18.5</v>
      </c>
      <c r="E33" s="441">
        <v>18.1</v>
      </c>
      <c r="F33" s="441">
        <v>17.7</v>
      </c>
      <c r="G33" s="441">
        <v>19.3</v>
      </c>
      <c r="H33" s="441">
        <v>17.6</v>
      </c>
      <c r="I33" s="441">
        <v>18.1</v>
      </c>
      <c r="J33" s="441">
        <v>18.4</v>
      </c>
      <c r="K33" s="441">
        <v>18.4</v>
      </c>
      <c r="L33" s="441">
        <v>17.3</v>
      </c>
      <c r="M33" s="441">
        <v>20</v>
      </c>
      <c r="N33" s="441">
        <v>19.9</v>
      </c>
      <c r="O33" s="441"/>
      <c r="P33" s="443">
        <v>18.7</v>
      </c>
      <c r="Q33" s="444"/>
      <c r="R33" s="183">
        <f t="shared" si="2"/>
        <v>-33.44827586206897</v>
      </c>
      <c r="S33" s="54"/>
      <c r="T33" s="60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1:49" ht="9.75" customHeight="1">
      <c r="A34" s="58"/>
      <c r="B34" s="365" t="s">
        <v>320</v>
      </c>
      <c r="C34" s="441">
        <v>19.6</v>
      </c>
      <c r="D34" s="441">
        <v>19.7</v>
      </c>
      <c r="E34" s="441">
        <v>20.5</v>
      </c>
      <c r="F34" s="441">
        <v>20.7</v>
      </c>
      <c r="G34" s="441">
        <v>21.2</v>
      </c>
      <c r="H34" s="441">
        <v>24.2</v>
      </c>
      <c r="I34" s="441">
        <v>25</v>
      </c>
      <c r="J34" s="441">
        <v>24.6</v>
      </c>
      <c r="K34" s="441">
        <v>25.1</v>
      </c>
      <c r="L34" s="441">
        <v>26.2</v>
      </c>
      <c r="M34" s="441">
        <v>28.5</v>
      </c>
      <c r="N34" s="441">
        <v>27.9</v>
      </c>
      <c r="O34" s="441"/>
      <c r="P34" s="443">
        <v>22.5</v>
      </c>
      <c r="Q34" s="444"/>
      <c r="R34" s="183">
        <f t="shared" si="2"/>
        <v>9.844559585492219</v>
      </c>
      <c r="S34" s="54"/>
      <c r="T34" s="60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</row>
    <row r="35" spans="1:49" ht="9.75" customHeight="1">
      <c r="A35" s="58"/>
      <c r="B35" s="214" t="s">
        <v>326</v>
      </c>
      <c r="C35" s="215">
        <v>27.9</v>
      </c>
      <c r="D35" s="215">
        <v>27.8</v>
      </c>
      <c r="E35" s="215">
        <v>28.2</v>
      </c>
      <c r="F35" s="215">
        <v>30.4</v>
      </c>
      <c r="G35" s="215">
        <v>30.8</v>
      </c>
      <c r="H35" s="215">
        <v>32.2</v>
      </c>
      <c r="I35" s="215">
        <v>35.4</v>
      </c>
      <c r="J35" s="215">
        <v>36.7</v>
      </c>
      <c r="K35" s="215">
        <v>36.9</v>
      </c>
      <c r="L35" s="215">
        <v>33</v>
      </c>
      <c r="M35" s="215">
        <v>36.8</v>
      </c>
      <c r="N35" s="215">
        <v>35.7</v>
      </c>
      <c r="O35" s="215"/>
      <c r="P35" s="217">
        <v>31.2</v>
      </c>
      <c r="Q35" s="219"/>
      <c r="R35" s="183">
        <f t="shared" si="2"/>
        <v>45.28301886792454</v>
      </c>
      <c r="S35" s="54"/>
      <c r="T35" s="60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</row>
    <row r="36" spans="1:49" ht="9.75" customHeight="1">
      <c r="A36" s="58"/>
      <c r="B36" s="214" t="s">
        <v>513</v>
      </c>
      <c r="C36" s="215">
        <v>38.3</v>
      </c>
      <c r="D36" s="215">
        <v>35.9</v>
      </c>
      <c r="E36" s="215">
        <v>40.3</v>
      </c>
      <c r="F36" s="215">
        <v>36.8</v>
      </c>
      <c r="G36" s="215">
        <v>41</v>
      </c>
      <c r="H36" s="215"/>
      <c r="I36" s="215"/>
      <c r="J36" s="215"/>
      <c r="K36" s="215"/>
      <c r="L36" s="215"/>
      <c r="M36" s="215"/>
      <c r="N36" s="215"/>
      <c r="O36" s="215"/>
      <c r="P36" s="217"/>
      <c r="Q36" s="219"/>
      <c r="R36" s="183">
        <f t="shared" si="2"/>
        <v>33.11688311688312</v>
      </c>
      <c r="S36" s="54"/>
      <c r="T36" s="60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</row>
    <row r="37" spans="1:49" ht="3.75" customHeight="1">
      <c r="A37" s="5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ht="9.75" customHeight="1">
      <c r="A38" s="58" t="s">
        <v>10</v>
      </c>
      <c r="B38" s="52" t="s">
        <v>112</v>
      </c>
      <c r="C38" s="59">
        <v>17.2</v>
      </c>
      <c r="D38" s="59">
        <v>17.9</v>
      </c>
      <c r="E38" s="59">
        <v>17.6</v>
      </c>
      <c r="F38" s="59">
        <v>17</v>
      </c>
      <c r="G38" s="59">
        <v>16.9</v>
      </c>
      <c r="H38" s="59">
        <v>16.9</v>
      </c>
      <c r="I38" s="59">
        <v>17</v>
      </c>
      <c r="J38" s="59">
        <v>17.2</v>
      </c>
      <c r="K38" s="59">
        <v>17.1</v>
      </c>
      <c r="L38" s="59">
        <v>17.5</v>
      </c>
      <c r="M38" s="59">
        <v>17.7</v>
      </c>
      <c r="N38" s="59">
        <v>18</v>
      </c>
      <c r="O38" s="59"/>
      <c r="P38" s="99">
        <v>17.3</v>
      </c>
      <c r="Q38" s="54"/>
      <c r="R38" s="118" t="s">
        <v>72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</row>
    <row r="39" spans="1:49" ht="9.75" customHeight="1">
      <c r="A39" s="58"/>
      <c r="B39" s="52" t="s">
        <v>179</v>
      </c>
      <c r="C39" s="59">
        <v>18.6</v>
      </c>
      <c r="D39" s="59">
        <v>18.7</v>
      </c>
      <c r="E39" s="59">
        <v>19.2</v>
      </c>
      <c r="F39" s="59">
        <v>19.6</v>
      </c>
      <c r="G39" s="59">
        <v>20.9</v>
      </c>
      <c r="H39" s="59">
        <v>22.4</v>
      </c>
      <c r="I39" s="59">
        <v>23.2</v>
      </c>
      <c r="J39" s="59">
        <v>23.2</v>
      </c>
      <c r="K39" s="59">
        <v>23.2</v>
      </c>
      <c r="L39" s="59">
        <v>23.2</v>
      </c>
      <c r="M39" s="59">
        <v>23.4</v>
      </c>
      <c r="N39" s="59">
        <v>23.5</v>
      </c>
      <c r="O39" s="59"/>
      <c r="P39" s="99">
        <v>21.2</v>
      </c>
      <c r="Q39" s="54"/>
      <c r="R39" s="183">
        <f aca="true" t="shared" si="3" ref="R39:R46">(G39/G38-1)*100</f>
        <v>23.66863905325445</v>
      </c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</row>
    <row r="40" spans="1:49" ht="9.75" customHeight="1">
      <c r="A40" s="58"/>
      <c r="B40" s="52" t="s">
        <v>232</v>
      </c>
      <c r="C40" s="59">
        <v>20.4</v>
      </c>
      <c r="D40" s="59">
        <v>19.5</v>
      </c>
      <c r="E40" s="59">
        <v>19.1</v>
      </c>
      <c r="F40" s="59">
        <v>19</v>
      </c>
      <c r="G40" s="59">
        <v>19.1</v>
      </c>
      <c r="H40" s="59">
        <v>18.8</v>
      </c>
      <c r="I40" s="59">
        <v>18.7</v>
      </c>
      <c r="J40" s="59">
        <v>17.3</v>
      </c>
      <c r="K40" s="59">
        <v>18.1</v>
      </c>
      <c r="L40" s="59">
        <v>17.7</v>
      </c>
      <c r="M40" s="59">
        <v>13.6</v>
      </c>
      <c r="N40" s="59">
        <v>18.2</v>
      </c>
      <c r="O40" s="59"/>
      <c r="P40" s="99">
        <v>18.6</v>
      </c>
      <c r="Q40" s="54"/>
      <c r="R40" s="183">
        <f t="shared" si="3"/>
        <v>-8.612440191387549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1:49" ht="9.75" customHeight="1">
      <c r="A41" s="58"/>
      <c r="B41" s="52" t="s">
        <v>243</v>
      </c>
      <c r="C41" s="59">
        <v>18.8</v>
      </c>
      <c r="D41" s="59">
        <v>19.1</v>
      </c>
      <c r="E41" s="59">
        <v>20.3</v>
      </c>
      <c r="F41" s="59">
        <v>18.7</v>
      </c>
      <c r="G41" s="59">
        <v>17.8</v>
      </c>
      <c r="H41" s="59">
        <v>18.9</v>
      </c>
      <c r="I41" s="59">
        <v>18.3</v>
      </c>
      <c r="J41" s="59">
        <v>19.3</v>
      </c>
      <c r="K41" s="59">
        <v>20.1</v>
      </c>
      <c r="L41" s="59">
        <v>19.6</v>
      </c>
      <c r="M41" s="59">
        <v>20.2</v>
      </c>
      <c r="N41" s="59">
        <v>20</v>
      </c>
      <c r="O41" s="59"/>
      <c r="P41" s="99">
        <v>19.2</v>
      </c>
      <c r="Q41" s="54"/>
      <c r="R41" s="183">
        <f t="shared" si="3"/>
        <v>-6.806282722513091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1:49" ht="9.75" customHeight="1">
      <c r="A42" s="58"/>
      <c r="B42" s="52" t="s">
        <v>273</v>
      </c>
      <c r="C42" s="59">
        <v>22.6</v>
      </c>
      <c r="D42" s="59">
        <v>23.7</v>
      </c>
      <c r="E42" s="59">
        <v>22.4</v>
      </c>
      <c r="F42" s="59">
        <v>24.8</v>
      </c>
      <c r="G42" s="59">
        <v>26.5</v>
      </c>
      <c r="H42" s="59">
        <v>26.4</v>
      </c>
      <c r="I42" s="59">
        <v>27.4</v>
      </c>
      <c r="J42" s="59">
        <v>25.3</v>
      </c>
      <c r="K42" s="59">
        <v>23.1</v>
      </c>
      <c r="L42" s="59">
        <v>26.4</v>
      </c>
      <c r="M42" s="59">
        <v>27.2</v>
      </c>
      <c r="N42" s="59">
        <v>25.3</v>
      </c>
      <c r="O42" s="59"/>
      <c r="P42" s="99">
        <v>25.1</v>
      </c>
      <c r="Q42" s="54"/>
      <c r="R42" s="183">
        <f t="shared" si="3"/>
        <v>48.87640449438202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</row>
    <row r="43" spans="1:49" ht="9.75" customHeight="1">
      <c r="A43" s="58"/>
      <c r="B43" s="365" t="s">
        <v>286</v>
      </c>
      <c r="C43" s="441">
        <v>21.9</v>
      </c>
      <c r="D43" s="441">
        <v>20.8</v>
      </c>
      <c r="E43" s="441">
        <v>22.6</v>
      </c>
      <c r="F43" s="441">
        <v>20.6</v>
      </c>
      <c r="G43" s="441">
        <v>21.6</v>
      </c>
      <c r="H43" s="441">
        <v>19.3</v>
      </c>
      <c r="I43" s="441">
        <v>18.4</v>
      </c>
      <c r="J43" s="441">
        <v>18.7</v>
      </c>
      <c r="K43" s="441">
        <v>18</v>
      </c>
      <c r="L43" s="441">
        <v>18.4</v>
      </c>
      <c r="M43" s="441">
        <v>17.5</v>
      </c>
      <c r="N43" s="441">
        <v>18.1</v>
      </c>
      <c r="O43" s="441"/>
      <c r="P43" s="443">
        <v>20.6</v>
      </c>
      <c r="Q43" s="444"/>
      <c r="R43" s="183">
        <f t="shared" si="3"/>
        <v>-18.490566037735846</v>
      </c>
      <c r="S43" s="54"/>
      <c r="T43" s="60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</row>
    <row r="44" spans="1:49" ht="9.75" customHeight="1">
      <c r="A44" s="58"/>
      <c r="B44" s="365" t="s">
        <v>320</v>
      </c>
      <c r="C44" s="441">
        <v>20.8</v>
      </c>
      <c r="D44" s="441">
        <v>22.8</v>
      </c>
      <c r="E44" s="441">
        <v>21.8</v>
      </c>
      <c r="F44" s="441">
        <v>21</v>
      </c>
      <c r="G44" s="441">
        <v>22.7</v>
      </c>
      <c r="H44" s="441">
        <v>25.3</v>
      </c>
      <c r="I44" s="441">
        <v>22.5</v>
      </c>
      <c r="J44" s="441">
        <v>22.7</v>
      </c>
      <c r="K44" s="441">
        <v>24.8</v>
      </c>
      <c r="L44" s="441">
        <v>25</v>
      </c>
      <c r="M44" s="441">
        <v>22.7</v>
      </c>
      <c r="N44" s="441">
        <v>25.1</v>
      </c>
      <c r="O44" s="441"/>
      <c r="P44" s="443">
        <v>22.7</v>
      </c>
      <c r="Q44" s="444"/>
      <c r="R44" s="183">
        <f t="shared" si="3"/>
        <v>5.092592592592582</v>
      </c>
      <c r="S44" s="54"/>
      <c r="T44" s="60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1:49" ht="9.75" customHeight="1">
      <c r="A45" s="58"/>
      <c r="B45" s="214" t="s">
        <v>326</v>
      </c>
      <c r="C45" s="215">
        <v>27.4</v>
      </c>
      <c r="D45" s="215">
        <v>22.5</v>
      </c>
      <c r="E45" s="215">
        <v>25.5</v>
      </c>
      <c r="F45" s="215">
        <v>28.9</v>
      </c>
      <c r="G45" s="215">
        <v>29.4</v>
      </c>
      <c r="H45" s="215">
        <v>28.9</v>
      </c>
      <c r="I45" s="215">
        <v>31.3</v>
      </c>
      <c r="J45" s="215">
        <v>33.8</v>
      </c>
      <c r="K45" s="215">
        <v>33.7</v>
      </c>
      <c r="L45" s="215">
        <v>32.4</v>
      </c>
      <c r="M45" s="215">
        <v>33.8</v>
      </c>
      <c r="N45" s="215">
        <v>34.3</v>
      </c>
      <c r="O45" s="215"/>
      <c r="P45" s="217">
        <v>29</v>
      </c>
      <c r="Q45" s="219"/>
      <c r="R45" s="183">
        <f t="shared" si="3"/>
        <v>29.51541850220265</v>
      </c>
      <c r="S45" s="54"/>
      <c r="T45" s="60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1:49" ht="9.75" customHeight="1">
      <c r="A46" s="58"/>
      <c r="B46" s="214" t="s">
        <v>513</v>
      </c>
      <c r="C46" s="215">
        <v>38.5</v>
      </c>
      <c r="D46" s="215">
        <v>39.2</v>
      </c>
      <c r="E46" s="215">
        <v>38.9</v>
      </c>
      <c r="F46" s="215">
        <v>39.2</v>
      </c>
      <c r="G46" s="215">
        <v>40.3</v>
      </c>
      <c r="H46" s="215"/>
      <c r="I46" s="215"/>
      <c r="J46" s="215"/>
      <c r="K46" s="215"/>
      <c r="L46" s="215"/>
      <c r="M46" s="215"/>
      <c r="N46" s="215"/>
      <c r="O46" s="215"/>
      <c r="P46" s="217"/>
      <c r="Q46" s="219"/>
      <c r="R46" s="183">
        <f t="shared" si="3"/>
        <v>37.0748299319728</v>
      </c>
      <c r="S46" s="54"/>
      <c r="T46" s="60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</row>
    <row r="47" spans="1:49" ht="3.75" customHeight="1">
      <c r="A47" s="58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1:49" ht="9.75" customHeight="1">
      <c r="A48" s="58" t="s">
        <v>5</v>
      </c>
      <c r="B48" s="52" t="s">
        <v>112</v>
      </c>
      <c r="C48" s="59">
        <v>13.7</v>
      </c>
      <c r="D48" s="59">
        <v>15.1</v>
      </c>
      <c r="E48" s="59">
        <v>13.7</v>
      </c>
      <c r="F48" s="59">
        <v>13</v>
      </c>
      <c r="G48" s="59">
        <v>12.5</v>
      </c>
      <c r="H48" s="59">
        <v>12.8</v>
      </c>
      <c r="I48" s="59">
        <v>13.1</v>
      </c>
      <c r="J48" s="59">
        <v>11.9</v>
      </c>
      <c r="K48" s="59">
        <v>12.6</v>
      </c>
      <c r="L48" s="59">
        <v>13.9</v>
      </c>
      <c r="M48" s="59">
        <v>16</v>
      </c>
      <c r="N48" s="59">
        <v>18.1</v>
      </c>
      <c r="O48" s="59"/>
      <c r="P48" s="99">
        <v>13.7</v>
      </c>
      <c r="Q48" s="54"/>
      <c r="R48" s="118" t="s">
        <v>72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1:49" ht="9.75" customHeight="1">
      <c r="A49" s="58"/>
      <c r="B49" s="52" t="s">
        <v>179</v>
      </c>
      <c r="C49" s="59">
        <v>21.2</v>
      </c>
      <c r="D49" s="59">
        <v>23.5</v>
      </c>
      <c r="E49" s="59">
        <v>25.3</v>
      </c>
      <c r="F49" s="59">
        <v>24.5</v>
      </c>
      <c r="G49" s="59">
        <v>24.6</v>
      </c>
      <c r="H49" s="59">
        <v>24.2</v>
      </c>
      <c r="I49" s="59">
        <v>26.9</v>
      </c>
      <c r="J49" s="59">
        <v>28.7</v>
      </c>
      <c r="K49" s="59">
        <v>30</v>
      </c>
      <c r="L49" s="59">
        <v>27.1</v>
      </c>
      <c r="M49" s="59">
        <v>27.5</v>
      </c>
      <c r="N49" s="59">
        <v>20</v>
      </c>
      <c r="O49" s="59"/>
      <c r="P49" s="99">
        <v>24.6</v>
      </c>
      <c r="Q49" s="54"/>
      <c r="R49" s="183">
        <f aca="true" t="shared" si="4" ref="R49:R56">(G49/G48-1)*100</f>
        <v>96.80000000000003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1:49" ht="9.75" customHeight="1">
      <c r="A50" s="58"/>
      <c r="B50" s="52" t="s">
        <v>232</v>
      </c>
      <c r="C50" s="59">
        <v>15.7</v>
      </c>
      <c r="D50" s="59">
        <v>14.8</v>
      </c>
      <c r="E50" s="59">
        <v>13</v>
      </c>
      <c r="F50" s="59">
        <v>15.2</v>
      </c>
      <c r="G50" s="59">
        <v>17.4</v>
      </c>
      <c r="H50" s="59">
        <v>15.7</v>
      </c>
      <c r="I50" s="59">
        <v>12.5</v>
      </c>
      <c r="J50" s="59">
        <v>17.7</v>
      </c>
      <c r="K50" s="59">
        <v>15.2</v>
      </c>
      <c r="L50" s="59">
        <v>14</v>
      </c>
      <c r="M50" s="59">
        <v>18.5</v>
      </c>
      <c r="N50" s="59">
        <v>17.8</v>
      </c>
      <c r="O50" s="59"/>
      <c r="P50" s="99">
        <v>15.3</v>
      </c>
      <c r="Q50" s="54"/>
      <c r="R50" s="183">
        <f t="shared" si="4"/>
        <v>-29.268292682926845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1:49" ht="9.75" customHeight="1">
      <c r="A51" s="58"/>
      <c r="B51" s="52" t="s">
        <v>243</v>
      </c>
      <c r="C51" s="59">
        <v>18.4</v>
      </c>
      <c r="D51" s="59">
        <v>18.7</v>
      </c>
      <c r="E51" s="59">
        <v>18.8</v>
      </c>
      <c r="F51" s="59">
        <v>19</v>
      </c>
      <c r="G51" s="59">
        <v>18.8</v>
      </c>
      <c r="H51" s="59">
        <v>20.5</v>
      </c>
      <c r="I51" s="59">
        <v>21.1</v>
      </c>
      <c r="J51" s="59">
        <v>20.1</v>
      </c>
      <c r="K51" s="59">
        <v>21.4</v>
      </c>
      <c r="L51" s="59">
        <v>19.9</v>
      </c>
      <c r="M51" s="59">
        <v>20.9</v>
      </c>
      <c r="N51" s="59">
        <v>19.2</v>
      </c>
      <c r="O51" s="59"/>
      <c r="P51" s="99">
        <v>19.3</v>
      </c>
      <c r="Q51" s="54"/>
      <c r="R51" s="183">
        <f t="shared" si="4"/>
        <v>8.045977011494276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</row>
    <row r="52" spans="1:49" ht="9.75" customHeight="1">
      <c r="A52" s="58"/>
      <c r="B52" s="52" t="s">
        <v>273</v>
      </c>
      <c r="C52" s="59">
        <v>22</v>
      </c>
      <c r="D52" s="59">
        <v>23.6</v>
      </c>
      <c r="E52" s="59">
        <v>23.7</v>
      </c>
      <c r="F52" s="59">
        <v>23.6</v>
      </c>
      <c r="G52" s="59">
        <v>27.1</v>
      </c>
      <c r="H52" s="59">
        <v>22.3</v>
      </c>
      <c r="I52" s="59">
        <v>23.5</v>
      </c>
      <c r="J52" s="59">
        <v>23.5</v>
      </c>
      <c r="K52" s="59">
        <v>25.2</v>
      </c>
      <c r="L52" s="59">
        <v>23.5</v>
      </c>
      <c r="M52" s="59">
        <v>20.4</v>
      </c>
      <c r="N52" s="59">
        <v>20.6</v>
      </c>
      <c r="O52" s="59"/>
      <c r="P52" s="99">
        <v>22.5</v>
      </c>
      <c r="Q52" s="54"/>
      <c r="R52" s="183">
        <f t="shared" si="4"/>
        <v>44.148936170212764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1:49" ht="9.75" customHeight="1">
      <c r="A53" s="58"/>
      <c r="B53" s="365" t="s">
        <v>286</v>
      </c>
      <c r="C53" s="441">
        <v>19.3</v>
      </c>
      <c r="D53" s="441">
        <v>19.1</v>
      </c>
      <c r="E53" s="441">
        <v>18.6</v>
      </c>
      <c r="F53" s="441">
        <v>20.3</v>
      </c>
      <c r="G53" s="441">
        <v>19.7</v>
      </c>
      <c r="H53" s="441">
        <v>20</v>
      </c>
      <c r="I53" s="441">
        <v>22.1</v>
      </c>
      <c r="J53" s="441">
        <v>21.9</v>
      </c>
      <c r="K53" s="441">
        <v>20.8</v>
      </c>
      <c r="L53" s="441">
        <v>19.6</v>
      </c>
      <c r="M53" s="441">
        <v>21.7</v>
      </c>
      <c r="N53" s="441">
        <v>20</v>
      </c>
      <c r="O53" s="441"/>
      <c r="P53" s="443">
        <v>19.6</v>
      </c>
      <c r="Q53" s="444"/>
      <c r="R53" s="183">
        <f t="shared" si="4"/>
        <v>-27.306273062730636</v>
      </c>
      <c r="S53" s="54"/>
      <c r="T53" s="60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1:49" ht="9.75" customHeight="1">
      <c r="A54" s="58"/>
      <c r="B54" s="365" t="s">
        <v>320</v>
      </c>
      <c r="C54" s="441">
        <v>19.2</v>
      </c>
      <c r="D54" s="441">
        <v>18.8</v>
      </c>
      <c r="E54" s="441">
        <v>19.7</v>
      </c>
      <c r="F54" s="441">
        <v>20.1</v>
      </c>
      <c r="G54" s="441">
        <v>20.8</v>
      </c>
      <c r="H54" s="441">
        <v>24.9</v>
      </c>
      <c r="I54" s="441">
        <v>24.2</v>
      </c>
      <c r="J54" s="441">
        <v>24.6</v>
      </c>
      <c r="K54" s="441">
        <v>24.3</v>
      </c>
      <c r="L54" s="441">
        <v>24</v>
      </c>
      <c r="M54" s="441">
        <v>28.1</v>
      </c>
      <c r="N54" s="441">
        <v>26.9</v>
      </c>
      <c r="O54" s="441"/>
      <c r="P54" s="443">
        <v>21.1</v>
      </c>
      <c r="Q54" s="444"/>
      <c r="R54" s="183">
        <f t="shared" si="4"/>
        <v>5.583756345177671</v>
      </c>
      <c r="S54" s="54"/>
      <c r="T54" s="6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</row>
    <row r="55" spans="1:49" ht="9.75" customHeight="1">
      <c r="A55" s="58"/>
      <c r="B55" s="214" t="s">
        <v>326</v>
      </c>
      <c r="C55" s="215">
        <v>26</v>
      </c>
      <c r="D55" s="215">
        <v>28.2</v>
      </c>
      <c r="E55" s="215">
        <v>30.8</v>
      </c>
      <c r="F55" s="215">
        <v>33.5</v>
      </c>
      <c r="G55" s="215">
        <v>30.8</v>
      </c>
      <c r="H55" s="215">
        <v>37.2</v>
      </c>
      <c r="I55" s="215">
        <v>40</v>
      </c>
      <c r="J55" s="215">
        <v>42.1</v>
      </c>
      <c r="K55" s="215">
        <v>41.6</v>
      </c>
      <c r="L55" s="215">
        <v>43</v>
      </c>
      <c r="M55" s="215">
        <v>42.5</v>
      </c>
      <c r="N55" s="215">
        <v>37.5</v>
      </c>
      <c r="O55" s="215"/>
      <c r="P55" s="217">
        <v>31.9</v>
      </c>
      <c r="Q55" s="219"/>
      <c r="R55" s="183">
        <f t="shared" si="4"/>
        <v>48.07692307692308</v>
      </c>
      <c r="S55" s="54"/>
      <c r="T55" s="60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1:49" ht="9.75" customHeight="1">
      <c r="A56" s="58"/>
      <c r="B56" s="214" t="s">
        <v>513</v>
      </c>
      <c r="C56" s="215">
        <v>39.4</v>
      </c>
      <c r="D56" s="215">
        <v>37.9</v>
      </c>
      <c r="E56" s="215">
        <v>36</v>
      </c>
      <c r="F56" s="215">
        <v>30.9</v>
      </c>
      <c r="G56" s="215">
        <v>33</v>
      </c>
      <c r="H56" s="215"/>
      <c r="I56" s="215"/>
      <c r="J56" s="215"/>
      <c r="K56" s="215"/>
      <c r="L56" s="215"/>
      <c r="M56" s="215"/>
      <c r="N56" s="215"/>
      <c r="O56" s="215"/>
      <c r="P56" s="217"/>
      <c r="Q56" s="219"/>
      <c r="R56" s="183">
        <f t="shared" si="4"/>
        <v>7.14285714285714</v>
      </c>
      <c r="S56" s="54"/>
      <c r="T56" s="60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1:49" ht="3.75" customHeight="1">
      <c r="A57" s="58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1:49" ht="9.75" customHeight="1">
      <c r="A58" s="58" t="s">
        <v>9</v>
      </c>
      <c r="B58" s="52" t="s">
        <v>112</v>
      </c>
      <c r="C58" s="59">
        <v>19</v>
      </c>
      <c r="D58" s="59">
        <v>18.1</v>
      </c>
      <c r="E58" s="59">
        <v>15.7</v>
      </c>
      <c r="F58" s="59">
        <v>16</v>
      </c>
      <c r="G58" s="59">
        <v>15.1</v>
      </c>
      <c r="H58" s="59">
        <v>14.1</v>
      </c>
      <c r="I58" s="59">
        <v>16.3</v>
      </c>
      <c r="J58" s="59">
        <v>16</v>
      </c>
      <c r="K58" s="59">
        <v>13.8</v>
      </c>
      <c r="L58" s="59">
        <v>12.4</v>
      </c>
      <c r="M58" s="59">
        <v>11.3</v>
      </c>
      <c r="N58" s="59">
        <v>14.9</v>
      </c>
      <c r="O58" s="59"/>
      <c r="P58" s="99">
        <v>15.9</v>
      </c>
      <c r="Q58" s="54"/>
      <c r="R58" s="118" t="s">
        <v>72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1:49" ht="9.75" customHeight="1">
      <c r="A59" s="58"/>
      <c r="B59" s="52" t="s">
        <v>179</v>
      </c>
      <c r="C59" s="59">
        <v>19</v>
      </c>
      <c r="D59" s="59">
        <v>24.5</v>
      </c>
      <c r="E59" s="59">
        <v>24.5</v>
      </c>
      <c r="F59" s="59">
        <v>25</v>
      </c>
      <c r="G59" s="59">
        <v>23.4</v>
      </c>
      <c r="H59" s="59">
        <v>25.8</v>
      </c>
      <c r="I59" s="59">
        <v>24.2</v>
      </c>
      <c r="J59" s="59">
        <v>28</v>
      </c>
      <c r="K59" s="59">
        <v>27.3</v>
      </c>
      <c r="L59" s="159" t="s">
        <v>128</v>
      </c>
      <c r="M59" s="159" t="s">
        <v>128</v>
      </c>
      <c r="N59" s="159" t="s">
        <v>128</v>
      </c>
      <c r="O59" s="59"/>
      <c r="P59" s="99">
        <v>24.3</v>
      </c>
      <c r="Q59" s="54"/>
      <c r="R59" s="183">
        <f>(G59/G58-1)*100</f>
        <v>54.96688741721854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1:49" ht="9.75" customHeight="1">
      <c r="A60" s="58"/>
      <c r="B60" s="52" t="s">
        <v>232</v>
      </c>
      <c r="C60" s="59">
        <v>16</v>
      </c>
      <c r="D60" s="59">
        <v>17.1</v>
      </c>
      <c r="E60" s="59">
        <v>16</v>
      </c>
      <c r="F60" s="59">
        <v>15.1</v>
      </c>
      <c r="G60" s="59">
        <v>17.4</v>
      </c>
      <c r="H60" s="59">
        <v>17.7</v>
      </c>
      <c r="I60" s="59">
        <v>14.5</v>
      </c>
      <c r="J60" s="59">
        <v>13.1</v>
      </c>
      <c r="K60" s="59">
        <v>20.3</v>
      </c>
      <c r="L60" s="59">
        <v>14.1</v>
      </c>
      <c r="M60" s="59">
        <v>14.2</v>
      </c>
      <c r="N60" s="59">
        <v>17.9</v>
      </c>
      <c r="O60" s="59"/>
      <c r="P60" s="99">
        <v>16</v>
      </c>
      <c r="Q60" s="54"/>
      <c r="R60" s="183">
        <f>(G60/G59-1)*100</f>
        <v>-25.64102564102564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1:49" ht="9.75" customHeight="1">
      <c r="A61" s="58"/>
      <c r="B61" s="52" t="s">
        <v>243</v>
      </c>
      <c r="C61" s="159">
        <v>17.6</v>
      </c>
      <c r="D61" s="59">
        <v>20.1</v>
      </c>
      <c r="E61" s="59">
        <v>21.2</v>
      </c>
      <c r="F61" s="59">
        <v>17.1</v>
      </c>
      <c r="G61" s="59">
        <v>21</v>
      </c>
      <c r="H61" s="59">
        <v>19.8</v>
      </c>
      <c r="I61" s="59">
        <v>18.7</v>
      </c>
      <c r="J61" s="59">
        <v>19.1</v>
      </c>
      <c r="K61" s="59">
        <v>20.1</v>
      </c>
      <c r="L61" s="59">
        <v>19</v>
      </c>
      <c r="M61" s="59">
        <v>19.1</v>
      </c>
      <c r="N61" s="59">
        <v>19.6</v>
      </c>
      <c r="O61" s="59"/>
      <c r="P61" s="99">
        <v>18.6</v>
      </c>
      <c r="Q61" s="54"/>
      <c r="R61" s="183">
        <f>(G61/G60-1)*100</f>
        <v>20.68965517241381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1:49" ht="9.75" customHeight="1">
      <c r="A62" s="58"/>
      <c r="B62" s="52" t="s">
        <v>273</v>
      </c>
      <c r="C62" s="159">
        <v>23.4</v>
      </c>
      <c r="D62" s="59">
        <v>26.4</v>
      </c>
      <c r="E62" s="59">
        <v>24.4</v>
      </c>
      <c r="F62" s="159" t="s">
        <v>128</v>
      </c>
      <c r="G62" s="159">
        <v>27.9</v>
      </c>
      <c r="H62" s="159">
        <v>28.2</v>
      </c>
      <c r="I62" s="59">
        <v>26.6</v>
      </c>
      <c r="J62" s="159" t="s">
        <v>128</v>
      </c>
      <c r="K62" s="59">
        <v>26.1</v>
      </c>
      <c r="L62" s="159" t="s">
        <v>128</v>
      </c>
      <c r="M62" s="159" t="s">
        <v>128</v>
      </c>
      <c r="N62" s="159" t="s">
        <v>128</v>
      </c>
      <c r="O62" s="59"/>
      <c r="P62" s="99">
        <v>26.5</v>
      </c>
      <c r="Q62" s="54"/>
      <c r="R62" s="183">
        <f>(G62/G61-1)*100</f>
        <v>32.857142857142854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1:49" ht="9.75" customHeight="1">
      <c r="A63" s="58"/>
      <c r="B63" s="365" t="s">
        <v>286</v>
      </c>
      <c r="C63" s="442">
        <v>18.8</v>
      </c>
      <c r="D63" s="442">
        <v>21.7</v>
      </c>
      <c r="E63" s="442">
        <v>20.8</v>
      </c>
      <c r="F63" s="442">
        <v>19</v>
      </c>
      <c r="G63" s="442" t="s">
        <v>128</v>
      </c>
      <c r="H63" s="442" t="s">
        <v>128</v>
      </c>
      <c r="I63" s="441">
        <v>16.9</v>
      </c>
      <c r="J63" s="441">
        <v>14.9</v>
      </c>
      <c r="K63" s="442">
        <v>13.6</v>
      </c>
      <c r="L63" s="442">
        <v>21.5</v>
      </c>
      <c r="M63" s="442" t="s">
        <v>128</v>
      </c>
      <c r="N63" s="442">
        <v>21.3</v>
      </c>
      <c r="O63" s="441"/>
      <c r="P63" s="443">
        <v>20.1</v>
      </c>
      <c r="Q63" s="444"/>
      <c r="R63" s="118" t="s">
        <v>72</v>
      </c>
      <c r="S63" s="54"/>
      <c r="T63" s="60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</row>
    <row r="64" spans="1:49" ht="9.75" customHeight="1">
      <c r="A64" s="58"/>
      <c r="B64" s="365" t="s">
        <v>320</v>
      </c>
      <c r="C64" s="442">
        <v>22.6</v>
      </c>
      <c r="D64" s="442">
        <v>22.4</v>
      </c>
      <c r="E64" s="442">
        <v>23</v>
      </c>
      <c r="F64" s="442">
        <v>25</v>
      </c>
      <c r="G64" s="442">
        <v>24.7</v>
      </c>
      <c r="H64" s="442">
        <v>24.9</v>
      </c>
      <c r="I64" s="441">
        <v>24.1</v>
      </c>
      <c r="J64" s="441">
        <v>25.8</v>
      </c>
      <c r="K64" s="442">
        <v>26.8</v>
      </c>
      <c r="L64" s="442">
        <v>26.2</v>
      </c>
      <c r="M64" s="441">
        <v>26.8</v>
      </c>
      <c r="N64" s="441">
        <v>25.9</v>
      </c>
      <c r="O64" s="441"/>
      <c r="P64" s="443">
        <v>24.4</v>
      </c>
      <c r="Q64" s="444"/>
      <c r="R64" s="118" t="s">
        <v>72</v>
      </c>
      <c r="S64" s="54"/>
      <c r="T64" s="60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</row>
    <row r="65" spans="1:49" ht="9.75" customHeight="1">
      <c r="A65" s="58"/>
      <c r="B65" s="214" t="s">
        <v>326</v>
      </c>
      <c r="C65" s="216">
        <v>24</v>
      </c>
      <c r="D65" s="216">
        <v>27.6</v>
      </c>
      <c r="E65" s="216">
        <v>28.9</v>
      </c>
      <c r="F65" s="216">
        <v>26.9</v>
      </c>
      <c r="G65" s="216">
        <v>34.2</v>
      </c>
      <c r="H65" s="216">
        <v>32.2</v>
      </c>
      <c r="I65" s="215">
        <v>39.7</v>
      </c>
      <c r="J65" s="215">
        <v>39.8</v>
      </c>
      <c r="K65" s="216">
        <v>39.5</v>
      </c>
      <c r="L65" s="216">
        <v>34.7</v>
      </c>
      <c r="M65" s="216" t="s">
        <v>128</v>
      </c>
      <c r="N65" s="216" t="s">
        <v>128</v>
      </c>
      <c r="O65" s="215"/>
      <c r="P65" s="217">
        <v>29.1</v>
      </c>
      <c r="Q65" s="219"/>
      <c r="R65" s="183">
        <f>(G65/G64-1)*100</f>
        <v>38.46153846153848</v>
      </c>
      <c r="S65" s="54"/>
      <c r="T65" s="60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</row>
    <row r="66" spans="1:49" ht="9.75" customHeight="1">
      <c r="A66" s="58"/>
      <c r="B66" s="214" t="s">
        <v>513</v>
      </c>
      <c r="C66" s="216">
        <v>37.6</v>
      </c>
      <c r="D66" s="216">
        <v>57.4</v>
      </c>
      <c r="E66" s="216">
        <v>42.2</v>
      </c>
      <c r="F66" s="216">
        <v>57.1</v>
      </c>
      <c r="G66" s="216" t="s">
        <v>128</v>
      </c>
      <c r="H66" s="216"/>
      <c r="I66" s="215"/>
      <c r="J66" s="215"/>
      <c r="K66" s="216"/>
      <c r="L66" s="216"/>
      <c r="M66" s="216"/>
      <c r="N66" s="216"/>
      <c r="O66" s="215"/>
      <c r="P66" s="217"/>
      <c r="Q66" s="219"/>
      <c r="R66" s="118" t="s">
        <v>72</v>
      </c>
      <c r="S66" s="54"/>
      <c r="T66" s="60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</row>
    <row r="67" spans="1:49" ht="3.75" customHeight="1">
      <c r="A67" s="58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</row>
    <row r="68" spans="1:49" ht="9.75" customHeight="1">
      <c r="A68" s="58" t="s">
        <v>6</v>
      </c>
      <c r="B68" s="52" t="s">
        <v>112</v>
      </c>
      <c r="C68" s="59">
        <v>16.9</v>
      </c>
      <c r="D68" s="59">
        <v>16</v>
      </c>
      <c r="E68" s="59">
        <v>15.7</v>
      </c>
      <c r="F68" s="59">
        <v>14.8</v>
      </c>
      <c r="G68" s="59">
        <v>15.2</v>
      </c>
      <c r="H68" s="59">
        <v>14.7</v>
      </c>
      <c r="I68" s="59">
        <v>14.9</v>
      </c>
      <c r="J68" s="59">
        <v>15.1</v>
      </c>
      <c r="K68" s="59">
        <v>15.6</v>
      </c>
      <c r="L68" s="59">
        <v>15.5</v>
      </c>
      <c r="M68" s="59">
        <v>16.1</v>
      </c>
      <c r="N68" s="59">
        <v>16.9</v>
      </c>
      <c r="O68" s="59"/>
      <c r="P68" s="99">
        <v>15.8</v>
      </c>
      <c r="Q68" s="54"/>
      <c r="R68" s="118" t="s">
        <v>72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</row>
    <row r="69" spans="1:49" ht="9.75" customHeight="1">
      <c r="A69" s="58"/>
      <c r="B69" s="52" t="s">
        <v>179</v>
      </c>
      <c r="C69" s="59">
        <v>17.9</v>
      </c>
      <c r="D69" s="59">
        <v>17.7</v>
      </c>
      <c r="E69" s="59">
        <v>17.5</v>
      </c>
      <c r="F69" s="59">
        <v>17.8</v>
      </c>
      <c r="G69" s="59">
        <v>18.9</v>
      </c>
      <c r="H69" s="59">
        <v>20</v>
      </c>
      <c r="I69" s="59">
        <v>19.8</v>
      </c>
      <c r="J69" s="59">
        <v>20.1</v>
      </c>
      <c r="K69" s="59">
        <v>20.7</v>
      </c>
      <c r="L69" s="59">
        <v>20.5</v>
      </c>
      <c r="M69" s="59">
        <v>20.3</v>
      </c>
      <c r="N69" s="59">
        <v>19.9</v>
      </c>
      <c r="O69" s="59"/>
      <c r="P69" s="99">
        <v>18.5</v>
      </c>
      <c r="Q69" s="54"/>
      <c r="R69" s="183">
        <f aca="true" t="shared" si="5" ref="R69:R75">(G69/G68-1)*100</f>
        <v>24.342105263157897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</row>
    <row r="70" spans="1:49" ht="9.75" customHeight="1">
      <c r="A70" s="58"/>
      <c r="B70" s="52" t="s">
        <v>232</v>
      </c>
      <c r="C70" s="59">
        <v>20.1</v>
      </c>
      <c r="D70" s="59">
        <v>18.3</v>
      </c>
      <c r="E70" s="59">
        <v>18</v>
      </c>
      <c r="F70" s="59">
        <v>17.1</v>
      </c>
      <c r="G70" s="59">
        <v>16.4</v>
      </c>
      <c r="H70" s="59">
        <v>16.6</v>
      </c>
      <c r="I70" s="59">
        <v>16.7</v>
      </c>
      <c r="J70" s="59">
        <v>17.4</v>
      </c>
      <c r="K70" s="59">
        <v>18.1</v>
      </c>
      <c r="L70" s="59">
        <v>18.7</v>
      </c>
      <c r="M70" s="59">
        <v>18.9</v>
      </c>
      <c r="N70" s="59">
        <v>18.8</v>
      </c>
      <c r="O70" s="59"/>
      <c r="P70" s="99">
        <v>18.6</v>
      </c>
      <c r="Q70" s="54"/>
      <c r="R70" s="183">
        <f t="shared" si="5"/>
        <v>-13.227513227513231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</row>
    <row r="71" spans="1:49" ht="9.75" customHeight="1">
      <c r="A71" s="58"/>
      <c r="B71" s="52" t="s">
        <v>243</v>
      </c>
      <c r="C71" s="59">
        <v>18.7</v>
      </c>
      <c r="D71" s="59">
        <v>16.5</v>
      </c>
      <c r="E71" s="59">
        <v>16.4</v>
      </c>
      <c r="F71" s="59">
        <v>15.4</v>
      </c>
      <c r="G71" s="59">
        <v>15.5</v>
      </c>
      <c r="H71" s="59">
        <v>15.7</v>
      </c>
      <c r="I71" s="59">
        <v>16.6</v>
      </c>
      <c r="J71" s="59">
        <v>17.8</v>
      </c>
      <c r="K71" s="59">
        <v>17.3</v>
      </c>
      <c r="L71" s="59">
        <v>17.4</v>
      </c>
      <c r="M71" s="59">
        <v>17.3</v>
      </c>
      <c r="N71" s="59">
        <v>17.6</v>
      </c>
      <c r="O71" s="59"/>
      <c r="P71" s="99">
        <v>17.3</v>
      </c>
      <c r="Q71" s="54"/>
      <c r="R71" s="183">
        <f t="shared" si="5"/>
        <v>-5.487804878048774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</row>
    <row r="72" spans="1:49" ht="9.75" customHeight="1">
      <c r="A72" s="58"/>
      <c r="B72" s="52" t="s">
        <v>273</v>
      </c>
      <c r="C72" s="59">
        <v>22</v>
      </c>
      <c r="D72" s="59">
        <v>22.2</v>
      </c>
      <c r="E72" s="59">
        <v>23</v>
      </c>
      <c r="F72" s="59">
        <v>24.6</v>
      </c>
      <c r="G72" s="59">
        <v>23.8</v>
      </c>
      <c r="H72" s="59">
        <v>24.5</v>
      </c>
      <c r="I72" s="59">
        <v>24</v>
      </c>
      <c r="J72" s="59">
        <v>23.8</v>
      </c>
      <c r="K72" s="59">
        <v>23</v>
      </c>
      <c r="L72" s="59">
        <v>23.4</v>
      </c>
      <c r="M72" s="59">
        <v>22.4</v>
      </c>
      <c r="N72" s="59">
        <v>19.8</v>
      </c>
      <c r="O72" s="59"/>
      <c r="P72" s="99">
        <v>22.8</v>
      </c>
      <c r="Q72" s="54"/>
      <c r="R72" s="183">
        <f t="shared" si="5"/>
        <v>53.548387096774206</v>
      </c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</row>
    <row r="73" spans="1:49" ht="9.75" customHeight="1">
      <c r="A73" s="58"/>
      <c r="B73" s="365" t="s">
        <v>286</v>
      </c>
      <c r="C73" s="441">
        <v>18.1</v>
      </c>
      <c r="D73" s="441">
        <v>16.9</v>
      </c>
      <c r="E73" s="441">
        <v>16.6</v>
      </c>
      <c r="F73" s="441">
        <v>16.3</v>
      </c>
      <c r="G73" s="441">
        <v>16.4</v>
      </c>
      <c r="H73" s="441">
        <v>16.6</v>
      </c>
      <c r="I73" s="441">
        <v>16.8</v>
      </c>
      <c r="J73" s="441">
        <v>17.1</v>
      </c>
      <c r="K73" s="441">
        <v>17.1</v>
      </c>
      <c r="L73" s="441">
        <v>17.4</v>
      </c>
      <c r="M73" s="441">
        <v>18.1</v>
      </c>
      <c r="N73" s="441">
        <v>19.4</v>
      </c>
      <c r="O73" s="441"/>
      <c r="P73" s="443">
        <v>17.3</v>
      </c>
      <c r="Q73" s="444"/>
      <c r="R73" s="183">
        <f t="shared" si="5"/>
        <v>-31.092436974789926</v>
      </c>
      <c r="S73" s="54"/>
      <c r="T73" s="60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</row>
    <row r="74" spans="1:49" ht="9.75" customHeight="1">
      <c r="A74" s="58"/>
      <c r="B74" s="365" t="s">
        <v>320</v>
      </c>
      <c r="C74" s="441">
        <v>18.8</v>
      </c>
      <c r="D74" s="441">
        <v>19.3</v>
      </c>
      <c r="E74" s="441">
        <v>20.6</v>
      </c>
      <c r="F74" s="441">
        <v>20.6</v>
      </c>
      <c r="G74" s="441">
        <v>21.9</v>
      </c>
      <c r="H74" s="441">
        <v>23.2</v>
      </c>
      <c r="I74" s="441">
        <v>24.9</v>
      </c>
      <c r="J74" s="441">
        <v>25.5</v>
      </c>
      <c r="K74" s="441">
        <v>25.1</v>
      </c>
      <c r="L74" s="441">
        <v>26.2</v>
      </c>
      <c r="M74" s="441">
        <v>28</v>
      </c>
      <c r="N74" s="441">
        <v>27</v>
      </c>
      <c r="O74" s="441"/>
      <c r="P74" s="443">
        <v>21.3</v>
      </c>
      <c r="Q74" s="444"/>
      <c r="R74" s="183">
        <f t="shared" si="5"/>
        <v>33.53658536585367</v>
      </c>
      <c r="S74" s="54"/>
      <c r="T74" s="60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</row>
    <row r="75" spans="1:49" ht="9.75" customHeight="1">
      <c r="A75" s="58"/>
      <c r="B75" s="214" t="s">
        <v>326</v>
      </c>
      <c r="C75" s="215">
        <v>28.9</v>
      </c>
      <c r="D75" s="215">
        <v>29.9</v>
      </c>
      <c r="E75" s="215">
        <v>29.7</v>
      </c>
      <c r="F75" s="215">
        <v>29.9</v>
      </c>
      <c r="G75" s="215">
        <v>26.8</v>
      </c>
      <c r="H75" s="215">
        <v>32.2</v>
      </c>
      <c r="I75" s="215">
        <v>35.4</v>
      </c>
      <c r="J75" s="215">
        <v>33.1</v>
      </c>
      <c r="K75" s="215">
        <v>36.9</v>
      </c>
      <c r="L75" s="215">
        <v>39.6</v>
      </c>
      <c r="M75" s="215">
        <v>36.1</v>
      </c>
      <c r="N75" s="215">
        <v>40.5</v>
      </c>
      <c r="O75" s="215"/>
      <c r="P75" s="217">
        <v>29.9</v>
      </c>
      <c r="Q75" s="219"/>
      <c r="R75" s="183">
        <f t="shared" si="5"/>
        <v>22.374429223744308</v>
      </c>
      <c r="S75" s="54"/>
      <c r="T75" s="60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</row>
    <row r="76" spans="1:49" ht="9.75" customHeight="1">
      <c r="A76" s="58"/>
      <c r="B76" s="214" t="s">
        <v>513</v>
      </c>
      <c r="C76" s="215">
        <v>38.6</v>
      </c>
      <c r="D76" s="215">
        <v>39.1</v>
      </c>
      <c r="E76" s="215">
        <v>36.8</v>
      </c>
      <c r="F76" s="215">
        <v>39.1</v>
      </c>
      <c r="G76" s="216" t="s">
        <v>128</v>
      </c>
      <c r="H76" s="215"/>
      <c r="I76" s="215"/>
      <c r="J76" s="215"/>
      <c r="K76" s="215"/>
      <c r="L76" s="215"/>
      <c r="M76" s="215"/>
      <c r="N76" s="215"/>
      <c r="O76" s="215"/>
      <c r="P76" s="217"/>
      <c r="Q76" s="219"/>
      <c r="R76" s="118" t="s">
        <v>72</v>
      </c>
      <c r="S76" s="54"/>
      <c r="T76" s="60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</row>
    <row r="77" spans="1:49" ht="3.75" customHeight="1">
      <c r="A77" s="58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</row>
    <row r="78" spans="1:49" ht="9.75" customHeight="1">
      <c r="A78" s="58" t="s">
        <v>4</v>
      </c>
      <c r="B78" s="52" t="s">
        <v>112</v>
      </c>
      <c r="C78" s="59">
        <v>13.1</v>
      </c>
      <c r="D78" s="59">
        <v>12.9</v>
      </c>
      <c r="E78" s="59">
        <v>12.6</v>
      </c>
      <c r="F78" s="59">
        <v>12.2</v>
      </c>
      <c r="G78" s="59">
        <v>11.3</v>
      </c>
      <c r="H78" s="59">
        <v>10.7</v>
      </c>
      <c r="I78" s="59">
        <v>11.7</v>
      </c>
      <c r="J78" s="59">
        <v>11.6</v>
      </c>
      <c r="K78" s="59">
        <v>12.3</v>
      </c>
      <c r="L78" s="59">
        <v>13.9</v>
      </c>
      <c r="M78" s="59">
        <v>14.1</v>
      </c>
      <c r="N78" s="59">
        <v>14.9</v>
      </c>
      <c r="O78" s="59"/>
      <c r="P78" s="99">
        <v>12.6</v>
      </c>
      <c r="Q78" s="54"/>
      <c r="R78" s="118" t="s">
        <v>72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</row>
    <row r="79" spans="1:49" ht="9.75" customHeight="1">
      <c r="A79" s="58"/>
      <c r="B79" s="52" t="s">
        <v>179</v>
      </c>
      <c r="C79" s="59">
        <v>15.8</v>
      </c>
      <c r="D79" s="59">
        <v>16.6</v>
      </c>
      <c r="E79" s="59">
        <v>20.8</v>
      </c>
      <c r="F79" s="59">
        <v>19.5</v>
      </c>
      <c r="G79" s="59">
        <v>19.9</v>
      </c>
      <c r="H79" s="59">
        <v>28.3</v>
      </c>
      <c r="I79" s="59">
        <v>28.1</v>
      </c>
      <c r="J79" s="59">
        <v>28.8</v>
      </c>
      <c r="K79" s="59">
        <v>28.9</v>
      </c>
      <c r="L79" s="59">
        <v>28.9</v>
      </c>
      <c r="M79" s="59">
        <v>23.4</v>
      </c>
      <c r="N79" s="59">
        <v>21</v>
      </c>
      <c r="O79" s="59"/>
      <c r="P79" s="99">
        <v>20.4</v>
      </c>
      <c r="Q79" s="54"/>
      <c r="R79" s="183">
        <f aca="true" t="shared" si="6" ref="R79:R86">(G79/G78-1)*100</f>
        <v>76.10619469026547</v>
      </c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</row>
    <row r="80" spans="1:49" ht="9.75" customHeight="1">
      <c r="A80" s="58"/>
      <c r="B80" s="52" t="s">
        <v>232</v>
      </c>
      <c r="C80" s="59">
        <v>15.8</v>
      </c>
      <c r="D80" s="59">
        <v>15</v>
      </c>
      <c r="E80" s="59">
        <v>14.3</v>
      </c>
      <c r="F80" s="59">
        <v>13.3</v>
      </c>
      <c r="G80" s="59">
        <v>13.8</v>
      </c>
      <c r="H80" s="59">
        <v>12.5</v>
      </c>
      <c r="I80" s="59">
        <v>12.5</v>
      </c>
      <c r="J80" s="59">
        <v>13.2</v>
      </c>
      <c r="K80" s="59">
        <v>13.6</v>
      </c>
      <c r="L80" s="59">
        <v>14</v>
      </c>
      <c r="M80" s="59">
        <v>14.6</v>
      </c>
      <c r="N80" s="59">
        <v>15.3</v>
      </c>
      <c r="O80" s="59"/>
      <c r="P80" s="99">
        <v>14.3</v>
      </c>
      <c r="Q80" s="54"/>
      <c r="R80" s="183">
        <f t="shared" si="6"/>
        <v>-30.65326633165828</v>
      </c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</row>
    <row r="81" spans="1:49" ht="9.75" customHeight="1">
      <c r="A81" s="58"/>
      <c r="B81" s="52" t="s">
        <v>243</v>
      </c>
      <c r="C81" s="59">
        <v>15.6</v>
      </c>
      <c r="D81" s="59">
        <v>14.8</v>
      </c>
      <c r="E81" s="59">
        <v>15.2</v>
      </c>
      <c r="F81" s="59">
        <v>15</v>
      </c>
      <c r="G81" s="59">
        <v>15.2</v>
      </c>
      <c r="H81" s="59">
        <v>15.7</v>
      </c>
      <c r="I81" s="59">
        <v>16.8</v>
      </c>
      <c r="J81" s="59">
        <v>17.5</v>
      </c>
      <c r="K81" s="59">
        <v>18.2</v>
      </c>
      <c r="L81" s="59">
        <v>18.1</v>
      </c>
      <c r="M81" s="59">
        <v>17.9</v>
      </c>
      <c r="N81" s="59">
        <v>17.7</v>
      </c>
      <c r="O81" s="59"/>
      <c r="P81" s="99">
        <v>16.1</v>
      </c>
      <c r="Q81" s="54"/>
      <c r="R81" s="183">
        <f t="shared" si="6"/>
        <v>10.144927536231862</v>
      </c>
      <c r="S81" s="99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</row>
    <row r="82" spans="1:49" ht="9.75" customHeight="1">
      <c r="A82" s="58"/>
      <c r="B82" s="52" t="s">
        <v>273</v>
      </c>
      <c r="C82" s="59">
        <v>22.2</v>
      </c>
      <c r="D82" s="59">
        <v>23.8</v>
      </c>
      <c r="E82" s="59">
        <v>26.3</v>
      </c>
      <c r="F82" s="59">
        <v>25.7</v>
      </c>
      <c r="G82" s="59">
        <v>26.4</v>
      </c>
      <c r="H82" s="59">
        <v>29</v>
      </c>
      <c r="I82" s="59">
        <v>26.2</v>
      </c>
      <c r="J82" s="59">
        <v>23.9</v>
      </c>
      <c r="K82" s="59">
        <v>23.4</v>
      </c>
      <c r="L82" s="59">
        <v>22.9</v>
      </c>
      <c r="M82" s="59">
        <v>20.9</v>
      </c>
      <c r="N82" s="59">
        <v>20.8</v>
      </c>
      <c r="O82" s="59"/>
      <c r="P82" s="99">
        <v>24.8</v>
      </c>
      <c r="Q82" s="54"/>
      <c r="R82" s="183">
        <f t="shared" si="6"/>
        <v>73.6842105263158</v>
      </c>
      <c r="S82" s="99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</row>
    <row r="83" spans="1:49" ht="9.75" customHeight="1">
      <c r="A83" s="58"/>
      <c r="B83" s="365" t="s">
        <v>286</v>
      </c>
      <c r="C83" s="441">
        <v>15.8</v>
      </c>
      <c r="D83" s="441">
        <v>17</v>
      </c>
      <c r="E83" s="441">
        <v>15.3</v>
      </c>
      <c r="F83" s="441">
        <v>14.7</v>
      </c>
      <c r="G83" s="441">
        <v>16</v>
      </c>
      <c r="H83" s="441">
        <v>14.2</v>
      </c>
      <c r="I83" s="441">
        <v>14.6</v>
      </c>
      <c r="J83" s="441">
        <v>14.5</v>
      </c>
      <c r="K83" s="441">
        <v>14.7</v>
      </c>
      <c r="L83" s="441">
        <v>14.6</v>
      </c>
      <c r="M83" s="441">
        <v>15.6</v>
      </c>
      <c r="N83" s="441">
        <v>17.1</v>
      </c>
      <c r="O83" s="441"/>
      <c r="P83" s="443">
        <v>15.5</v>
      </c>
      <c r="Q83" s="444"/>
      <c r="R83" s="183">
        <f t="shared" si="6"/>
        <v>-39.39393939393939</v>
      </c>
      <c r="S83" s="99"/>
      <c r="T83" s="60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ht="9.75" customHeight="1">
      <c r="A84" s="58"/>
      <c r="B84" s="365" t="s">
        <v>320</v>
      </c>
      <c r="C84" s="441">
        <v>16.7</v>
      </c>
      <c r="D84" s="441">
        <v>18</v>
      </c>
      <c r="E84" s="441">
        <v>19.3</v>
      </c>
      <c r="F84" s="441">
        <v>19.4</v>
      </c>
      <c r="G84" s="441">
        <v>20.6</v>
      </c>
      <c r="H84" s="441">
        <v>22.6</v>
      </c>
      <c r="I84" s="441">
        <v>23.9</v>
      </c>
      <c r="J84" s="441">
        <v>22.9</v>
      </c>
      <c r="K84" s="441">
        <v>21.9</v>
      </c>
      <c r="L84" s="441">
        <v>22.7</v>
      </c>
      <c r="M84" s="441">
        <v>22.8</v>
      </c>
      <c r="N84" s="441">
        <v>22.5</v>
      </c>
      <c r="O84" s="441"/>
      <c r="P84" s="443">
        <v>20.2</v>
      </c>
      <c r="Q84" s="444"/>
      <c r="R84" s="183">
        <f t="shared" si="6"/>
        <v>28.750000000000007</v>
      </c>
      <c r="S84" s="99"/>
      <c r="T84" s="60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</row>
    <row r="85" spans="1:49" ht="9.75" customHeight="1">
      <c r="A85" s="58"/>
      <c r="B85" s="214" t="s">
        <v>326</v>
      </c>
      <c r="C85" s="215">
        <v>21.7</v>
      </c>
      <c r="D85" s="215">
        <v>23.5</v>
      </c>
      <c r="E85" s="215">
        <v>23.6</v>
      </c>
      <c r="F85" s="215">
        <v>23.1</v>
      </c>
      <c r="G85" s="215">
        <v>24</v>
      </c>
      <c r="H85" s="215">
        <v>29.4</v>
      </c>
      <c r="I85" s="215">
        <v>29.9</v>
      </c>
      <c r="J85" s="215">
        <v>30.2</v>
      </c>
      <c r="K85" s="215">
        <v>30.9</v>
      </c>
      <c r="L85" s="215">
        <v>30.5</v>
      </c>
      <c r="M85" s="215">
        <v>34.4</v>
      </c>
      <c r="N85" s="215">
        <v>35.5</v>
      </c>
      <c r="O85" s="215"/>
      <c r="P85" s="217">
        <v>25.7</v>
      </c>
      <c r="Q85" s="219"/>
      <c r="R85" s="183">
        <f t="shared" si="6"/>
        <v>16.50485436893203</v>
      </c>
      <c r="S85" s="99"/>
      <c r="T85" s="60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</row>
    <row r="86" spans="1:49" ht="9.75" customHeight="1">
      <c r="A86" s="58"/>
      <c r="B86" s="214" t="s">
        <v>513</v>
      </c>
      <c r="C86" s="215">
        <v>33.2</v>
      </c>
      <c r="D86" s="215">
        <v>30.7</v>
      </c>
      <c r="E86" s="215">
        <v>30.7</v>
      </c>
      <c r="F86" s="215">
        <v>29</v>
      </c>
      <c r="G86" s="215">
        <v>28.5</v>
      </c>
      <c r="H86" s="215"/>
      <c r="I86" s="215"/>
      <c r="J86" s="215"/>
      <c r="K86" s="215"/>
      <c r="L86" s="215"/>
      <c r="M86" s="215"/>
      <c r="N86" s="215"/>
      <c r="O86" s="215"/>
      <c r="P86" s="217"/>
      <c r="Q86" s="219"/>
      <c r="R86" s="183">
        <f t="shared" si="6"/>
        <v>18.75</v>
      </c>
      <c r="S86" s="99"/>
      <c r="T86" s="60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</row>
    <row r="87" spans="1:49" ht="4.5" customHeight="1">
      <c r="A87" s="58"/>
      <c r="B87" s="52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99"/>
      <c r="Q87" s="54"/>
      <c r="R87" s="183"/>
      <c r="S87" s="99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</row>
    <row r="88" spans="1:49" ht="12.75" customHeight="1">
      <c r="A88" s="153" t="s">
        <v>570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01"/>
      <c r="P88" s="101"/>
      <c r="Q88" s="101"/>
      <c r="R88" s="101"/>
      <c r="S88" s="101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</row>
    <row r="89" spans="1:49" ht="16.5" customHeight="1">
      <c r="A89" s="63" t="s">
        <v>279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</row>
    <row r="90" spans="1:49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</row>
    <row r="91" spans="1:49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</row>
  </sheetData>
  <printOptions horizontalCentered="1"/>
  <pageMargins left="0.417" right="0.417" top="0.25" bottom="0.6" header="0" footer="0.2"/>
  <pageSetup fitToHeight="1" fitToWidth="1" horizontalDpi="600" verticalDpi="600" orientation="portrait" scale="90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P72"/>
  <sheetViews>
    <sheetView showGridLines="0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O8" sqref="O8"/>
    </sheetView>
  </sheetViews>
  <sheetFormatPr defaultColWidth="9.140625" defaultRowHeight="12.75"/>
  <cols>
    <col min="1" max="1" width="10.7109375" style="0" customWidth="1"/>
    <col min="2" max="15" width="8.00390625" style="0" customWidth="1"/>
    <col min="16" max="16" width="8.28125" style="0" customWidth="1"/>
  </cols>
  <sheetData>
    <row r="2" spans="1:16" ht="12.75">
      <c r="A2" s="197" t="s">
        <v>506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5" ht="6.7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ht="12.75">
      <c r="A4" s="327" t="s">
        <v>130</v>
      </c>
      <c r="B4" s="328">
        <v>1995</v>
      </c>
      <c r="C4" s="328">
        <v>1996</v>
      </c>
      <c r="D4" s="328">
        <v>1997</v>
      </c>
      <c r="E4" s="328">
        <v>1998</v>
      </c>
      <c r="F4" s="328">
        <v>1999</v>
      </c>
      <c r="G4" s="328">
        <v>2000</v>
      </c>
      <c r="H4" s="328">
        <v>2001</v>
      </c>
      <c r="I4" s="328">
        <v>2002</v>
      </c>
      <c r="J4" s="328">
        <v>2003</v>
      </c>
      <c r="K4" s="329" t="s">
        <v>235</v>
      </c>
      <c r="L4" s="329" t="s">
        <v>283</v>
      </c>
      <c r="M4" s="329" t="s">
        <v>288</v>
      </c>
      <c r="N4" s="329" t="s">
        <v>389</v>
      </c>
      <c r="O4" s="329" t="s">
        <v>505</v>
      </c>
    </row>
    <row r="5" spans="1:15" ht="6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15" ht="12.75">
      <c r="A6" s="130"/>
      <c r="B6" s="174" t="s">
        <v>131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ht="7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0.5" customHeight="1">
      <c r="A8" s="124" t="s">
        <v>8</v>
      </c>
      <c r="B8" s="144">
        <v>94373</v>
      </c>
      <c r="C8" s="144">
        <v>96467</v>
      </c>
      <c r="D8" s="144">
        <v>80910</v>
      </c>
      <c r="E8" s="144">
        <v>60538</v>
      </c>
      <c r="F8" s="144">
        <v>61035</v>
      </c>
      <c r="G8" s="144">
        <v>61509</v>
      </c>
      <c r="H8" s="144">
        <v>53086</v>
      </c>
      <c r="I8" s="144">
        <v>50938</v>
      </c>
      <c r="J8" s="144">
        <v>57331</v>
      </c>
      <c r="K8" s="144">
        <v>40250</v>
      </c>
      <c r="L8" s="144">
        <v>50336</v>
      </c>
      <c r="M8" s="144">
        <v>57708</v>
      </c>
      <c r="N8" s="144">
        <v>53260</v>
      </c>
      <c r="O8" s="144">
        <v>58766</v>
      </c>
    </row>
    <row r="9" spans="1:15" ht="10.5" customHeight="1">
      <c r="A9" s="124" t="s">
        <v>7</v>
      </c>
      <c r="B9" s="144">
        <v>47756</v>
      </c>
      <c r="C9" s="144">
        <v>53968</v>
      </c>
      <c r="D9" s="144">
        <v>40698</v>
      </c>
      <c r="E9" s="144">
        <v>46741</v>
      </c>
      <c r="F9" s="144">
        <v>44443</v>
      </c>
      <c r="G9" s="144">
        <v>35319</v>
      </c>
      <c r="H9" s="144">
        <v>32002</v>
      </c>
      <c r="I9" s="144">
        <v>36613</v>
      </c>
      <c r="J9" s="144">
        <v>23414</v>
      </c>
      <c r="K9" s="144">
        <v>26272</v>
      </c>
      <c r="L9" s="144">
        <v>25567</v>
      </c>
      <c r="M9" s="144">
        <v>24172</v>
      </c>
      <c r="N9" s="144">
        <v>24267</v>
      </c>
      <c r="O9" s="144">
        <v>25107</v>
      </c>
    </row>
    <row r="10" spans="1:15" ht="10.5" customHeight="1">
      <c r="A10" s="124" t="s">
        <v>10</v>
      </c>
      <c r="B10" s="144">
        <v>39009</v>
      </c>
      <c r="C10" s="144">
        <v>52415</v>
      </c>
      <c r="D10" s="144">
        <v>40840</v>
      </c>
      <c r="E10" s="144">
        <v>39796</v>
      </c>
      <c r="F10" s="144">
        <v>33665</v>
      </c>
      <c r="G10" s="144">
        <v>32646</v>
      </c>
      <c r="H10" s="144">
        <v>27905</v>
      </c>
      <c r="I10" s="144">
        <v>32497</v>
      </c>
      <c r="J10" s="144">
        <v>34742</v>
      </c>
      <c r="K10" s="144">
        <v>34248</v>
      </c>
      <c r="L10" s="144">
        <v>45919</v>
      </c>
      <c r="M10" s="144">
        <v>35787</v>
      </c>
      <c r="N10" s="144">
        <v>43204</v>
      </c>
      <c r="O10" s="144">
        <v>53643</v>
      </c>
    </row>
    <row r="11" spans="1:15" ht="10.5" customHeight="1">
      <c r="A11" s="124" t="s">
        <v>132</v>
      </c>
      <c r="B11" s="144">
        <v>9036</v>
      </c>
      <c r="C11" s="144">
        <v>10233</v>
      </c>
      <c r="D11" s="144">
        <v>10861</v>
      </c>
      <c r="E11" s="144">
        <v>7027</v>
      </c>
      <c r="F11" s="144">
        <v>5811</v>
      </c>
      <c r="G11" s="144">
        <v>4384</v>
      </c>
      <c r="H11" s="144">
        <v>4224</v>
      </c>
      <c r="I11" s="144">
        <v>3437</v>
      </c>
      <c r="J11" s="144">
        <v>3481</v>
      </c>
      <c r="K11" s="144">
        <v>4651</v>
      </c>
      <c r="L11" s="144">
        <v>4697</v>
      </c>
      <c r="M11" s="144">
        <v>4500</v>
      </c>
      <c r="N11" s="144">
        <v>4278</v>
      </c>
      <c r="O11" s="144">
        <v>3781</v>
      </c>
    </row>
    <row r="12" spans="1:15" ht="10.5" customHeight="1">
      <c r="A12" s="124" t="s">
        <v>5</v>
      </c>
      <c r="B12" s="144">
        <v>105872</v>
      </c>
      <c r="C12" s="144">
        <v>123955</v>
      </c>
      <c r="D12" s="144">
        <v>85489</v>
      </c>
      <c r="E12" s="144">
        <v>101836</v>
      </c>
      <c r="F12" s="144">
        <v>135567</v>
      </c>
      <c r="G12" s="144">
        <v>75340</v>
      </c>
      <c r="H12" s="144">
        <v>24669</v>
      </c>
      <c r="I12" s="144">
        <v>49450</v>
      </c>
      <c r="J12" s="144">
        <v>63264</v>
      </c>
      <c r="K12" s="144">
        <v>60779</v>
      </c>
      <c r="L12" s="144">
        <v>75499</v>
      </c>
      <c r="M12" s="144">
        <v>74675</v>
      </c>
      <c r="N12" s="144">
        <v>89702</v>
      </c>
      <c r="O12" s="144">
        <v>121191</v>
      </c>
    </row>
    <row r="13" spans="1:15" ht="6" customHeight="1">
      <c r="A13" s="12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0.5" customHeight="1">
      <c r="A14" s="124" t="s">
        <v>9</v>
      </c>
      <c r="B14" s="144">
        <v>32918</v>
      </c>
      <c r="C14" s="144">
        <v>56746</v>
      </c>
      <c r="D14" s="144">
        <v>40949</v>
      </c>
      <c r="E14" s="144">
        <v>55579</v>
      </c>
      <c r="F14" s="144">
        <v>46199</v>
      </c>
      <c r="G14" s="144">
        <v>31825</v>
      </c>
      <c r="H14" s="144">
        <v>44365</v>
      </c>
      <c r="I14" s="144">
        <v>34173</v>
      </c>
      <c r="J14" s="144">
        <v>40471</v>
      </c>
      <c r="K14" s="144">
        <v>31010</v>
      </c>
      <c r="L14" s="144">
        <v>44518</v>
      </c>
      <c r="M14" s="144">
        <v>31640</v>
      </c>
      <c r="N14" s="144">
        <v>60620</v>
      </c>
      <c r="O14" s="144">
        <v>99399</v>
      </c>
    </row>
    <row r="15" spans="1:15" ht="10.5" customHeight="1">
      <c r="A15" s="124" t="s">
        <v>133</v>
      </c>
      <c r="B15" s="144">
        <v>3531</v>
      </c>
      <c r="C15" s="144">
        <v>4283</v>
      </c>
      <c r="D15" s="144">
        <v>5793</v>
      </c>
      <c r="E15" s="144">
        <v>5158</v>
      </c>
      <c r="F15" s="144">
        <v>7196</v>
      </c>
      <c r="G15" s="144">
        <v>7475</v>
      </c>
      <c r="H15" s="144">
        <v>6857</v>
      </c>
      <c r="I15" s="144">
        <v>5347</v>
      </c>
      <c r="J15" s="144">
        <v>4919</v>
      </c>
      <c r="K15" s="144">
        <v>6847</v>
      </c>
      <c r="L15" s="144">
        <v>6414</v>
      </c>
      <c r="M15" s="144">
        <v>5403</v>
      </c>
      <c r="N15" s="144">
        <v>6439</v>
      </c>
      <c r="O15" s="144">
        <v>6655</v>
      </c>
    </row>
    <row r="16" spans="1:15" ht="10.5" customHeight="1">
      <c r="A16" s="124" t="s">
        <v>4</v>
      </c>
      <c r="B16" s="144">
        <v>98905</v>
      </c>
      <c r="C16" s="144">
        <v>165754</v>
      </c>
      <c r="D16" s="144">
        <v>113447</v>
      </c>
      <c r="E16" s="144">
        <v>147569</v>
      </c>
      <c r="F16" s="144">
        <v>140078</v>
      </c>
      <c r="G16" s="144">
        <v>94784</v>
      </c>
      <c r="H16" s="144">
        <v>104837</v>
      </c>
      <c r="I16" s="144">
        <v>130974</v>
      </c>
      <c r="J16" s="144">
        <v>133023</v>
      </c>
      <c r="K16" s="144">
        <v>148705</v>
      </c>
      <c r="L16" s="144">
        <v>118283</v>
      </c>
      <c r="M16" s="144">
        <v>122120</v>
      </c>
      <c r="N16" s="144">
        <v>204676</v>
      </c>
      <c r="O16" s="144">
        <v>306618</v>
      </c>
    </row>
    <row r="17" spans="1:15" ht="10.5" customHeight="1">
      <c r="A17" s="124" t="s">
        <v>6</v>
      </c>
      <c r="B17" s="144">
        <v>70482</v>
      </c>
      <c r="C17" s="144">
        <v>87936</v>
      </c>
      <c r="D17" s="144">
        <v>59024</v>
      </c>
      <c r="E17" s="144">
        <v>72813</v>
      </c>
      <c r="F17" s="144">
        <v>64473</v>
      </c>
      <c r="G17" s="144">
        <v>47010</v>
      </c>
      <c r="H17" s="144">
        <v>65785</v>
      </c>
      <c r="I17" s="144">
        <v>59912</v>
      </c>
      <c r="J17" s="144">
        <v>62220</v>
      </c>
      <c r="K17" s="144">
        <v>53074</v>
      </c>
      <c r="L17" s="144">
        <v>59570</v>
      </c>
      <c r="M17" s="144">
        <v>58054</v>
      </c>
      <c r="N17" s="144">
        <v>68974</v>
      </c>
      <c r="O17" s="144">
        <v>85425</v>
      </c>
    </row>
    <row r="18" spans="1:15" ht="10.5" customHeight="1">
      <c r="A18" s="124" t="s">
        <v>134</v>
      </c>
      <c r="B18" s="144">
        <v>6372</v>
      </c>
      <c r="C18" s="144">
        <v>6246</v>
      </c>
      <c r="D18" s="144">
        <v>6694</v>
      </c>
      <c r="E18" s="144">
        <v>5023</v>
      </c>
      <c r="F18" s="144">
        <v>2065</v>
      </c>
      <c r="G18" s="144">
        <v>3365</v>
      </c>
      <c r="H18" s="144">
        <v>5280</v>
      </c>
      <c r="I18" s="144">
        <v>3099</v>
      </c>
      <c r="J18" s="144">
        <v>2630</v>
      </c>
      <c r="K18" s="144">
        <v>3990</v>
      </c>
      <c r="L18" s="144">
        <v>4405</v>
      </c>
      <c r="M18" s="144">
        <v>4491</v>
      </c>
      <c r="N18" s="144">
        <v>6070</v>
      </c>
      <c r="O18" s="144">
        <v>6942</v>
      </c>
    </row>
    <row r="19" spans="1:15" ht="5.25" customHeight="1">
      <c r="A19" s="12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0.5" customHeight="1">
      <c r="A20" s="124" t="s">
        <v>111</v>
      </c>
      <c r="B20" s="144">
        <v>10766</v>
      </c>
      <c r="C20" s="144">
        <v>9954</v>
      </c>
      <c r="D20" s="144">
        <v>9175</v>
      </c>
      <c r="E20" s="144">
        <v>9581</v>
      </c>
      <c r="F20" s="144">
        <v>9734</v>
      </c>
      <c r="G20" s="144">
        <v>6891</v>
      </c>
      <c r="H20" s="144">
        <v>5519</v>
      </c>
      <c r="I20" s="144">
        <v>5703</v>
      </c>
      <c r="J20" s="144">
        <v>8945</v>
      </c>
      <c r="K20" s="144">
        <v>8821</v>
      </c>
      <c r="L20" s="144">
        <v>6356</v>
      </c>
      <c r="M20" s="144">
        <v>5690</v>
      </c>
      <c r="N20" s="144">
        <v>7389</v>
      </c>
      <c r="O20" s="144">
        <v>8480</v>
      </c>
    </row>
    <row r="21" spans="1:15" ht="10.5" customHeight="1">
      <c r="A21" s="124" t="s">
        <v>135</v>
      </c>
      <c r="B21" s="144">
        <v>4694</v>
      </c>
      <c r="C21" s="144">
        <v>4182</v>
      </c>
      <c r="D21" s="144">
        <v>3157</v>
      </c>
      <c r="E21" s="144">
        <v>3021</v>
      </c>
      <c r="F21" s="144">
        <v>3243</v>
      </c>
      <c r="G21" s="144">
        <v>3363</v>
      </c>
      <c r="H21" s="144">
        <v>3515</v>
      </c>
      <c r="I21" s="144">
        <v>2884</v>
      </c>
      <c r="J21" s="144">
        <v>2408</v>
      </c>
      <c r="K21" s="144">
        <v>2713</v>
      </c>
      <c r="L21" s="144">
        <v>3571</v>
      </c>
      <c r="M21" s="144">
        <v>4024</v>
      </c>
      <c r="N21" s="144">
        <v>4383</v>
      </c>
      <c r="O21" s="144">
        <v>4205</v>
      </c>
    </row>
    <row r="22" spans="1:15" ht="10.5" customHeight="1">
      <c r="A22" s="124" t="s">
        <v>136</v>
      </c>
      <c r="B22" s="139" t="s">
        <v>72</v>
      </c>
      <c r="C22" s="139" t="s">
        <v>72</v>
      </c>
      <c r="D22" s="139" t="s">
        <v>72</v>
      </c>
      <c r="E22" s="139" t="s">
        <v>72</v>
      </c>
      <c r="F22" s="139" t="s">
        <v>72</v>
      </c>
      <c r="G22" s="144">
        <v>1639</v>
      </c>
      <c r="H22" s="144">
        <v>3988</v>
      </c>
      <c r="I22" s="144">
        <v>4620</v>
      </c>
      <c r="J22" s="144">
        <v>3387</v>
      </c>
      <c r="K22" s="144">
        <v>2002</v>
      </c>
      <c r="L22" s="144">
        <v>4262</v>
      </c>
      <c r="M22" s="144">
        <v>5448</v>
      </c>
      <c r="N22" s="144">
        <v>4474</v>
      </c>
      <c r="O22" s="144">
        <v>5292</v>
      </c>
    </row>
    <row r="23" spans="1:15" ht="10.5" customHeight="1">
      <c r="A23" s="124" t="s">
        <v>118</v>
      </c>
      <c r="B23" s="144">
        <v>3463</v>
      </c>
      <c r="C23" s="144">
        <v>2826</v>
      </c>
      <c r="D23" s="144">
        <v>1958</v>
      </c>
      <c r="E23" s="144">
        <v>2145</v>
      </c>
      <c r="F23" s="144">
        <v>6812</v>
      </c>
      <c r="G23" s="144">
        <v>5473</v>
      </c>
      <c r="H23" s="144">
        <v>5274</v>
      </c>
      <c r="I23" s="144">
        <v>6315</v>
      </c>
      <c r="J23" s="144">
        <v>8510</v>
      </c>
      <c r="K23" s="144">
        <v>6641</v>
      </c>
      <c r="L23" s="144">
        <v>4018</v>
      </c>
      <c r="M23" s="144">
        <v>5102</v>
      </c>
      <c r="N23" s="144">
        <v>6573</v>
      </c>
      <c r="O23" s="144">
        <v>7037</v>
      </c>
    </row>
    <row r="24" spans="1:15" ht="10.5" customHeight="1">
      <c r="A24" s="124" t="s">
        <v>137</v>
      </c>
      <c r="B24" s="144">
        <v>487</v>
      </c>
      <c r="C24" s="144">
        <v>494</v>
      </c>
      <c r="D24" s="144">
        <v>268</v>
      </c>
      <c r="E24" s="144">
        <v>380</v>
      </c>
      <c r="F24" s="144">
        <v>798</v>
      </c>
      <c r="G24" s="144">
        <v>493</v>
      </c>
      <c r="H24" s="144">
        <v>271</v>
      </c>
      <c r="I24" s="144">
        <v>187</v>
      </c>
      <c r="J24" s="144">
        <v>198</v>
      </c>
      <c r="K24" s="144">
        <v>385</v>
      </c>
      <c r="L24" s="144">
        <v>573</v>
      </c>
      <c r="M24" s="369">
        <v>400</v>
      </c>
      <c r="N24" s="369">
        <v>0</v>
      </c>
      <c r="O24" s="369">
        <v>0</v>
      </c>
    </row>
    <row r="25" spans="1:15" ht="5.25" customHeight="1">
      <c r="A25" s="12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0.5" customHeight="1">
      <c r="A26" s="124" t="s">
        <v>116</v>
      </c>
      <c r="B26" s="144">
        <v>19491</v>
      </c>
      <c r="C26" s="144">
        <v>18630</v>
      </c>
      <c r="D26" s="144">
        <v>11878</v>
      </c>
      <c r="E26" s="144">
        <v>16487</v>
      </c>
      <c r="F26" s="144">
        <v>15322</v>
      </c>
      <c r="G26" s="144">
        <v>10203</v>
      </c>
      <c r="H26" s="144">
        <v>11191</v>
      </c>
      <c r="I26" s="144">
        <v>13422</v>
      </c>
      <c r="J26" s="144">
        <v>11879</v>
      </c>
      <c r="K26" s="144">
        <v>13671</v>
      </c>
      <c r="L26" s="144">
        <v>15300</v>
      </c>
      <c r="M26" s="144">
        <v>16166</v>
      </c>
      <c r="N26" s="144">
        <v>25012</v>
      </c>
      <c r="O26" s="144">
        <v>34585</v>
      </c>
    </row>
    <row r="27" spans="1:15" ht="10.5" customHeight="1">
      <c r="A27" s="124" t="s">
        <v>138</v>
      </c>
      <c r="B27" s="144">
        <v>4397</v>
      </c>
      <c r="C27" s="144">
        <v>3865</v>
      </c>
      <c r="D27" s="144">
        <v>3935</v>
      </c>
      <c r="E27" s="144">
        <v>3408</v>
      </c>
      <c r="F27" s="144">
        <v>3066</v>
      </c>
      <c r="G27" s="144">
        <v>2822</v>
      </c>
      <c r="H27" s="144">
        <v>2547</v>
      </c>
      <c r="I27" s="144">
        <v>2107</v>
      </c>
      <c r="J27" s="144">
        <v>2923</v>
      </c>
      <c r="K27" s="144">
        <v>3790</v>
      </c>
      <c r="L27" s="144">
        <v>3725</v>
      </c>
      <c r="M27" s="144">
        <v>3124</v>
      </c>
      <c r="N27" s="144">
        <v>3268</v>
      </c>
      <c r="O27" s="144">
        <v>3458</v>
      </c>
    </row>
    <row r="28" spans="1:15" ht="10.5" customHeight="1">
      <c r="A28" s="124" t="s">
        <v>117</v>
      </c>
      <c r="B28" s="144">
        <v>15432</v>
      </c>
      <c r="C28" s="144">
        <v>16725</v>
      </c>
      <c r="D28" s="144">
        <v>14937</v>
      </c>
      <c r="E28" s="144">
        <v>15518</v>
      </c>
      <c r="F28" s="144">
        <v>15013</v>
      </c>
      <c r="G28" s="144">
        <v>11455</v>
      </c>
      <c r="H28" s="144">
        <v>11367</v>
      </c>
      <c r="I28" s="144">
        <v>11029</v>
      </c>
      <c r="J28" s="144">
        <v>11355</v>
      </c>
      <c r="K28" s="144">
        <v>13747</v>
      </c>
      <c r="L28" s="144">
        <v>14376</v>
      </c>
      <c r="M28" s="144">
        <v>12055</v>
      </c>
      <c r="N28" s="144">
        <v>14322</v>
      </c>
      <c r="O28" s="144">
        <v>18799</v>
      </c>
    </row>
    <row r="29" spans="1:15" ht="7.5" customHeight="1">
      <c r="A29" s="124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ht="12.75">
      <c r="A30" s="470" t="s">
        <v>139</v>
      </c>
      <c r="B30" s="476">
        <v>566984</v>
      </c>
      <c r="C30" s="476">
        <v>714678</v>
      </c>
      <c r="D30" s="476">
        <v>530341</v>
      </c>
      <c r="E30" s="476">
        <v>592934</v>
      </c>
      <c r="F30" s="476">
        <f>SUM(F8:F28)</f>
        <v>594520</v>
      </c>
      <c r="G30" s="476">
        <f>SUM(G8:G28)</f>
        <v>435996</v>
      </c>
      <c r="H30" s="476">
        <f>SUM(H8:H28)-1</f>
        <v>412681</v>
      </c>
      <c r="I30" s="476">
        <f>SUM(I8:I28)-1-2</f>
        <v>452704</v>
      </c>
      <c r="J30" s="476">
        <f>SUM(J8:J28)-2</f>
        <v>475098</v>
      </c>
      <c r="K30" s="476">
        <f>SUM(K8:K28)</f>
        <v>461596</v>
      </c>
      <c r="L30" s="476">
        <f>SUM(L8:L28)</f>
        <v>487389</v>
      </c>
      <c r="M30" s="476">
        <f>SUM(M8:M28)</f>
        <v>470559</v>
      </c>
      <c r="N30" s="476">
        <f>SUM(N8:N28)</f>
        <v>626911</v>
      </c>
      <c r="O30" s="476">
        <f>SUM(O8:O28)</f>
        <v>849383</v>
      </c>
    </row>
    <row r="31" spans="1:16" ht="12.75">
      <c r="A31" s="194" t="s">
        <v>254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5" ht="12.75">
      <c r="A32" s="130" t="s">
        <v>241</v>
      </c>
      <c r="B32" s="173"/>
      <c r="C32" s="173"/>
      <c r="D32" s="173"/>
      <c r="E32" s="173"/>
      <c r="F32" s="173"/>
      <c r="G32" s="173"/>
      <c r="H32" s="173"/>
      <c r="I32" s="173"/>
      <c r="J32" s="193"/>
      <c r="K32" s="193"/>
      <c r="L32" s="193"/>
      <c r="M32" s="193"/>
      <c r="N32" s="193"/>
      <c r="O32" s="173"/>
    </row>
    <row r="33" spans="1:15" ht="12.75">
      <c r="A33" s="190" t="s">
        <v>242</v>
      </c>
      <c r="B33" s="55"/>
      <c r="C33" s="55"/>
      <c r="D33" s="55"/>
      <c r="E33" s="55"/>
      <c r="F33" s="55"/>
      <c r="G33" s="55"/>
      <c r="H33" s="55"/>
      <c r="I33" s="173"/>
      <c r="J33" s="173"/>
      <c r="K33" s="193"/>
      <c r="L33" s="173"/>
      <c r="M33" s="173"/>
      <c r="N33" s="173"/>
      <c r="O33" s="173"/>
    </row>
    <row r="34" spans="1:14" ht="18" customHeight="1">
      <c r="A34" s="336" t="s">
        <v>277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6" ht="12.75">
      <c r="C36" s="125"/>
    </row>
    <row r="41" spans="1:6" ht="12.75">
      <c r="A41" s="160" t="s">
        <v>501</v>
      </c>
      <c r="B41" s="124"/>
      <c r="C41" s="124"/>
      <c r="D41" s="124"/>
      <c r="E41" s="124"/>
      <c r="F41" s="124"/>
    </row>
    <row r="42" spans="1:6" ht="12.75">
      <c r="A42" s="127"/>
      <c r="B42" s="127"/>
      <c r="C42" s="127"/>
      <c r="D42" s="127"/>
      <c r="E42" s="127"/>
      <c r="F42" s="127"/>
    </row>
    <row r="43" spans="1:6" ht="12.75">
      <c r="A43" s="128" t="s">
        <v>130</v>
      </c>
      <c r="B43" s="143">
        <v>1990</v>
      </c>
      <c r="C43" s="143">
        <v>1991</v>
      </c>
      <c r="D43" s="143">
        <v>1992</v>
      </c>
      <c r="E43" s="143">
        <v>1993</v>
      </c>
      <c r="F43" s="143">
        <v>1994</v>
      </c>
    </row>
    <row r="44" spans="1:6" ht="12.75">
      <c r="A44" s="129"/>
      <c r="B44" s="129"/>
      <c r="C44" s="129"/>
      <c r="D44" s="129"/>
      <c r="E44" s="129"/>
      <c r="F44" s="129"/>
    </row>
    <row r="45" spans="1:6" ht="12.75">
      <c r="A45" s="130"/>
      <c r="B45" s="130"/>
      <c r="C45" s="130"/>
      <c r="D45" s="130" t="s">
        <v>131</v>
      </c>
      <c r="E45" s="130"/>
      <c r="F45" s="130"/>
    </row>
    <row r="46" spans="1:6" ht="12.75">
      <c r="A46" s="124"/>
      <c r="B46" s="124"/>
      <c r="C46" s="124"/>
      <c r="D46" s="124"/>
      <c r="E46" s="124"/>
      <c r="F46" s="124"/>
    </row>
    <row r="47" spans="1:6" ht="12.75">
      <c r="A47" s="124" t="s">
        <v>8</v>
      </c>
      <c r="B47" s="144">
        <v>100279</v>
      </c>
      <c r="C47" s="144">
        <v>98193</v>
      </c>
      <c r="D47" s="144">
        <v>71616</v>
      </c>
      <c r="E47" s="144">
        <v>67301</v>
      </c>
      <c r="F47" s="144">
        <v>81300</v>
      </c>
    </row>
    <row r="48" spans="1:6" ht="12.75">
      <c r="A48" s="124" t="s">
        <v>7</v>
      </c>
      <c r="B48" s="144">
        <v>80621</v>
      </c>
      <c r="C48" s="144">
        <v>48732</v>
      </c>
      <c r="D48" s="144">
        <v>43160</v>
      </c>
      <c r="E48" s="144">
        <v>69128</v>
      </c>
      <c r="F48" s="144">
        <v>55411</v>
      </c>
    </row>
    <row r="49" spans="1:6" ht="12.75">
      <c r="A49" s="124" t="s">
        <v>10</v>
      </c>
      <c r="B49" s="144">
        <v>91649</v>
      </c>
      <c r="C49" s="144">
        <v>46329</v>
      </c>
      <c r="D49" s="144">
        <v>35639</v>
      </c>
      <c r="E49" s="144">
        <v>39279</v>
      </c>
      <c r="F49" s="144">
        <v>53229</v>
      </c>
    </row>
    <row r="50" spans="1:6" ht="12.75">
      <c r="A50" s="124" t="s">
        <v>132</v>
      </c>
      <c r="B50" s="144">
        <v>10247</v>
      </c>
      <c r="C50" s="144">
        <v>8813</v>
      </c>
      <c r="D50" s="144">
        <v>6848</v>
      </c>
      <c r="E50" s="144">
        <v>8271</v>
      </c>
      <c r="F50" s="144">
        <v>9884</v>
      </c>
    </row>
    <row r="51" spans="1:6" ht="12.75">
      <c r="A51" s="124" t="s">
        <v>5</v>
      </c>
      <c r="B51" s="144">
        <v>116090</v>
      </c>
      <c r="C51" s="144">
        <v>86818</v>
      </c>
      <c r="D51" s="144">
        <v>95337</v>
      </c>
      <c r="E51" s="144">
        <v>110021</v>
      </c>
      <c r="F51" s="144">
        <v>143429</v>
      </c>
    </row>
    <row r="52" spans="1:6" ht="12.75">
      <c r="A52" s="124"/>
      <c r="B52" s="144"/>
      <c r="C52" s="144"/>
      <c r="D52" s="144"/>
      <c r="E52" s="144"/>
      <c r="F52" s="144"/>
    </row>
    <row r="53" spans="1:6" ht="12.75">
      <c r="A53" s="124" t="s">
        <v>9</v>
      </c>
      <c r="B53" s="144">
        <v>28824</v>
      </c>
      <c r="C53" s="144">
        <v>32235</v>
      </c>
      <c r="D53" s="144">
        <v>30707</v>
      </c>
      <c r="E53" s="144">
        <v>27566</v>
      </c>
      <c r="F53" s="144">
        <v>37429</v>
      </c>
    </row>
    <row r="54" spans="1:6" ht="12.75">
      <c r="A54" s="124" t="s">
        <v>133</v>
      </c>
      <c r="B54" s="144">
        <v>3314</v>
      </c>
      <c r="C54" s="144">
        <v>2604</v>
      </c>
      <c r="D54" s="144">
        <v>2603</v>
      </c>
      <c r="E54" s="144">
        <v>3744</v>
      </c>
      <c r="F54" s="144">
        <v>4013</v>
      </c>
    </row>
    <row r="55" spans="1:6" ht="12.75">
      <c r="A55" s="124" t="s">
        <v>4</v>
      </c>
      <c r="B55" s="144">
        <v>93543</v>
      </c>
      <c r="C55" s="144">
        <v>70815</v>
      </c>
      <c r="D55" s="144">
        <v>87883</v>
      </c>
      <c r="E55" s="144">
        <v>80055</v>
      </c>
      <c r="F55" s="144">
        <v>89869</v>
      </c>
    </row>
    <row r="56" spans="1:6" ht="12.75">
      <c r="A56" s="124" t="s">
        <v>6</v>
      </c>
      <c r="B56" s="144">
        <v>87819</v>
      </c>
      <c r="C56" s="144">
        <v>54294</v>
      </c>
      <c r="D56" s="144">
        <v>47976</v>
      </c>
      <c r="E56" s="144">
        <v>49098</v>
      </c>
      <c r="F56" s="144">
        <v>72827</v>
      </c>
    </row>
    <row r="57" spans="1:6" ht="12.75">
      <c r="A57" s="124" t="s">
        <v>134</v>
      </c>
      <c r="B57" s="144">
        <v>7752</v>
      </c>
      <c r="C57" s="144">
        <v>5186</v>
      </c>
      <c r="D57" s="144">
        <v>5816</v>
      </c>
      <c r="E57" s="144">
        <v>6714</v>
      </c>
      <c r="F57" s="144">
        <v>6655</v>
      </c>
    </row>
    <row r="58" spans="1:6" ht="12.75">
      <c r="A58" s="124"/>
      <c r="B58" s="144"/>
      <c r="C58" s="144"/>
      <c r="D58" s="144"/>
      <c r="E58" s="144"/>
      <c r="F58" s="144"/>
    </row>
    <row r="59" spans="1:6" ht="12.75">
      <c r="A59" s="124" t="s">
        <v>111</v>
      </c>
      <c r="B59" s="144">
        <v>12745</v>
      </c>
      <c r="C59" s="144">
        <v>10624</v>
      </c>
      <c r="D59" s="144">
        <v>7882</v>
      </c>
      <c r="E59" s="144">
        <v>8815</v>
      </c>
      <c r="F59" s="144">
        <v>10301</v>
      </c>
    </row>
    <row r="60" spans="1:6" ht="12.75">
      <c r="A60" s="124" t="s">
        <v>135</v>
      </c>
      <c r="B60" s="144">
        <v>3170</v>
      </c>
      <c r="C60" s="144">
        <v>3789</v>
      </c>
      <c r="D60" s="144">
        <v>2714</v>
      </c>
      <c r="E60" s="144">
        <v>3408</v>
      </c>
      <c r="F60" s="144">
        <v>4236</v>
      </c>
    </row>
    <row r="61" spans="1:6" ht="12.75">
      <c r="A61" s="124" t="s">
        <v>136</v>
      </c>
      <c r="B61" s="139" t="s">
        <v>72</v>
      </c>
      <c r="C61" s="139" t="s">
        <v>72</v>
      </c>
      <c r="D61" s="139" t="s">
        <v>72</v>
      </c>
      <c r="E61" s="139" t="s">
        <v>72</v>
      </c>
      <c r="F61" s="139" t="s">
        <v>72</v>
      </c>
    </row>
    <row r="62" spans="1:6" ht="12.75">
      <c r="A62" s="124" t="s">
        <v>118</v>
      </c>
      <c r="B62" s="144">
        <v>2191</v>
      </c>
      <c r="C62" s="144">
        <v>5335</v>
      </c>
      <c r="D62" s="144">
        <v>6273</v>
      </c>
      <c r="E62" s="144">
        <v>8529</v>
      </c>
      <c r="F62" s="144">
        <v>6494</v>
      </c>
    </row>
    <row r="63" spans="1:6" ht="12.75">
      <c r="A63" s="124" t="s">
        <v>137</v>
      </c>
      <c r="B63" s="144">
        <v>405</v>
      </c>
      <c r="C63" s="144">
        <v>284</v>
      </c>
      <c r="D63" s="144">
        <v>498</v>
      </c>
      <c r="E63" s="144">
        <v>758</v>
      </c>
      <c r="F63" s="144">
        <v>598</v>
      </c>
    </row>
    <row r="64" spans="1:6" ht="12.75">
      <c r="A64" s="124"/>
      <c r="B64" s="144"/>
      <c r="C64" s="144"/>
      <c r="D64" s="144"/>
      <c r="E64" s="144"/>
      <c r="F64" s="144"/>
    </row>
    <row r="65" spans="1:6" ht="12.75">
      <c r="A65" s="124" t="s">
        <v>116</v>
      </c>
      <c r="B65" s="144">
        <v>21775</v>
      </c>
      <c r="C65" s="144">
        <v>18798</v>
      </c>
      <c r="D65" s="144">
        <v>16221</v>
      </c>
      <c r="E65" s="144">
        <v>17383</v>
      </c>
      <c r="F65" s="144">
        <v>19984</v>
      </c>
    </row>
    <row r="66" spans="1:6" ht="12.75">
      <c r="A66" s="124" t="s">
        <v>138</v>
      </c>
      <c r="B66" s="144">
        <v>3624</v>
      </c>
      <c r="C66" s="145">
        <v>4530</v>
      </c>
      <c r="D66" s="144">
        <v>4944</v>
      </c>
      <c r="E66" s="144">
        <v>5707</v>
      </c>
      <c r="F66" s="144">
        <v>5423</v>
      </c>
    </row>
    <row r="67" spans="1:6" ht="12.75">
      <c r="A67" s="124" t="s">
        <v>117</v>
      </c>
      <c r="B67" s="144">
        <v>23096</v>
      </c>
      <c r="C67" s="144">
        <v>16538</v>
      </c>
      <c r="D67" s="144">
        <v>22755</v>
      </c>
      <c r="E67" s="144">
        <v>16928</v>
      </c>
      <c r="F67" s="144">
        <v>13298</v>
      </c>
    </row>
    <row r="68" spans="1:6" ht="12.75">
      <c r="A68" s="124"/>
      <c r="B68" s="130"/>
      <c r="C68" s="130"/>
      <c r="D68" s="130"/>
      <c r="E68" s="130"/>
      <c r="F68" s="130"/>
    </row>
    <row r="69" spans="1:6" ht="12.75">
      <c r="A69" s="124" t="s">
        <v>139</v>
      </c>
      <c r="B69" s="144">
        <v>687144</v>
      </c>
      <c r="C69" s="144">
        <v>513917</v>
      </c>
      <c r="D69" s="144">
        <v>488873</v>
      </c>
      <c r="E69" s="144">
        <v>522704</v>
      </c>
      <c r="F69" s="144">
        <v>614381</v>
      </c>
    </row>
    <row r="70" spans="1:6" ht="12.75">
      <c r="A70" s="123" t="s">
        <v>214</v>
      </c>
      <c r="B70" s="101"/>
      <c r="C70" s="101"/>
      <c r="D70" s="101"/>
      <c r="E70" s="101"/>
      <c r="F70" s="101"/>
    </row>
    <row r="71" spans="1:6" ht="12.75">
      <c r="A71" s="130" t="s">
        <v>207</v>
      </c>
      <c r="B71" s="173"/>
      <c r="C71" s="173"/>
      <c r="D71" s="173"/>
      <c r="E71" s="173"/>
      <c r="F71" s="173"/>
    </row>
    <row r="72" spans="1:6" ht="12.75">
      <c r="A72" s="175" t="s">
        <v>140</v>
      </c>
      <c r="B72" s="131"/>
      <c r="C72" s="131"/>
      <c r="D72" s="131"/>
      <c r="E72" s="131"/>
      <c r="F72" s="131"/>
    </row>
  </sheetData>
  <hyperlinks>
    <hyperlink ref="A33" r:id="rId1" display="http://www.ers.usda.gov/briefing/FarmIncome/Glossary/def_cr.htm"/>
  </hyperlinks>
  <printOptions horizontalCentered="1"/>
  <pageMargins left="0.417" right="0.417" top="0.25" bottom="0.6" header="0" footer="0.2"/>
  <pageSetup fitToHeight="1" fitToWidth="1" horizontalDpi="600" verticalDpi="600" orientation="landscape" r:id="rId2"/>
  <headerFooter alignWithMargins="0">
    <oddFooter>&amp;C&amp;"Arial,Italic"&amp;9Vegetables and Melons Outlook&amp;"Arial,Regular"/VGS-331/February 25, 2009
Economic Research Service, USDA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7"/>
  <sheetViews>
    <sheetView showGridLines="0" workbookViewId="0" topLeftCell="A1">
      <pane xSplit="2" ySplit="8" topLeftCell="C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2" max="2" width="3.421875" style="0" customWidth="1"/>
    <col min="3" max="13" width="8.00390625" style="0" customWidth="1"/>
    <col min="14" max="14" width="2.57421875" style="0" customWidth="1"/>
    <col min="15" max="15" width="2.00390625" style="0" customWidth="1"/>
    <col min="17" max="17" width="3.8515625" style="0" customWidth="1"/>
  </cols>
  <sheetData>
    <row r="1" ht="6.75" customHeight="1"/>
    <row r="2" spans="1:17" ht="12.75">
      <c r="A2" s="199" t="s">
        <v>558</v>
      </c>
      <c r="B2" s="12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4" ht="6.7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9.7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 t="s">
        <v>209</v>
      </c>
      <c r="N4" s="330"/>
    </row>
    <row r="5" spans="1:14" ht="11.25" customHeight="1">
      <c r="A5" s="305" t="s">
        <v>148</v>
      </c>
      <c r="B5" s="327"/>
      <c r="C5" s="329" t="s">
        <v>146</v>
      </c>
      <c r="D5" s="329" t="s">
        <v>147</v>
      </c>
      <c r="E5" s="329" t="s">
        <v>167</v>
      </c>
      <c r="F5" s="329" t="s">
        <v>208</v>
      </c>
      <c r="G5" s="329" t="s">
        <v>236</v>
      </c>
      <c r="H5" s="329" t="s">
        <v>258</v>
      </c>
      <c r="I5" s="329" t="s">
        <v>285</v>
      </c>
      <c r="J5" s="329" t="s">
        <v>368</v>
      </c>
      <c r="K5" s="329" t="s">
        <v>556</v>
      </c>
      <c r="L5" s="329" t="s">
        <v>555</v>
      </c>
      <c r="M5" s="328" t="s">
        <v>210</v>
      </c>
      <c r="N5" s="328"/>
    </row>
    <row r="6" spans="1:14" ht="6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</row>
    <row r="7" spans="1:14" ht="13.5" customHeight="1">
      <c r="A7" s="130"/>
      <c r="B7" s="130"/>
      <c r="C7" s="174" t="s">
        <v>17</v>
      </c>
      <c r="D7" s="189"/>
      <c r="E7" s="189"/>
      <c r="F7" s="189"/>
      <c r="G7" s="189"/>
      <c r="H7" s="189"/>
      <c r="I7" s="189"/>
      <c r="J7" s="189"/>
      <c r="K7" s="189"/>
      <c r="L7" s="189"/>
      <c r="M7" s="332"/>
      <c r="N7" s="330"/>
    </row>
    <row r="8" spans="1:14" ht="11.25" customHeight="1">
      <c r="A8" s="477" t="s">
        <v>12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305"/>
      <c r="N8" s="333"/>
    </row>
    <row r="9" spans="1:14" ht="9.75" customHeight="1">
      <c r="A9" s="124" t="s">
        <v>149</v>
      </c>
      <c r="B9" s="124"/>
      <c r="C9" s="140">
        <v>26.4</v>
      </c>
      <c r="D9" s="140">
        <v>12.5</v>
      </c>
      <c r="E9" s="140">
        <v>14.6</v>
      </c>
      <c r="F9" s="140">
        <v>14.5</v>
      </c>
      <c r="G9" s="140">
        <v>22.1</v>
      </c>
      <c r="H9" s="140">
        <v>12.4</v>
      </c>
      <c r="I9" s="140">
        <v>19.9</v>
      </c>
      <c r="J9" s="140">
        <v>20.3</v>
      </c>
      <c r="K9" s="140">
        <v>19.4</v>
      </c>
      <c r="L9" s="140">
        <f aca="true" t="shared" si="0" ref="L9:L20">AVERAGE(I9:K9)</f>
        <v>19.866666666666667</v>
      </c>
      <c r="M9" s="334">
        <f aca="true" t="shared" si="1" ref="M9:M20">AVERAGE(G9:K9)</f>
        <v>18.82</v>
      </c>
      <c r="N9" s="333"/>
    </row>
    <row r="10" spans="1:14" ht="9.75" customHeight="1">
      <c r="A10" s="124" t="s">
        <v>150</v>
      </c>
      <c r="B10" s="124"/>
      <c r="C10" s="140">
        <v>18.8</v>
      </c>
      <c r="D10" s="140">
        <v>17.3</v>
      </c>
      <c r="E10" s="140">
        <v>19.8</v>
      </c>
      <c r="F10" s="140">
        <v>19.4</v>
      </c>
      <c r="G10" s="140">
        <v>13.5</v>
      </c>
      <c r="H10" s="140">
        <v>26.4</v>
      </c>
      <c r="I10" s="140">
        <v>19.8</v>
      </c>
      <c r="J10" s="140">
        <v>15.9</v>
      </c>
      <c r="K10" s="140">
        <v>20.7</v>
      </c>
      <c r="L10" s="140">
        <f t="shared" si="0"/>
        <v>18.8</v>
      </c>
      <c r="M10" s="334">
        <f t="shared" si="1"/>
        <v>19.26</v>
      </c>
      <c r="N10" s="333"/>
    </row>
    <row r="11" spans="1:14" ht="9.75" customHeight="1">
      <c r="A11" s="124" t="s">
        <v>151</v>
      </c>
      <c r="B11" s="124"/>
      <c r="C11" s="140">
        <v>6.5</v>
      </c>
      <c r="D11" s="140">
        <v>10.5</v>
      </c>
      <c r="E11" s="140">
        <v>10.8</v>
      </c>
      <c r="F11" s="140">
        <v>9</v>
      </c>
      <c r="G11" s="140">
        <v>7.2</v>
      </c>
      <c r="H11" s="140">
        <v>10.2</v>
      </c>
      <c r="I11" s="140">
        <v>11.4</v>
      </c>
      <c r="J11" s="140">
        <v>9.8</v>
      </c>
      <c r="K11" s="140">
        <v>9.2</v>
      </c>
      <c r="L11" s="140">
        <f t="shared" si="0"/>
        <v>10.133333333333335</v>
      </c>
      <c r="M11" s="334">
        <f t="shared" si="1"/>
        <v>9.559999999999999</v>
      </c>
      <c r="N11" s="333"/>
    </row>
    <row r="12" spans="1:14" ht="9.75" customHeight="1">
      <c r="A12" s="124" t="s">
        <v>152</v>
      </c>
      <c r="B12" s="124"/>
      <c r="C12" s="140">
        <v>7.5</v>
      </c>
      <c r="D12" s="140">
        <v>13.4</v>
      </c>
      <c r="E12" s="140">
        <v>10.6</v>
      </c>
      <c r="F12" s="140">
        <v>8.5</v>
      </c>
      <c r="G12" s="140">
        <v>10.3</v>
      </c>
      <c r="H12" s="140">
        <v>10.4</v>
      </c>
      <c r="I12" s="140">
        <v>8.5</v>
      </c>
      <c r="J12" s="140">
        <v>7.4</v>
      </c>
      <c r="K12" s="140">
        <v>8.4</v>
      </c>
      <c r="L12" s="140">
        <f t="shared" si="0"/>
        <v>8.1</v>
      </c>
      <c r="M12" s="334">
        <f t="shared" si="1"/>
        <v>9</v>
      </c>
      <c r="N12" s="333"/>
    </row>
    <row r="13" spans="1:14" ht="9.75" customHeight="1">
      <c r="A13" s="124" t="s">
        <v>153</v>
      </c>
      <c r="B13" s="124"/>
      <c r="C13" s="140">
        <v>7.1</v>
      </c>
      <c r="D13" s="140">
        <v>10</v>
      </c>
      <c r="E13" s="140">
        <v>14</v>
      </c>
      <c r="F13" s="140">
        <v>8.9</v>
      </c>
      <c r="G13" s="140">
        <v>8.3</v>
      </c>
      <c r="H13" s="140">
        <v>7.7</v>
      </c>
      <c r="I13" s="140">
        <v>8.6</v>
      </c>
      <c r="J13" s="140">
        <v>9.8</v>
      </c>
      <c r="K13" s="140">
        <v>9.3</v>
      </c>
      <c r="L13" s="140">
        <f t="shared" si="0"/>
        <v>9.233333333333333</v>
      </c>
      <c r="M13" s="334">
        <f t="shared" si="1"/>
        <v>8.74</v>
      </c>
      <c r="N13" s="333"/>
    </row>
    <row r="14" spans="1:14" ht="9.75" customHeight="1">
      <c r="A14" s="124" t="s">
        <v>154</v>
      </c>
      <c r="C14" s="140">
        <v>4.5</v>
      </c>
      <c r="D14" s="140">
        <v>5.7</v>
      </c>
      <c r="E14" s="140">
        <v>7</v>
      </c>
      <c r="F14" s="140">
        <v>3.8</v>
      </c>
      <c r="G14" s="140">
        <v>6.5</v>
      </c>
      <c r="H14" s="140">
        <v>5.4</v>
      </c>
      <c r="I14" s="140">
        <v>5.5</v>
      </c>
      <c r="J14" s="140">
        <v>4.8</v>
      </c>
      <c r="K14" s="140">
        <v>6.9</v>
      </c>
      <c r="L14" s="140">
        <f t="shared" si="0"/>
        <v>5.733333333333334</v>
      </c>
      <c r="M14" s="334">
        <f t="shared" si="1"/>
        <v>5.82</v>
      </c>
      <c r="N14" s="333"/>
    </row>
    <row r="15" spans="1:14" ht="9.75" customHeight="1">
      <c r="A15" s="124" t="s">
        <v>155</v>
      </c>
      <c r="C15" s="140">
        <v>5</v>
      </c>
      <c r="D15" s="140">
        <v>6.9</v>
      </c>
      <c r="E15" s="140">
        <v>5.7</v>
      </c>
      <c r="F15" s="140">
        <v>6.8</v>
      </c>
      <c r="G15" s="140">
        <v>8.3</v>
      </c>
      <c r="H15" s="140">
        <v>5.4</v>
      </c>
      <c r="I15" s="140">
        <v>6.6</v>
      </c>
      <c r="J15" s="140">
        <v>7.3</v>
      </c>
      <c r="K15" s="140">
        <v>7.7</v>
      </c>
      <c r="L15" s="140">
        <f t="shared" si="0"/>
        <v>7.199999999999999</v>
      </c>
      <c r="M15" s="334">
        <f t="shared" si="1"/>
        <v>7.0600000000000005</v>
      </c>
      <c r="N15" s="333"/>
    </row>
    <row r="16" spans="1:14" ht="9.75" customHeight="1">
      <c r="A16" s="124" t="s">
        <v>156</v>
      </c>
      <c r="C16" s="140">
        <v>5</v>
      </c>
      <c r="D16" s="140">
        <v>5.7</v>
      </c>
      <c r="E16" s="140">
        <v>4.8</v>
      </c>
      <c r="F16" s="140">
        <v>3.9</v>
      </c>
      <c r="G16" s="140">
        <v>5.2</v>
      </c>
      <c r="H16" s="140">
        <v>3.3</v>
      </c>
      <c r="I16" s="140">
        <v>4.3</v>
      </c>
      <c r="J16" s="140">
        <v>5.7</v>
      </c>
      <c r="K16" s="140">
        <v>5.8</v>
      </c>
      <c r="L16" s="140">
        <f t="shared" si="0"/>
        <v>5.266666666666667</v>
      </c>
      <c r="M16" s="334">
        <f t="shared" si="1"/>
        <v>4.86</v>
      </c>
      <c r="N16" s="333"/>
    </row>
    <row r="17" spans="1:14" ht="9.75" customHeight="1">
      <c r="A17" s="124" t="s">
        <v>157</v>
      </c>
      <c r="C17" s="140">
        <v>4.7</v>
      </c>
      <c r="D17" s="140">
        <v>5.1</v>
      </c>
      <c r="E17" s="140">
        <v>3.9</v>
      </c>
      <c r="F17" s="140">
        <v>3.9</v>
      </c>
      <c r="G17" s="140">
        <v>5.8</v>
      </c>
      <c r="H17" s="140">
        <v>6.6</v>
      </c>
      <c r="I17" s="140">
        <v>2.9</v>
      </c>
      <c r="J17" s="140">
        <v>3.7</v>
      </c>
      <c r="K17" s="140">
        <v>2.8</v>
      </c>
      <c r="L17" s="140">
        <f t="shared" si="0"/>
        <v>3.133333333333333</v>
      </c>
      <c r="M17" s="334">
        <f t="shared" si="1"/>
        <v>4.36</v>
      </c>
      <c r="N17" s="333"/>
    </row>
    <row r="18" spans="1:14" ht="9.75" customHeight="1">
      <c r="A18" s="124" t="s">
        <v>158</v>
      </c>
      <c r="C18" s="140">
        <v>3.8</v>
      </c>
      <c r="D18" s="140">
        <v>4.6</v>
      </c>
      <c r="E18" s="140">
        <v>3.3</v>
      </c>
      <c r="F18" s="140">
        <v>5.8</v>
      </c>
      <c r="G18" s="140">
        <v>4.3</v>
      </c>
      <c r="H18" s="140">
        <v>2.4</v>
      </c>
      <c r="I18" s="140">
        <v>4.1</v>
      </c>
      <c r="J18" s="140">
        <v>10</v>
      </c>
      <c r="K18" s="140">
        <v>3.1</v>
      </c>
      <c r="L18" s="140">
        <f t="shared" si="0"/>
        <v>5.733333333333333</v>
      </c>
      <c r="M18" s="334">
        <f t="shared" si="1"/>
        <v>4.779999999999999</v>
      </c>
      <c r="N18" s="333"/>
    </row>
    <row r="19" spans="1:14" ht="9.75" customHeight="1">
      <c r="A19" s="124" t="s">
        <v>159</v>
      </c>
      <c r="C19" s="140">
        <v>5.1</v>
      </c>
      <c r="D19" s="140">
        <v>4.1</v>
      </c>
      <c r="E19" s="140">
        <v>2.5</v>
      </c>
      <c r="F19" s="140">
        <v>6.3</v>
      </c>
      <c r="G19" s="140">
        <v>4.8</v>
      </c>
      <c r="H19" s="140">
        <v>3.6</v>
      </c>
      <c r="I19" s="140">
        <v>1.9</v>
      </c>
      <c r="J19" s="140">
        <v>2.2</v>
      </c>
      <c r="K19" s="140">
        <v>2.2</v>
      </c>
      <c r="L19" s="140">
        <f t="shared" si="0"/>
        <v>2.1</v>
      </c>
      <c r="M19" s="334">
        <f t="shared" si="1"/>
        <v>2.94</v>
      </c>
      <c r="N19" s="333"/>
    </row>
    <row r="20" spans="1:14" ht="9.75" customHeight="1">
      <c r="A20" s="124" t="s">
        <v>160</v>
      </c>
      <c r="C20" s="140">
        <v>5.6</v>
      </c>
      <c r="D20" s="140">
        <v>4.2</v>
      </c>
      <c r="E20" s="140">
        <v>3</v>
      </c>
      <c r="F20" s="140">
        <v>9.2</v>
      </c>
      <c r="G20" s="140">
        <v>3.7</v>
      </c>
      <c r="H20" s="140">
        <v>6.2</v>
      </c>
      <c r="I20" s="140">
        <v>6.5</v>
      </c>
      <c r="J20" s="140">
        <v>3.1</v>
      </c>
      <c r="K20" s="140">
        <v>4.5</v>
      </c>
      <c r="L20" s="140">
        <f t="shared" si="0"/>
        <v>4.7</v>
      </c>
      <c r="M20" s="334">
        <f t="shared" si="1"/>
        <v>4.8</v>
      </c>
      <c r="N20" s="333"/>
    </row>
    <row r="21" spans="13:14" ht="6" customHeight="1">
      <c r="M21" s="333"/>
      <c r="N21" s="333"/>
    </row>
    <row r="22" spans="1:14" ht="12.75">
      <c r="A22" s="477" t="s">
        <v>161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305"/>
      <c r="N22" s="333"/>
    </row>
    <row r="23" spans="1:14" ht="9.75" customHeight="1">
      <c r="A23" s="124" t="s">
        <v>149</v>
      </c>
      <c r="B23" s="124"/>
      <c r="C23" s="140">
        <v>22</v>
      </c>
      <c r="D23" s="140">
        <v>11</v>
      </c>
      <c r="E23" s="140">
        <v>12</v>
      </c>
      <c r="F23" s="140">
        <v>13</v>
      </c>
      <c r="G23" s="140">
        <v>17</v>
      </c>
      <c r="H23" s="140">
        <v>6</v>
      </c>
      <c r="I23" s="140">
        <v>16</v>
      </c>
      <c r="J23" s="140">
        <v>20</v>
      </c>
      <c r="K23" s="140">
        <v>16</v>
      </c>
      <c r="L23" s="140">
        <f aca="true" t="shared" si="2" ref="L23:L34">AVERAGE(I23:K23)</f>
        <v>17.333333333333332</v>
      </c>
      <c r="M23" s="334">
        <f aca="true" t="shared" si="3" ref="M23:M34">AVERAGE(G23:K23)</f>
        <v>15</v>
      </c>
      <c r="N23" s="333"/>
    </row>
    <row r="24" spans="1:14" ht="9.75" customHeight="1">
      <c r="A24" s="124" t="s">
        <v>150</v>
      </c>
      <c r="B24" s="124"/>
      <c r="C24" s="140">
        <v>26</v>
      </c>
      <c r="D24" s="140">
        <v>16</v>
      </c>
      <c r="E24" s="140">
        <v>25</v>
      </c>
      <c r="F24" s="140">
        <v>17</v>
      </c>
      <c r="G24" s="140">
        <v>13</v>
      </c>
      <c r="H24" s="140">
        <v>37</v>
      </c>
      <c r="I24" s="140">
        <v>18</v>
      </c>
      <c r="J24" s="140">
        <v>12</v>
      </c>
      <c r="K24" s="140">
        <v>22</v>
      </c>
      <c r="L24" s="140">
        <f t="shared" si="2"/>
        <v>17.333333333333332</v>
      </c>
      <c r="M24" s="334">
        <f t="shared" si="3"/>
        <v>20.4</v>
      </c>
      <c r="N24" s="333"/>
    </row>
    <row r="25" spans="1:14" ht="9.75" customHeight="1">
      <c r="A25" s="124" t="s">
        <v>151</v>
      </c>
      <c r="B25" s="124"/>
      <c r="C25" s="140">
        <v>6</v>
      </c>
      <c r="D25" s="140">
        <v>9</v>
      </c>
      <c r="E25" s="140">
        <v>12</v>
      </c>
      <c r="F25" s="140">
        <v>8</v>
      </c>
      <c r="G25" s="140">
        <v>4</v>
      </c>
      <c r="H25" s="140">
        <v>12</v>
      </c>
      <c r="I25" s="140">
        <v>16</v>
      </c>
      <c r="J25" s="140">
        <v>10</v>
      </c>
      <c r="K25" s="140">
        <v>8</v>
      </c>
      <c r="L25" s="140">
        <f t="shared" si="2"/>
        <v>11.333333333333334</v>
      </c>
      <c r="M25" s="334">
        <f t="shared" si="3"/>
        <v>10</v>
      </c>
      <c r="N25" s="333"/>
    </row>
    <row r="26" spans="1:14" ht="9.75" customHeight="1">
      <c r="A26" s="124" t="s">
        <v>152</v>
      </c>
      <c r="B26" s="124"/>
      <c r="C26" s="140">
        <v>8</v>
      </c>
      <c r="D26" s="140">
        <v>6</v>
      </c>
      <c r="E26" s="140">
        <v>9</v>
      </c>
      <c r="F26" s="140">
        <v>10</v>
      </c>
      <c r="G26" s="140">
        <v>12</v>
      </c>
      <c r="H26" s="140">
        <v>12</v>
      </c>
      <c r="I26" s="140">
        <v>9</v>
      </c>
      <c r="J26" s="140">
        <v>9</v>
      </c>
      <c r="K26" s="140">
        <v>9</v>
      </c>
      <c r="L26" s="140">
        <f t="shared" si="2"/>
        <v>9</v>
      </c>
      <c r="M26" s="334">
        <f t="shared" si="3"/>
        <v>10.2</v>
      </c>
      <c r="N26" s="333"/>
    </row>
    <row r="27" spans="1:14" ht="9.75" customHeight="1">
      <c r="A27" s="124" t="s">
        <v>153</v>
      </c>
      <c r="B27" s="124"/>
      <c r="C27" s="140">
        <v>5</v>
      </c>
      <c r="D27" s="140">
        <v>8</v>
      </c>
      <c r="E27" s="140">
        <v>19</v>
      </c>
      <c r="F27" s="140">
        <v>14</v>
      </c>
      <c r="G27" s="140">
        <v>10</v>
      </c>
      <c r="H27" s="140">
        <v>10</v>
      </c>
      <c r="I27" s="140">
        <v>9</v>
      </c>
      <c r="J27" s="140">
        <v>12</v>
      </c>
      <c r="K27" s="140">
        <v>10</v>
      </c>
      <c r="L27" s="140">
        <f t="shared" si="2"/>
        <v>10.333333333333334</v>
      </c>
      <c r="M27" s="334">
        <f t="shared" si="3"/>
        <v>10.2</v>
      </c>
      <c r="N27" s="333"/>
    </row>
    <row r="28" spans="1:14" ht="9.75" customHeight="1">
      <c r="A28" s="124" t="s">
        <v>154</v>
      </c>
      <c r="C28" s="140">
        <v>5</v>
      </c>
      <c r="D28" s="140">
        <v>5</v>
      </c>
      <c r="E28" s="140">
        <v>7</v>
      </c>
      <c r="F28" s="140">
        <v>3</v>
      </c>
      <c r="G28" s="140">
        <v>9</v>
      </c>
      <c r="H28" s="140">
        <v>5</v>
      </c>
      <c r="I28" s="140">
        <v>7</v>
      </c>
      <c r="J28" s="140">
        <v>7</v>
      </c>
      <c r="K28" s="140">
        <v>8</v>
      </c>
      <c r="L28" s="140">
        <f t="shared" si="2"/>
        <v>7.333333333333333</v>
      </c>
      <c r="M28" s="334">
        <f t="shared" si="3"/>
        <v>7.2</v>
      </c>
      <c r="N28" s="333"/>
    </row>
    <row r="29" spans="1:14" ht="9.75" customHeight="1">
      <c r="A29" s="124" t="s">
        <v>155</v>
      </c>
      <c r="C29" s="140">
        <v>7</v>
      </c>
      <c r="D29" s="140">
        <v>10</v>
      </c>
      <c r="E29" s="140">
        <v>5</v>
      </c>
      <c r="F29" s="140">
        <v>6</v>
      </c>
      <c r="G29" s="140">
        <v>9</v>
      </c>
      <c r="H29" s="140">
        <v>4</v>
      </c>
      <c r="I29" s="140">
        <v>10</v>
      </c>
      <c r="J29" s="140">
        <v>11</v>
      </c>
      <c r="K29" s="140">
        <v>10</v>
      </c>
      <c r="L29" s="140">
        <f t="shared" si="2"/>
        <v>10.333333333333334</v>
      </c>
      <c r="M29" s="334">
        <f t="shared" si="3"/>
        <v>8.8</v>
      </c>
      <c r="N29" s="333"/>
    </row>
    <row r="30" spans="1:14" ht="9.75" customHeight="1">
      <c r="A30" s="124" t="s">
        <v>156</v>
      </c>
      <c r="C30" s="140">
        <v>5</v>
      </c>
      <c r="D30" s="140">
        <v>9</v>
      </c>
      <c r="E30" s="140">
        <v>4</v>
      </c>
      <c r="F30" s="140">
        <v>3</v>
      </c>
      <c r="G30" s="140">
        <v>7</v>
      </c>
      <c r="H30" s="140">
        <v>2</v>
      </c>
      <c r="I30" s="140">
        <v>6</v>
      </c>
      <c r="J30" s="140">
        <v>7</v>
      </c>
      <c r="K30" s="140">
        <v>7</v>
      </c>
      <c r="L30" s="140">
        <f t="shared" si="2"/>
        <v>6.666666666666667</v>
      </c>
      <c r="M30" s="334">
        <f t="shared" si="3"/>
        <v>5.8</v>
      </c>
      <c r="N30" s="333"/>
    </row>
    <row r="31" spans="1:14" ht="9.75" customHeight="1">
      <c r="A31" s="124" t="s">
        <v>157</v>
      </c>
      <c r="C31" s="140">
        <v>4</v>
      </c>
      <c r="D31" s="140">
        <v>6</v>
      </c>
      <c r="E31" s="140">
        <v>2</v>
      </c>
      <c r="F31" s="140">
        <v>4</v>
      </c>
      <c r="G31" s="140">
        <v>6</v>
      </c>
      <c r="H31" s="140">
        <v>3</v>
      </c>
      <c r="I31" s="140">
        <v>3</v>
      </c>
      <c r="J31" s="140">
        <v>4</v>
      </c>
      <c r="K31" s="140">
        <v>2</v>
      </c>
      <c r="L31" s="140">
        <f t="shared" si="2"/>
        <v>3</v>
      </c>
      <c r="M31" s="334">
        <f t="shared" si="3"/>
        <v>3.6</v>
      </c>
      <c r="N31" s="333"/>
    </row>
    <row r="32" spans="1:14" ht="9.75" customHeight="1">
      <c r="A32" s="124" t="s">
        <v>158</v>
      </c>
      <c r="C32" s="140">
        <v>2</v>
      </c>
      <c r="D32" s="140">
        <v>8</v>
      </c>
      <c r="E32" s="140">
        <v>2</v>
      </c>
      <c r="F32" s="140">
        <v>8</v>
      </c>
      <c r="G32" s="140">
        <v>4</v>
      </c>
      <c r="H32" s="140">
        <v>2</v>
      </c>
      <c r="I32" s="140">
        <v>2</v>
      </c>
      <c r="J32" s="140">
        <v>3</v>
      </c>
      <c r="K32" s="140">
        <v>3</v>
      </c>
      <c r="L32" s="140">
        <f t="shared" si="2"/>
        <v>2.6666666666666665</v>
      </c>
      <c r="M32" s="334">
        <f t="shared" si="3"/>
        <v>2.8</v>
      </c>
      <c r="N32" s="333"/>
    </row>
    <row r="33" spans="1:14" ht="9.75" customHeight="1">
      <c r="A33" s="124" t="s">
        <v>159</v>
      </c>
      <c r="C33" s="140">
        <v>6</v>
      </c>
      <c r="D33" s="140">
        <v>5</v>
      </c>
      <c r="E33" s="140">
        <v>2</v>
      </c>
      <c r="F33" s="140">
        <v>9</v>
      </c>
      <c r="G33" s="140">
        <v>6</v>
      </c>
      <c r="H33" s="140">
        <v>4</v>
      </c>
      <c r="I33" s="140">
        <v>1</v>
      </c>
      <c r="J33" s="140">
        <v>2</v>
      </c>
      <c r="K33" s="140">
        <v>3</v>
      </c>
      <c r="L33" s="140">
        <f t="shared" si="2"/>
        <v>2</v>
      </c>
      <c r="M33" s="334">
        <f t="shared" si="3"/>
        <v>3.2</v>
      </c>
      <c r="N33" s="333"/>
    </row>
    <row r="34" spans="1:14" ht="9.75" customHeight="1">
      <c r="A34" s="124" t="s">
        <v>160</v>
      </c>
      <c r="C34" s="140">
        <v>4</v>
      </c>
      <c r="D34" s="140">
        <v>7</v>
      </c>
      <c r="E34" s="140">
        <v>1</v>
      </c>
      <c r="F34" s="140">
        <v>5</v>
      </c>
      <c r="G34" s="140">
        <v>3</v>
      </c>
      <c r="H34" s="140">
        <v>3</v>
      </c>
      <c r="I34" s="140">
        <v>3</v>
      </c>
      <c r="J34" s="140">
        <v>3</v>
      </c>
      <c r="K34" s="140">
        <v>2</v>
      </c>
      <c r="L34" s="140">
        <f t="shared" si="2"/>
        <v>2.6666666666666665</v>
      </c>
      <c r="M34" s="334">
        <f t="shared" si="3"/>
        <v>2.8</v>
      </c>
      <c r="N34" s="333"/>
    </row>
    <row r="35" spans="13:14" ht="6.75" customHeight="1">
      <c r="M35" s="333"/>
      <c r="N35" s="333"/>
    </row>
    <row r="36" spans="1:14" ht="12.75">
      <c r="A36" s="477" t="s">
        <v>5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305"/>
      <c r="N36" s="333"/>
    </row>
    <row r="37" spans="1:14" ht="12.75" customHeight="1">
      <c r="A37" s="124" t="s">
        <v>149</v>
      </c>
      <c r="B37" s="124"/>
      <c r="C37" s="140">
        <v>49</v>
      </c>
      <c r="D37" s="140">
        <v>10</v>
      </c>
      <c r="E37" s="140">
        <v>5</v>
      </c>
      <c r="F37" s="140">
        <v>12</v>
      </c>
      <c r="G37" s="140">
        <v>25</v>
      </c>
      <c r="H37" s="140">
        <v>31</v>
      </c>
      <c r="I37" s="140">
        <v>23</v>
      </c>
      <c r="J37" s="140">
        <v>25</v>
      </c>
      <c r="K37" s="140">
        <v>18</v>
      </c>
      <c r="L37" s="140">
        <f aca="true" t="shared" si="4" ref="L37:L48">AVERAGE(I37:K37)</f>
        <v>22</v>
      </c>
      <c r="M37" s="334">
        <f aca="true" t="shared" si="5" ref="M37:M48">AVERAGE(G37:K37)</f>
        <v>24.4</v>
      </c>
      <c r="N37" s="333"/>
    </row>
    <row r="38" spans="1:14" ht="9.75" customHeight="1">
      <c r="A38" s="124" t="s">
        <v>150</v>
      </c>
      <c r="B38" s="124"/>
      <c r="C38" s="140">
        <v>17</v>
      </c>
      <c r="D38" s="140">
        <v>23</v>
      </c>
      <c r="E38" s="140">
        <v>13</v>
      </c>
      <c r="F38" s="140">
        <v>27</v>
      </c>
      <c r="G38" s="140">
        <v>14</v>
      </c>
      <c r="H38" s="140">
        <v>20</v>
      </c>
      <c r="I38" s="140">
        <v>29</v>
      </c>
      <c r="J38" s="140">
        <v>23</v>
      </c>
      <c r="K38" s="140">
        <v>28</v>
      </c>
      <c r="L38" s="140">
        <f t="shared" si="4"/>
        <v>26.666666666666668</v>
      </c>
      <c r="M38" s="334">
        <f t="shared" si="5"/>
        <v>22.8</v>
      </c>
      <c r="N38" s="333"/>
    </row>
    <row r="39" spans="1:14" ht="9.75" customHeight="1">
      <c r="A39" s="124" t="s">
        <v>151</v>
      </c>
      <c r="B39" s="124"/>
      <c r="C39" s="140">
        <v>3</v>
      </c>
      <c r="D39" s="140">
        <v>14</v>
      </c>
      <c r="E39" s="140">
        <v>23</v>
      </c>
      <c r="F39" s="140">
        <v>16</v>
      </c>
      <c r="G39" s="140">
        <v>18</v>
      </c>
      <c r="H39" s="140">
        <v>4</v>
      </c>
      <c r="I39" s="140">
        <v>6</v>
      </c>
      <c r="J39" s="140">
        <v>9</v>
      </c>
      <c r="K39" s="140">
        <v>13</v>
      </c>
      <c r="L39" s="140">
        <f t="shared" si="4"/>
        <v>9.333333333333334</v>
      </c>
      <c r="M39" s="334">
        <f t="shared" si="5"/>
        <v>10</v>
      </c>
      <c r="N39" s="333"/>
    </row>
    <row r="40" spans="1:14" ht="9.75" customHeight="1">
      <c r="A40" s="124" t="s">
        <v>152</v>
      </c>
      <c r="B40" s="124"/>
      <c r="C40" s="140">
        <v>3</v>
      </c>
      <c r="D40" s="140">
        <v>28</v>
      </c>
      <c r="E40" s="140">
        <v>18</v>
      </c>
      <c r="F40" s="140">
        <v>4</v>
      </c>
      <c r="G40" s="140">
        <v>8</v>
      </c>
      <c r="H40" s="140">
        <v>5</v>
      </c>
      <c r="I40" s="140">
        <v>6</v>
      </c>
      <c r="J40" s="140">
        <v>3</v>
      </c>
      <c r="K40" s="140">
        <v>6</v>
      </c>
      <c r="L40" s="140">
        <f t="shared" si="4"/>
        <v>5</v>
      </c>
      <c r="M40" s="334">
        <f t="shared" si="5"/>
        <v>5.6</v>
      </c>
      <c r="N40" s="333"/>
    </row>
    <row r="41" spans="1:14" ht="9.75" customHeight="1">
      <c r="A41" s="124" t="s">
        <v>153</v>
      </c>
      <c r="B41" s="124"/>
      <c r="C41" s="140">
        <v>3</v>
      </c>
      <c r="D41" s="140">
        <v>10</v>
      </c>
      <c r="E41" s="140">
        <v>11</v>
      </c>
      <c r="F41" s="140">
        <v>4</v>
      </c>
      <c r="G41" s="140">
        <v>4</v>
      </c>
      <c r="H41" s="140">
        <v>3</v>
      </c>
      <c r="I41" s="140">
        <v>5</v>
      </c>
      <c r="J41" s="140">
        <v>4</v>
      </c>
      <c r="K41" s="140">
        <v>4</v>
      </c>
      <c r="L41" s="140">
        <f t="shared" si="4"/>
        <v>4.333333333333333</v>
      </c>
      <c r="M41" s="334">
        <f t="shared" si="5"/>
        <v>4</v>
      </c>
      <c r="N41" s="333"/>
    </row>
    <row r="42" spans="1:14" ht="9.75" customHeight="1">
      <c r="A42" s="124" t="s">
        <v>154</v>
      </c>
      <c r="C42" s="140">
        <v>1</v>
      </c>
      <c r="D42" s="140">
        <v>4</v>
      </c>
      <c r="E42" s="140">
        <v>9</v>
      </c>
      <c r="F42" s="140">
        <v>2</v>
      </c>
      <c r="G42" s="140">
        <v>4</v>
      </c>
      <c r="H42" s="140">
        <v>5</v>
      </c>
      <c r="I42" s="140">
        <v>3</v>
      </c>
      <c r="J42" s="140">
        <v>2</v>
      </c>
      <c r="K42" s="140">
        <v>3</v>
      </c>
      <c r="L42" s="140">
        <f t="shared" si="4"/>
        <v>2.6666666666666665</v>
      </c>
      <c r="M42" s="334">
        <f t="shared" si="5"/>
        <v>3.4</v>
      </c>
      <c r="N42" s="333"/>
    </row>
    <row r="43" spans="1:14" ht="9.75" customHeight="1">
      <c r="A43" s="124" t="s">
        <v>155</v>
      </c>
      <c r="C43" s="140">
        <v>0</v>
      </c>
      <c r="D43" s="140">
        <v>5</v>
      </c>
      <c r="E43" s="140">
        <v>7</v>
      </c>
      <c r="F43" s="140">
        <v>8</v>
      </c>
      <c r="G43" s="140">
        <v>6</v>
      </c>
      <c r="H43" s="140">
        <v>5</v>
      </c>
      <c r="I43" s="140">
        <v>3</v>
      </c>
      <c r="J43" s="140">
        <v>2</v>
      </c>
      <c r="K43" s="140">
        <v>3</v>
      </c>
      <c r="L43" s="140">
        <f t="shared" si="4"/>
        <v>2.6666666666666665</v>
      </c>
      <c r="M43" s="334">
        <f t="shared" si="5"/>
        <v>3.8</v>
      </c>
      <c r="N43" s="333"/>
    </row>
    <row r="44" spans="1:14" ht="9.75" customHeight="1">
      <c r="A44" s="124" t="s">
        <v>156</v>
      </c>
      <c r="C44" s="140">
        <v>3</v>
      </c>
      <c r="D44" s="140">
        <v>1</v>
      </c>
      <c r="E44" s="140">
        <v>4</v>
      </c>
      <c r="F44" s="140">
        <v>2</v>
      </c>
      <c r="G44" s="140">
        <v>3</v>
      </c>
      <c r="H44" s="140">
        <v>3</v>
      </c>
      <c r="I44" s="140">
        <v>1</v>
      </c>
      <c r="J44" s="140">
        <v>3</v>
      </c>
      <c r="K44" s="140">
        <v>3</v>
      </c>
      <c r="L44" s="140">
        <f t="shared" si="4"/>
        <v>2.3333333333333335</v>
      </c>
      <c r="M44" s="334">
        <f t="shared" si="5"/>
        <v>2.6</v>
      </c>
      <c r="N44" s="333"/>
    </row>
    <row r="45" spans="1:14" ht="9.75" customHeight="1">
      <c r="A45" s="124" t="s">
        <v>157</v>
      </c>
      <c r="C45" s="140">
        <v>2</v>
      </c>
      <c r="D45" s="140">
        <v>2</v>
      </c>
      <c r="E45" s="140">
        <v>2</v>
      </c>
      <c r="F45" s="140">
        <v>0</v>
      </c>
      <c r="G45" s="140">
        <v>10</v>
      </c>
      <c r="H45" s="140">
        <v>1</v>
      </c>
      <c r="I45" s="140">
        <v>2</v>
      </c>
      <c r="J45" s="140">
        <v>2</v>
      </c>
      <c r="K45" s="140">
        <v>3</v>
      </c>
      <c r="L45" s="140">
        <f t="shared" si="4"/>
        <v>2.3333333333333335</v>
      </c>
      <c r="M45" s="334">
        <f t="shared" si="5"/>
        <v>3.6</v>
      </c>
      <c r="N45" s="333"/>
    </row>
    <row r="46" spans="1:14" ht="9.75" customHeight="1">
      <c r="A46" s="124" t="s">
        <v>158</v>
      </c>
      <c r="C46" s="140">
        <v>3</v>
      </c>
      <c r="D46" s="140">
        <v>1</v>
      </c>
      <c r="E46" s="140">
        <v>2</v>
      </c>
      <c r="F46" s="140">
        <v>3</v>
      </c>
      <c r="G46" s="140">
        <v>3</v>
      </c>
      <c r="H46" s="140">
        <v>2</v>
      </c>
      <c r="I46" s="140">
        <v>7</v>
      </c>
      <c r="J46" s="140">
        <v>25</v>
      </c>
      <c r="K46" s="140">
        <v>2</v>
      </c>
      <c r="L46" s="140">
        <f t="shared" si="4"/>
        <v>11.333333333333334</v>
      </c>
      <c r="M46" s="334">
        <f t="shared" si="5"/>
        <v>7.8</v>
      </c>
      <c r="N46" s="333"/>
    </row>
    <row r="47" spans="1:14" ht="9.75" customHeight="1">
      <c r="A47" s="124" t="s">
        <v>159</v>
      </c>
      <c r="C47" s="140">
        <v>5</v>
      </c>
      <c r="D47" s="140">
        <v>1</v>
      </c>
      <c r="E47" s="140">
        <v>1</v>
      </c>
      <c r="F47" s="140">
        <v>4</v>
      </c>
      <c r="G47" s="140">
        <v>3</v>
      </c>
      <c r="H47" s="140">
        <v>2</v>
      </c>
      <c r="I47" s="140">
        <v>1</v>
      </c>
      <c r="J47" s="140">
        <v>1</v>
      </c>
      <c r="K47" s="140">
        <v>1</v>
      </c>
      <c r="L47" s="140">
        <f t="shared" si="4"/>
        <v>1</v>
      </c>
      <c r="M47" s="334">
        <f t="shared" si="5"/>
        <v>1.6</v>
      </c>
      <c r="N47" s="333"/>
    </row>
    <row r="48" spans="1:14" ht="9.75" customHeight="1">
      <c r="A48" s="124" t="s">
        <v>160</v>
      </c>
      <c r="C48" s="140">
        <v>11</v>
      </c>
      <c r="D48" s="140">
        <v>1</v>
      </c>
      <c r="E48" s="140">
        <v>5</v>
      </c>
      <c r="F48" s="140">
        <v>18</v>
      </c>
      <c r="G48" s="140">
        <v>2</v>
      </c>
      <c r="H48" s="140">
        <v>19</v>
      </c>
      <c r="I48" s="140">
        <v>14</v>
      </c>
      <c r="J48" s="140">
        <v>1</v>
      </c>
      <c r="K48" s="140">
        <v>16</v>
      </c>
      <c r="L48" s="140">
        <f t="shared" si="4"/>
        <v>10.333333333333334</v>
      </c>
      <c r="M48" s="334">
        <f t="shared" si="5"/>
        <v>10.4</v>
      </c>
      <c r="N48" s="333"/>
    </row>
    <row r="49" spans="1:14" ht="6" customHeight="1">
      <c r="A49" s="124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334"/>
      <c r="N49" s="333"/>
    </row>
    <row r="50" spans="1:14" ht="10.5" customHeight="1">
      <c r="A50" s="477" t="s">
        <v>6</v>
      </c>
      <c r="B50" s="470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330"/>
      <c r="N50" s="333"/>
    </row>
    <row r="51" spans="1:14" ht="9.75" customHeight="1">
      <c r="A51" s="124" t="s">
        <v>149</v>
      </c>
      <c r="B51" s="124"/>
      <c r="C51" s="140">
        <v>22</v>
      </c>
      <c r="D51" s="140">
        <v>20</v>
      </c>
      <c r="E51" s="140">
        <v>29</v>
      </c>
      <c r="F51" s="140">
        <v>25</v>
      </c>
      <c r="G51" s="140">
        <v>38</v>
      </c>
      <c r="H51" s="140">
        <v>16</v>
      </c>
      <c r="I51" s="140">
        <v>31</v>
      </c>
      <c r="J51" s="140">
        <v>25</v>
      </c>
      <c r="K51" s="140">
        <v>44</v>
      </c>
      <c r="L51" s="140">
        <f aca="true" t="shared" si="6" ref="L51:L62">AVERAGE(I51:K51)</f>
        <v>33.333333333333336</v>
      </c>
      <c r="M51" s="334">
        <f aca="true" t="shared" si="7" ref="M51:M62">AVERAGE(G51:K51)</f>
        <v>30.8</v>
      </c>
      <c r="N51" s="333"/>
    </row>
    <row r="52" spans="1:14" ht="9.75" customHeight="1">
      <c r="A52" s="124" t="s">
        <v>150</v>
      </c>
      <c r="B52" s="124"/>
      <c r="C52" s="140">
        <v>18</v>
      </c>
      <c r="D52" s="140">
        <v>19</v>
      </c>
      <c r="E52" s="140">
        <v>23</v>
      </c>
      <c r="F52" s="140">
        <v>26</v>
      </c>
      <c r="G52" s="140">
        <v>18</v>
      </c>
      <c r="H52" s="140">
        <v>28</v>
      </c>
      <c r="I52" s="140">
        <v>16</v>
      </c>
      <c r="J52" s="140">
        <v>27</v>
      </c>
      <c r="K52" s="140">
        <v>15</v>
      </c>
      <c r="L52" s="140">
        <f t="shared" si="6"/>
        <v>19.333333333333332</v>
      </c>
      <c r="M52" s="334">
        <f t="shared" si="7"/>
        <v>20.8</v>
      </c>
      <c r="N52" s="333"/>
    </row>
    <row r="53" spans="1:14" ht="9.75" customHeight="1">
      <c r="A53" s="124" t="s">
        <v>151</v>
      </c>
      <c r="B53" s="124"/>
      <c r="C53" s="140">
        <v>7</v>
      </c>
      <c r="D53" s="140">
        <v>7</v>
      </c>
      <c r="E53" s="140">
        <v>4</v>
      </c>
      <c r="F53" s="140">
        <v>3</v>
      </c>
      <c r="G53" s="140">
        <v>4</v>
      </c>
      <c r="H53" s="140">
        <v>12</v>
      </c>
      <c r="I53" s="140">
        <v>5</v>
      </c>
      <c r="J53" s="140">
        <v>5</v>
      </c>
      <c r="K53" s="140">
        <v>8</v>
      </c>
      <c r="L53" s="140">
        <f t="shared" si="6"/>
        <v>6</v>
      </c>
      <c r="M53" s="334">
        <f t="shared" si="7"/>
        <v>6.8</v>
      </c>
      <c r="N53" s="333"/>
    </row>
    <row r="54" spans="1:14" ht="9.75" customHeight="1">
      <c r="A54" s="124" t="s">
        <v>152</v>
      </c>
      <c r="B54" s="124"/>
      <c r="C54" s="140">
        <v>9</v>
      </c>
      <c r="D54" s="140">
        <v>10</v>
      </c>
      <c r="E54" s="140">
        <v>9</v>
      </c>
      <c r="F54" s="140">
        <v>5</v>
      </c>
      <c r="G54" s="140">
        <v>6</v>
      </c>
      <c r="H54" s="140">
        <v>9</v>
      </c>
      <c r="I54" s="140">
        <v>8</v>
      </c>
      <c r="J54" s="140">
        <v>4</v>
      </c>
      <c r="K54" s="140">
        <v>5</v>
      </c>
      <c r="L54" s="140">
        <f t="shared" si="6"/>
        <v>5.666666666666667</v>
      </c>
      <c r="M54" s="334">
        <f t="shared" si="7"/>
        <v>6.4</v>
      </c>
      <c r="N54" s="333"/>
    </row>
    <row r="55" spans="1:14" ht="9.75" customHeight="1">
      <c r="A55" s="124" t="s">
        <v>153</v>
      </c>
      <c r="B55" s="124"/>
      <c r="C55" s="140">
        <v>13</v>
      </c>
      <c r="D55" s="140">
        <v>14</v>
      </c>
      <c r="E55" s="140">
        <v>11</v>
      </c>
      <c r="F55" s="140">
        <v>3</v>
      </c>
      <c r="G55" s="140">
        <v>7</v>
      </c>
      <c r="H55" s="140">
        <v>8</v>
      </c>
      <c r="I55" s="140">
        <v>13</v>
      </c>
      <c r="J55" s="140">
        <v>11</v>
      </c>
      <c r="K55" s="140">
        <v>11</v>
      </c>
      <c r="L55" s="140">
        <f t="shared" si="6"/>
        <v>11.666666666666666</v>
      </c>
      <c r="M55" s="334">
        <f t="shared" si="7"/>
        <v>10</v>
      </c>
      <c r="N55" s="333"/>
    </row>
    <row r="56" spans="1:14" ht="9.75" customHeight="1">
      <c r="A56" s="124" t="s">
        <v>154</v>
      </c>
      <c r="C56" s="140">
        <v>5</v>
      </c>
      <c r="D56" s="140">
        <v>5</v>
      </c>
      <c r="E56" s="140">
        <v>4</v>
      </c>
      <c r="F56" s="140">
        <v>2</v>
      </c>
      <c r="G56" s="140">
        <v>5</v>
      </c>
      <c r="H56" s="140">
        <v>7</v>
      </c>
      <c r="I56" s="140">
        <v>5</v>
      </c>
      <c r="J56" s="140">
        <v>2</v>
      </c>
      <c r="K56" s="140">
        <v>4</v>
      </c>
      <c r="L56" s="140">
        <f t="shared" si="6"/>
        <v>3.6666666666666665</v>
      </c>
      <c r="M56" s="334">
        <f t="shared" si="7"/>
        <v>4.6</v>
      </c>
      <c r="N56" s="333"/>
    </row>
    <row r="57" spans="1:14" ht="9.75" customHeight="1">
      <c r="A57" s="124" t="s">
        <v>155</v>
      </c>
      <c r="C57" s="140">
        <v>4</v>
      </c>
      <c r="D57" s="140">
        <v>4</v>
      </c>
      <c r="E57" s="140">
        <v>2</v>
      </c>
      <c r="F57" s="140">
        <v>4</v>
      </c>
      <c r="G57" s="140">
        <v>4</v>
      </c>
      <c r="H57" s="140">
        <v>7</v>
      </c>
      <c r="I57" s="140">
        <v>4</v>
      </c>
      <c r="J57" s="140">
        <v>6</v>
      </c>
      <c r="K57" s="140">
        <v>2</v>
      </c>
      <c r="L57" s="140">
        <f t="shared" si="6"/>
        <v>4</v>
      </c>
      <c r="M57" s="334">
        <f t="shared" si="7"/>
        <v>4.6</v>
      </c>
      <c r="N57" s="333"/>
    </row>
    <row r="58" spans="1:14" ht="9.75" customHeight="1">
      <c r="A58" s="124" t="s">
        <v>156</v>
      </c>
      <c r="C58" s="140">
        <v>5</v>
      </c>
      <c r="D58" s="140">
        <v>5</v>
      </c>
      <c r="E58" s="140">
        <v>4</v>
      </c>
      <c r="F58" s="140">
        <v>6</v>
      </c>
      <c r="G58" s="140">
        <v>3</v>
      </c>
      <c r="H58" s="140">
        <v>3</v>
      </c>
      <c r="I58" s="140">
        <v>3</v>
      </c>
      <c r="J58" s="140">
        <v>7</v>
      </c>
      <c r="K58" s="140">
        <v>5</v>
      </c>
      <c r="L58" s="140">
        <f t="shared" si="6"/>
        <v>5</v>
      </c>
      <c r="M58" s="334">
        <f t="shared" si="7"/>
        <v>4.2</v>
      </c>
      <c r="N58" s="333"/>
    </row>
    <row r="59" spans="1:14" ht="9.75" customHeight="1">
      <c r="A59" s="124" t="s">
        <v>157</v>
      </c>
      <c r="C59" s="140">
        <v>4</v>
      </c>
      <c r="D59" s="140">
        <v>4</v>
      </c>
      <c r="E59" s="140">
        <v>4</v>
      </c>
      <c r="F59" s="140">
        <v>6</v>
      </c>
      <c r="G59" s="140">
        <v>3</v>
      </c>
      <c r="H59" s="140">
        <v>1</v>
      </c>
      <c r="I59" s="140">
        <v>4</v>
      </c>
      <c r="J59" s="140">
        <v>3</v>
      </c>
      <c r="K59" s="140">
        <v>3</v>
      </c>
      <c r="L59" s="140">
        <f t="shared" si="6"/>
        <v>3.3333333333333335</v>
      </c>
      <c r="M59" s="334">
        <f t="shared" si="7"/>
        <v>2.8</v>
      </c>
      <c r="N59" s="333"/>
    </row>
    <row r="60" spans="1:14" ht="9.75" customHeight="1">
      <c r="A60" s="124" t="s">
        <v>158</v>
      </c>
      <c r="C60" s="140">
        <v>3</v>
      </c>
      <c r="D60" s="140">
        <v>2</v>
      </c>
      <c r="E60" s="140">
        <v>2</v>
      </c>
      <c r="F60" s="140">
        <v>3</v>
      </c>
      <c r="G60" s="140">
        <v>4</v>
      </c>
      <c r="H60" s="140">
        <v>3</v>
      </c>
      <c r="I60" s="140">
        <v>4</v>
      </c>
      <c r="J60" s="140">
        <v>3</v>
      </c>
      <c r="K60" s="140">
        <v>1</v>
      </c>
      <c r="L60" s="140">
        <f t="shared" si="6"/>
        <v>2.6666666666666665</v>
      </c>
      <c r="M60" s="334">
        <f t="shared" si="7"/>
        <v>3</v>
      </c>
      <c r="N60" s="333"/>
    </row>
    <row r="61" spans="1:14" ht="9.75" customHeight="1">
      <c r="A61" s="124" t="s">
        <v>159</v>
      </c>
      <c r="C61" s="140">
        <v>5</v>
      </c>
      <c r="D61" s="140">
        <v>5</v>
      </c>
      <c r="E61" s="140">
        <v>4</v>
      </c>
      <c r="F61" s="140">
        <v>5</v>
      </c>
      <c r="G61" s="140">
        <v>4</v>
      </c>
      <c r="H61" s="140">
        <v>3</v>
      </c>
      <c r="I61" s="140">
        <v>2</v>
      </c>
      <c r="J61" s="140">
        <v>2</v>
      </c>
      <c r="K61" s="140">
        <v>1</v>
      </c>
      <c r="L61" s="140">
        <f t="shared" si="6"/>
        <v>1.6666666666666667</v>
      </c>
      <c r="M61" s="334">
        <f t="shared" si="7"/>
        <v>2.4</v>
      </c>
      <c r="N61" s="333"/>
    </row>
    <row r="62" spans="1:14" ht="9.75" customHeight="1">
      <c r="A62" s="124" t="s">
        <v>160</v>
      </c>
      <c r="C62" s="140">
        <v>5</v>
      </c>
      <c r="D62" s="140">
        <v>5</v>
      </c>
      <c r="E62" s="140">
        <v>4</v>
      </c>
      <c r="F62" s="140">
        <v>12</v>
      </c>
      <c r="G62" s="140">
        <v>4</v>
      </c>
      <c r="H62" s="140">
        <v>3</v>
      </c>
      <c r="I62" s="140">
        <v>5</v>
      </c>
      <c r="J62" s="140">
        <v>5</v>
      </c>
      <c r="K62" s="140">
        <v>1</v>
      </c>
      <c r="L62" s="140">
        <f t="shared" si="6"/>
        <v>3.6666666666666665</v>
      </c>
      <c r="M62" s="334">
        <f t="shared" si="7"/>
        <v>3.6</v>
      </c>
      <c r="N62" s="333"/>
    </row>
    <row r="63" spans="1:14" ht="10.5" customHeight="1">
      <c r="A63" s="124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334"/>
      <c r="N63" s="333"/>
    </row>
    <row r="64" spans="1:14" ht="10.5" customHeight="1">
      <c r="A64" s="477" t="s">
        <v>8</v>
      </c>
      <c r="B64" s="470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330"/>
      <c r="N64" s="333"/>
    </row>
    <row r="65" spans="1:14" ht="9.75" customHeight="1">
      <c r="A65" s="124" t="s">
        <v>149</v>
      </c>
      <c r="B65" s="124"/>
      <c r="C65" s="140">
        <v>5</v>
      </c>
      <c r="D65" s="140">
        <v>5</v>
      </c>
      <c r="E65" s="140">
        <v>8</v>
      </c>
      <c r="F65" s="140">
        <v>7</v>
      </c>
      <c r="G65" s="140">
        <v>10</v>
      </c>
      <c r="H65" s="140">
        <v>4</v>
      </c>
      <c r="I65" s="140">
        <v>6</v>
      </c>
      <c r="J65" s="140">
        <v>5</v>
      </c>
      <c r="K65" s="140">
        <v>10</v>
      </c>
      <c r="L65" s="140">
        <f aca="true" t="shared" si="8" ref="L65:L76">AVERAGE(I65:K65)</f>
        <v>7</v>
      </c>
      <c r="M65" s="334">
        <f aca="true" t="shared" si="9" ref="M65:M76">AVERAGE(G65:K65)</f>
        <v>7</v>
      </c>
      <c r="N65" s="333"/>
    </row>
    <row r="66" spans="1:14" ht="9.75" customHeight="1">
      <c r="A66" s="124" t="s">
        <v>150</v>
      </c>
      <c r="B66" s="124"/>
      <c r="C66" s="140">
        <v>11</v>
      </c>
      <c r="D66" s="140">
        <v>10</v>
      </c>
      <c r="E66" s="140">
        <v>12</v>
      </c>
      <c r="F66" s="140">
        <v>11</v>
      </c>
      <c r="G66" s="140">
        <v>9</v>
      </c>
      <c r="H66" s="140">
        <v>11</v>
      </c>
      <c r="I66" s="140">
        <v>13</v>
      </c>
      <c r="J66" s="140">
        <v>7</v>
      </c>
      <c r="K66" s="140">
        <v>9</v>
      </c>
      <c r="L66" s="140">
        <f t="shared" si="8"/>
        <v>9.666666666666666</v>
      </c>
      <c r="M66" s="334">
        <f t="shared" si="9"/>
        <v>9.8</v>
      </c>
      <c r="N66" s="333"/>
    </row>
    <row r="67" spans="1:14" ht="9.75" customHeight="1">
      <c r="A67" s="124" t="s">
        <v>151</v>
      </c>
      <c r="B67" s="124"/>
      <c r="C67" s="140">
        <v>12</v>
      </c>
      <c r="D67" s="140">
        <v>11</v>
      </c>
      <c r="E67" s="140">
        <v>11</v>
      </c>
      <c r="F67" s="140">
        <v>11</v>
      </c>
      <c r="G67" s="140">
        <v>9</v>
      </c>
      <c r="H67" s="140">
        <v>5</v>
      </c>
      <c r="I67" s="140">
        <v>9</v>
      </c>
      <c r="J67" s="140">
        <v>17</v>
      </c>
      <c r="K67" s="140">
        <v>16</v>
      </c>
      <c r="L67" s="140">
        <f t="shared" si="8"/>
        <v>14</v>
      </c>
      <c r="M67" s="334">
        <f t="shared" si="9"/>
        <v>11.2</v>
      </c>
      <c r="N67" s="333"/>
    </row>
    <row r="68" spans="1:14" ht="9.75" customHeight="1">
      <c r="A68" s="124" t="s">
        <v>152</v>
      </c>
      <c r="B68" s="124"/>
      <c r="C68" s="140">
        <v>8</v>
      </c>
      <c r="D68" s="140">
        <v>9</v>
      </c>
      <c r="E68" s="140">
        <v>8</v>
      </c>
      <c r="F68" s="140">
        <v>9</v>
      </c>
      <c r="G68" s="140">
        <v>12</v>
      </c>
      <c r="H68" s="140">
        <v>6</v>
      </c>
      <c r="I68" s="140">
        <v>9</v>
      </c>
      <c r="J68" s="140">
        <v>9</v>
      </c>
      <c r="K68" s="140">
        <v>11</v>
      </c>
      <c r="L68" s="140">
        <f t="shared" si="8"/>
        <v>9.666666666666666</v>
      </c>
      <c r="M68" s="334">
        <f t="shared" si="9"/>
        <v>9.4</v>
      </c>
      <c r="N68" s="333"/>
    </row>
    <row r="69" spans="1:14" ht="9.75" customHeight="1">
      <c r="A69" s="124" t="s">
        <v>153</v>
      </c>
      <c r="B69" s="124"/>
      <c r="C69" s="140">
        <v>9</v>
      </c>
      <c r="D69" s="140">
        <v>11</v>
      </c>
      <c r="E69" s="140">
        <v>7</v>
      </c>
      <c r="F69" s="140">
        <v>7</v>
      </c>
      <c r="G69" s="140">
        <v>7</v>
      </c>
      <c r="H69" s="140">
        <v>4</v>
      </c>
      <c r="I69" s="140">
        <v>17</v>
      </c>
      <c r="J69" s="140">
        <v>15</v>
      </c>
      <c r="K69" s="140">
        <v>11</v>
      </c>
      <c r="L69" s="140">
        <f t="shared" si="8"/>
        <v>14.333333333333334</v>
      </c>
      <c r="M69" s="334">
        <f t="shared" si="9"/>
        <v>10.8</v>
      </c>
      <c r="N69" s="333"/>
    </row>
    <row r="70" spans="1:14" ht="9.75" customHeight="1">
      <c r="A70" s="124" t="s">
        <v>154</v>
      </c>
      <c r="C70" s="140">
        <v>8</v>
      </c>
      <c r="D70" s="140">
        <v>8</v>
      </c>
      <c r="E70" s="140">
        <v>7</v>
      </c>
      <c r="F70" s="140">
        <v>11</v>
      </c>
      <c r="G70" s="140">
        <v>6</v>
      </c>
      <c r="H70" s="140">
        <v>5</v>
      </c>
      <c r="I70" s="140">
        <v>8</v>
      </c>
      <c r="J70" s="140">
        <v>10</v>
      </c>
      <c r="K70" s="140">
        <v>12</v>
      </c>
      <c r="L70" s="140">
        <f t="shared" si="8"/>
        <v>10</v>
      </c>
      <c r="M70" s="334">
        <f t="shared" si="9"/>
        <v>8.2</v>
      </c>
      <c r="N70" s="333"/>
    </row>
    <row r="71" spans="1:14" ht="9.75" customHeight="1">
      <c r="A71" s="124" t="s">
        <v>155</v>
      </c>
      <c r="C71" s="140">
        <v>7</v>
      </c>
      <c r="D71" s="140">
        <v>7</v>
      </c>
      <c r="E71" s="140">
        <v>7</v>
      </c>
      <c r="F71" s="140">
        <v>8</v>
      </c>
      <c r="G71" s="140">
        <v>18</v>
      </c>
      <c r="H71" s="140">
        <v>4</v>
      </c>
      <c r="I71" s="140">
        <v>5</v>
      </c>
      <c r="J71" s="140">
        <v>12</v>
      </c>
      <c r="K71" s="140">
        <v>8</v>
      </c>
      <c r="L71" s="140">
        <f t="shared" si="8"/>
        <v>8.333333333333334</v>
      </c>
      <c r="M71" s="334">
        <f t="shared" si="9"/>
        <v>9.4</v>
      </c>
      <c r="N71" s="333"/>
    </row>
    <row r="72" spans="1:14" ht="9.75" customHeight="1">
      <c r="A72" s="124" t="s">
        <v>156</v>
      </c>
      <c r="C72" s="140">
        <v>10</v>
      </c>
      <c r="D72" s="140">
        <v>9</v>
      </c>
      <c r="E72" s="140">
        <v>11</v>
      </c>
      <c r="F72" s="140">
        <v>9</v>
      </c>
      <c r="G72" s="140">
        <v>8</v>
      </c>
      <c r="H72" s="140">
        <v>9</v>
      </c>
      <c r="I72" s="140">
        <v>12</v>
      </c>
      <c r="J72" s="140">
        <v>3</v>
      </c>
      <c r="K72" s="140">
        <v>10</v>
      </c>
      <c r="L72" s="140">
        <f t="shared" si="8"/>
        <v>8.333333333333334</v>
      </c>
      <c r="M72" s="334">
        <f t="shared" si="9"/>
        <v>8.4</v>
      </c>
      <c r="N72" s="333"/>
    </row>
    <row r="73" spans="1:14" ht="9.75" customHeight="1">
      <c r="A73" s="124" t="s">
        <v>157</v>
      </c>
      <c r="C73" s="140">
        <v>12</v>
      </c>
      <c r="D73" s="140">
        <v>12</v>
      </c>
      <c r="E73" s="140">
        <v>11</v>
      </c>
      <c r="F73" s="140">
        <v>9</v>
      </c>
      <c r="G73" s="140">
        <v>5</v>
      </c>
      <c r="H73" s="140">
        <v>38</v>
      </c>
      <c r="I73" s="140">
        <v>7</v>
      </c>
      <c r="J73" s="140">
        <v>4</v>
      </c>
      <c r="K73" s="140">
        <v>4</v>
      </c>
      <c r="L73" s="140">
        <f t="shared" si="8"/>
        <v>5</v>
      </c>
      <c r="M73" s="334">
        <f t="shared" si="9"/>
        <v>11.6</v>
      </c>
      <c r="N73" s="333"/>
    </row>
    <row r="74" spans="1:14" ht="9.75" customHeight="1">
      <c r="A74" s="124" t="s">
        <v>158</v>
      </c>
      <c r="C74" s="140">
        <v>6</v>
      </c>
      <c r="D74" s="140">
        <v>6</v>
      </c>
      <c r="E74" s="140">
        <v>8</v>
      </c>
      <c r="F74" s="140">
        <v>7</v>
      </c>
      <c r="G74" s="140">
        <v>6</v>
      </c>
      <c r="H74" s="140">
        <v>4</v>
      </c>
      <c r="I74" s="140">
        <v>5</v>
      </c>
      <c r="J74" s="140">
        <v>4</v>
      </c>
      <c r="K74" s="140">
        <v>2</v>
      </c>
      <c r="L74" s="140">
        <f t="shared" si="8"/>
        <v>3.6666666666666665</v>
      </c>
      <c r="M74" s="334">
        <f t="shared" si="9"/>
        <v>4.2</v>
      </c>
      <c r="N74" s="333"/>
    </row>
    <row r="75" spans="1:14" ht="9.75" customHeight="1">
      <c r="A75" s="124" t="s">
        <v>159</v>
      </c>
      <c r="C75" s="140">
        <v>5</v>
      </c>
      <c r="D75" s="140">
        <v>6</v>
      </c>
      <c r="E75" s="140">
        <v>5</v>
      </c>
      <c r="F75" s="140">
        <v>6</v>
      </c>
      <c r="G75" s="140">
        <v>3</v>
      </c>
      <c r="H75" s="140">
        <v>9</v>
      </c>
      <c r="I75" s="140">
        <v>8</v>
      </c>
      <c r="J75" s="140">
        <v>10</v>
      </c>
      <c r="K75" s="140">
        <v>3</v>
      </c>
      <c r="L75" s="140">
        <f t="shared" si="8"/>
        <v>7</v>
      </c>
      <c r="M75" s="334">
        <f t="shared" si="9"/>
        <v>6.6</v>
      </c>
      <c r="N75" s="333"/>
    </row>
    <row r="76" spans="1:14" ht="9.75" customHeight="1">
      <c r="A76" s="124" t="s">
        <v>160</v>
      </c>
      <c r="C76" s="140">
        <v>7</v>
      </c>
      <c r="D76" s="140">
        <v>6</v>
      </c>
      <c r="E76" s="140">
        <v>5</v>
      </c>
      <c r="F76" s="140">
        <v>5</v>
      </c>
      <c r="G76" s="140">
        <v>7</v>
      </c>
      <c r="H76" s="140">
        <v>1</v>
      </c>
      <c r="I76" s="140">
        <v>1</v>
      </c>
      <c r="J76" s="140">
        <v>4</v>
      </c>
      <c r="K76" s="140">
        <v>4</v>
      </c>
      <c r="L76" s="140">
        <f t="shared" si="8"/>
        <v>3</v>
      </c>
      <c r="M76" s="334">
        <f t="shared" si="9"/>
        <v>3.4</v>
      </c>
      <c r="N76" s="335"/>
    </row>
    <row r="77" spans="1:15" ht="3.7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1:15" ht="12.75" customHeight="1">
      <c r="A78" s="337" t="s">
        <v>559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</row>
    <row r="79" ht="18" customHeight="1">
      <c r="A79" s="337" t="s">
        <v>274</v>
      </c>
    </row>
    <row r="80" spans="12:13" ht="12.75">
      <c r="L80" s="402"/>
      <c r="M80" s="402"/>
    </row>
    <row r="88" ht="12.75">
      <c r="A88" s="196" t="s">
        <v>257</v>
      </c>
    </row>
    <row r="89" ht="12.75">
      <c r="A89" s="196"/>
    </row>
    <row r="91" spans="1:4" ht="12.75" customHeight="1">
      <c r="A91" s="197" t="s">
        <v>557</v>
      </c>
      <c r="B91" s="126"/>
      <c r="C91" s="124"/>
      <c r="D91" s="124"/>
    </row>
    <row r="92" spans="1:5" ht="9.75" customHeight="1">
      <c r="A92" s="127"/>
      <c r="B92" s="127"/>
      <c r="C92" s="127"/>
      <c r="D92" s="127"/>
      <c r="E92" s="299"/>
    </row>
    <row r="93" spans="1:5" ht="9.75" customHeight="1">
      <c r="A93" s="130"/>
      <c r="B93" s="130"/>
      <c r="C93" s="130"/>
      <c r="D93" s="130"/>
      <c r="E93" s="330"/>
    </row>
    <row r="94" spans="1:5" ht="9.75" customHeight="1">
      <c r="A94" s="124" t="s">
        <v>148</v>
      </c>
      <c r="B94" s="128"/>
      <c r="C94" s="142" t="s">
        <v>143</v>
      </c>
      <c r="D94" s="142" t="s">
        <v>144</v>
      </c>
      <c r="E94" s="329" t="s">
        <v>145</v>
      </c>
    </row>
    <row r="95" spans="1:5" ht="9.75" customHeight="1">
      <c r="A95" s="129"/>
      <c r="B95" s="129"/>
      <c r="C95" s="129"/>
      <c r="D95" s="129"/>
      <c r="E95" s="308"/>
    </row>
    <row r="96" spans="1:5" ht="9.75" customHeight="1">
      <c r="A96" s="130"/>
      <c r="B96" s="130"/>
      <c r="C96" s="130"/>
      <c r="D96" s="130"/>
      <c r="E96" s="198" t="s">
        <v>17</v>
      </c>
    </row>
    <row r="97" spans="1:5" ht="9.75" customHeight="1">
      <c r="A97" s="126" t="s">
        <v>12</v>
      </c>
      <c r="B97" s="124"/>
      <c r="C97" s="124"/>
      <c r="D97" s="124"/>
      <c r="E97" s="470"/>
    </row>
    <row r="98" spans="1:5" ht="9.75" customHeight="1">
      <c r="A98" s="124" t="s">
        <v>149</v>
      </c>
      <c r="B98" s="124"/>
      <c r="C98" s="140">
        <v>20.3</v>
      </c>
      <c r="D98" s="140">
        <v>12.8</v>
      </c>
      <c r="E98" s="140">
        <v>25.5</v>
      </c>
    </row>
    <row r="99" spans="1:5" ht="9.75" customHeight="1">
      <c r="A99" s="124" t="s">
        <v>150</v>
      </c>
      <c r="B99" s="124"/>
      <c r="C99" s="140">
        <v>21.4</v>
      </c>
      <c r="D99" s="140">
        <v>15.9</v>
      </c>
      <c r="E99" s="140">
        <v>10.9</v>
      </c>
    </row>
    <row r="100" spans="1:5" ht="9.75" customHeight="1">
      <c r="A100" s="124" t="s">
        <v>151</v>
      </c>
      <c r="B100" s="124"/>
      <c r="C100" s="140">
        <v>7.9</v>
      </c>
      <c r="D100" s="140">
        <v>11</v>
      </c>
      <c r="E100" s="140">
        <v>7.5</v>
      </c>
    </row>
    <row r="101" spans="1:5" ht="9.75" customHeight="1">
      <c r="A101" s="124" t="s">
        <v>152</v>
      </c>
      <c r="B101" s="124"/>
      <c r="C101" s="140">
        <v>7.5</v>
      </c>
      <c r="D101" s="140">
        <v>11.6</v>
      </c>
      <c r="E101" s="140">
        <v>9.9</v>
      </c>
    </row>
    <row r="102" spans="1:5" ht="9.75" customHeight="1">
      <c r="A102" s="124" t="s">
        <v>153</v>
      </c>
      <c r="B102" s="124"/>
      <c r="C102" s="140">
        <v>8</v>
      </c>
      <c r="D102" s="140">
        <v>10.4</v>
      </c>
      <c r="E102" s="140">
        <v>11.9</v>
      </c>
    </row>
    <row r="103" spans="1:5" ht="9.75" customHeight="1">
      <c r="A103" s="124" t="s">
        <v>154</v>
      </c>
      <c r="C103" s="140">
        <v>5.2</v>
      </c>
      <c r="D103" s="140">
        <v>7.8</v>
      </c>
      <c r="E103" s="140">
        <v>5.8</v>
      </c>
    </row>
    <row r="104" spans="1:5" ht="9.75" customHeight="1">
      <c r="A104" s="124" t="s">
        <v>155</v>
      </c>
      <c r="C104" s="140">
        <v>4.5</v>
      </c>
      <c r="D104" s="140">
        <v>6.1</v>
      </c>
      <c r="E104" s="140">
        <v>5.2</v>
      </c>
    </row>
    <row r="105" spans="1:5" ht="9.75" customHeight="1">
      <c r="A105" s="124" t="s">
        <v>156</v>
      </c>
      <c r="C105" s="140">
        <v>5.4</v>
      </c>
      <c r="D105" s="140">
        <v>5.9</v>
      </c>
      <c r="E105" s="140">
        <v>6.8</v>
      </c>
    </row>
    <row r="106" spans="1:5" ht="9.75" customHeight="1">
      <c r="A106" s="124" t="s">
        <v>157</v>
      </c>
      <c r="C106" s="140">
        <v>5.8</v>
      </c>
      <c r="D106" s="140">
        <v>4.5</v>
      </c>
      <c r="E106" s="140">
        <v>5.5</v>
      </c>
    </row>
    <row r="107" spans="1:5" ht="9.75" customHeight="1">
      <c r="A107" s="124" t="s">
        <v>158</v>
      </c>
      <c r="C107" s="140">
        <v>6.3</v>
      </c>
      <c r="D107" s="140">
        <v>4.2</v>
      </c>
      <c r="E107" s="140">
        <v>3.4</v>
      </c>
    </row>
    <row r="108" spans="1:5" ht="9.75" customHeight="1">
      <c r="A108" s="124" t="s">
        <v>159</v>
      </c>
      <c r="C108" s="140">
        <v>4.1</v>
      </c>
      <c r="D108" s="140">
        <v>4.5</v>
      </c>
      <c r="E108" s="140">
        <v>3.8</v>
      </c>
    </row>
    <row r="109" spans="1:5" ht="9.75" customHeight="1">
      <c r="A109" s="124" t="s">
        <v>160</v>
      </c>
      <c r="C109" s="140">
        <v>3.6</v>
      </c>
      <c r="D109" s="140">
        <v>5.3</v>
      </c>
      <c r="E109" s="140">
        <v>3.8</v>
      </c>
    </row>
    <row r="110" ht="9.75" customHeight="1"/>
    <row r="111" spans="1:5" ht="9.75" customHeight="1">
      <c r="A111" s="126" t="s">
        <v>161</v>
      </c>
      <c r="B111" s="124"/>
      <c r="C111" s="124"/>
      <c r="D111" s="124"/>
      <c r="E111" s="470"/>
    </row>
    <row r="112" spans="1:5" ht="9.75" customHeight="1">
      <c r="A112" s="124" t="s">
        <v>149</v>
      </c>
      <c r="B112" s="124"/>
      <c r="C112" s="140">
        <v>27</v>
      </c>
      <c r="D112" s="140">
        <v>17</v>
      </c>
      <c r="E112" s="140">
        <v>30</v>
      </c>
    </row>
    <row r="113" spans="1:5" ht="9.75" customHeight="1">
      <c r="A113" s="124" t="s">
        <v>150</v>
      </c>
      <c r="B113" s="124"/>
      <c r="C113" s="140">
        <v>25</v>
      </c>
      <c r="D113" s="140">
        <v>16</v>
      </c>
      <c r="E113" s="140">
        <v>8</v>
      </c>
    </row>
    <row r="114" spans="1:5" ht="9.75" customHeight="1">
      <c r="A114" s="124" t="s">
        <v>151</v>
      </c>
      <c r="B114" s="124"/>
      <c r="C114" s="140">
        <v>6</v>
      </c>
      <c r="D114" s="140">
        <v>13</v>
      </c>
      <c r="E114" s="140">
        <v>6</v>
      </c>
    </row>
    <row r="115" spans="1:5" ht="9.75" customHeight="1">
      <c r="A115" s="124" t="s">
        <v>152</v>
      </c>
      <c r="B115" s="124"/>
      <c r="C115" s="140">
        <v>8</v>
      </c>
      <c r="D115" s="140">
        <v>12</v>
      </c>
      <c r="E115" s="140">
        <v>10</v>
      </c>
    </row>
    <row r="116" spans="1:5" ht="9.75" customHeight="1">
      <c r="A116" s="124" t="s">
        <v>153</v>
      </c>
      <c r="B116" s="124"/>
      <c r="C116" s="140">
        <v>5</v>
      </c>
      <c r="D116" s="140">
        <v>8</v>
      </c>
      <c r="E116" s="140">
        <v>10</v>
      </c>
    </row>
    <row r="117" spans="1:5" ht="9.75" customHeight="1">
      <c r="A117" s="124" t="s">
        <v>154</v>
      </c>
      <c r="C117" s="140">
        <v>4</v>
      </c>
      <c r="D117" s="140">
        <v>8</v>
      </c>
      <c r="E117" s="140">
        <v>6</v>
      </c>
    </row>
    <row r="118" spans="1:5" ht="9.75" customHeight="1">
      <c r="A118" s="124" t="s">
        <v>155</v>
      </c>
      <c r="C118" s="140">
        <v>4</v>
      </c>
      <c r="D118" s="140">
        <v>6</v>
      </c>
      <c r="E118" s="140">
        <v>7</v>
      </c>
    </row>
    <row r="119" spans="1:5" ht="9.75" customHeight="1">
      <c r="A119" s="124" t="s">
        <v>156</v>
      </c>
      <c r="C119" s="140">
        <v>5</v>
      </c>
      <c r="D119" s="140">
        <v>5</v>
      </c>
      <c r="E119" s="140">
        <v>9</v>
      </c>
    </row>
    <row r="120" spans="1:5" ht="9.75" customHeight="1">
      <c r="A120" s="124" t="s">
        <v>157</v>
      </c>
      <c r="C120" s="140">
        <v>6</v>
      </c>
      <c r="D120" s="140">
        <v>2</v>
      </c>
      <c r="E120" s="140">
        <v>4</v>
      </c>
    </row>
    <row r="121" spans="1:5" ht="9.75" customHeight="1">
      <c r="A121" s="124" t="s">
        <v>158</v>
      </c>
      <c r="C121" s="140">
        <v>5</v>
      </c>
      <c r="D121" s="140">
        <v>3</v>
      </c>
      <c r="E121" s="140">
        <v>3</v>
      </c>
    </row>
    <row r="122" spans="1:5" ht="9.75" customHeight="1">
      <c r="A122" s="124" t="s">
        <v>159</v>
      </c>
      <c r="C122" s="140">
        <v>3</v>
      </c>
      <c r="D122" s="140">
        <v>3</v>
      </c>
      <c r="E122" s="140">
        <v>4</v>
      </c>
    </row>
    <row r="123" spans="1:5" ht="9.75" customHeight="1">
      <c r="A123" s="124" t="s">
        <v>160</v>
      </c>
      <c r="C123" s="140">
        <v>2</v>
      </c>
      <c r="D123" s="140">
        <v>7</v>
      </c>
      <c r="E123" s="140">
        <v>3</v>
      </c>
    </row>
    <row r="124" ht="9.75" customHeight="1"/>
    <row r="125" spans="1:5" ht="9.75" customHeight="1">
      <c r="A125" s="126" t="s">
        <v>5</v>
      </c>
      <c r="B125" s="124"/>
      <c r="C125" s="124"/>
      <c r="D125" s="124"/>
      <c r="E125" s="470"/>
    </row>
    <row r="126" spans="1:5" ht="9.75" customHeight="1">
      <c r="A126" s="124" t="s">
        <v>149</v>
      </c>
      <c r="B126" s="124"/>
      <c r="C126" s="140">
        <v>6</v>
      </c>
      <c r="D126" s="140">
        <v>5</v>
      </c>
      <c r="E126" s="140">
        <v>30</v>
      </c>
    </row>
    <row r="127" spans="1:5" ht="9.75" customHeight="1">
      <c r="A127" s="124" t="s">
        <v>150</v>
      </c>
      <c r="B127" s="124"/>
      <c r="C127" s="140">
        <v>32</v>
      </c>
      <c r="D127" s="140">
        <v>16</v>
      </c>
      <c r="E127" s="140">
        <v>12</v>
      </c>
    </row>
    <row r="128" spans="1:5" ht="9.75" customHeight="1">
      <c r="A128" s="124" t="s">
        <v>151</v>
      </c>
      <c r="B128" s="124"/>
      <c r="C128" s="140">
        <v>8</v>
      </c>
      <c r="D128" s="140">
        <v>11</v>
      </c>
      <c r="E128" s="140">
        <v>6</v>
      </c>
    </row>
    <row r="129" spans="1:5" ht="9.75" customHeight="1">
      <c r="A129" s="124" t="s">
        <v>152</v>
      </c>
      <c r="B129" s="124"/>
      <c r="C129" s="140">
        <v>6</v>
      </c>
      <c r="D129" s="140">
        <v>16</v>
      </c>
      <c r="E129" s="140">
        <v>10</v>
      </c>
    </row>
    <row r="130" spans="1:5" ht="9.75" customHeight="1">
      <c r="A130" s="124" t="s">
        <v>153</v>
      </c>
      <c r="B130" s="124"/>
      <c r="C130" s="140">
        <v>15</v>
      </c>
      <c r="D130" s="140">
        <v>11</v>
      </c>
      <c r="E130" s="140">
        <v>20</v>
      </c>
    </row>
    <row r="131" spans="1:5" ht="9.75" customHeight="1">
      <c r="A131" s="124" t="s">
        <v>154</v>
      </c>
      <c r="C131" s="140">
        <v>6</v>
      </c>
      <c r="D131" s="140">
        <v>10</v>
      </c>
      <c r="E131" s="140">
        <v>5</v>
      </c>
    </row>
    <row r="132" spans="1:5" ht="9.75" customHeight="1">
      <c r="A132" s="124" t="s">
        <v>155</v>
      </c>
      <c r="C132" s="140">
        <v>3</v>
      </c>
      <c r="D132" s="140">
        <v>6</v>
      </c>
      <c r="E132" s="140">
        <v>3</v>
      </c>
    </row>
    <row r="133" spans="1:5" ht="9.75" customHeight="1">
      <c r="A133" s="124" t="s">
        <v>156</v>
      </c>
      <c r="C133" s="140">
        <v>6</v>
      </c>
      <c r="D133" s="140">
        <v>6</v>
      </c>
      <c r="E133" s="140">
        <v>4</v>
      </c>
    </row>
    <row r="134" spans="1:5" ht="9.75" customHeight="1">
      <c r="A134" s="124" t="s">
        <v>157</v>
      </c>
      <c r="C134" s="140">
        <v>3</v>
      </c>
      <c r="D134" s="140">
        <v>5</v>
      </c>
      <c r="E134" s="140">
        <v>7</v>
      </c>
    </row>
    <row r="135" spans="1:5" ht="9.75" customHeight="1">
      <c r="A135" s="124" t="s">
        <v>158</v>
      </c>
      <c r="C135" s="140">
        <v>7</v>
      </c>
      <c r="D135" s="140">
        <v>5</v>
      </c>
      <c r="E135" s="140">
        <v>1</v>
      </c>
    </row>
    <row r="136" spans="1:5" ht="9.75" customHeight="1">
      <c r="A136" s="124" t="s">
        <v>159</v>
      </c>
      <c r="C136" s="140">
        <v>5</v>
      </c>
      <c r="D136" s="140">
        <v>5</v>
      </c>
      <c r="E136" s="140">
        <v>1</v>
      </c>
    </row>
    <row r="137" spans="1:5" ht="9.75" customHeight="1">
      <c r="A137" s="124" t="s">
        <v>160</v>
      </c>
      <c r="C137" s="140">
        <v>3</v>
      </c>
      <c r="D137" s="140">
        <v>4</v>
      </c>
      <c r="E137" s="140">
        <v>1</v>
      </c>
    </row>
    <row r="138" spans="1:5" ht="9.75" customHeight="1">
      <c r="A138" s="124"/>
      <c r="C138" s="140"/>
      <c r="D138" s="140"/>
      <c r="E138" s="140"/>
    </row>
    <row r="139" spans="1:5" ht="9.75" customHeight="1">
      <c r="A139" s="126" t="s">
        <v>6</v>
      </c>
      <c r="B139" s="124"/>
      <c r="C139" s="130"/>
      <c r="D139" s="130"/>
      <c r="E139" s="478"/>
    </row>
    <row r="140" spans="1:5" ht="9.75" customHeight="1">
      <c r="A140" s="124" t="s">
        <v>149</v>
      </c>
      <c r="B140" s="124"/>
      <c r="C140" s="140">
        <v>29</v>
      </c>
      <c r="D140" s="140">
        <v>20</v>
      </c>
      <c r="E140" s="140">
        <v>25</v>
      </c>
    </row>
    <row r="141" spans="1:5" ht="9.75" customHeight="1">
      <c r="A141" s="124" t="s">
        <v>150</v>
      </c>
      <c r="B141" s="124"/>
      <c r="C141" s="140">
        <v>18</v>
      </c>
      <c r="D141" s="140">
        <v>14</v>
      </c>
      <c r="E141" s="140">
        <v>14</v>
      </c>
    </row>
    <row r="142" spans="1:5" ht="9.75" customHeight="1">
      <c r="A142" s="124" t="s">
        <v>151</v>
      </c>
      <c r="B142" s="124"/>
      <c r="C142" s="140">
        <v>10</v>
      </c>
      <c r="D142" s="140">
        <v>9</v>
      </c>
      <c r="E142" s="140">
        <v>5</v>
      </c>
    </row>
    <row r="143" spans="1:5" ht="9.75" customHeight="1">
      <c r="A143" s="124" t="s">
        <v>152</v>
      </c>
      <c r="B143" s="124"/>
      <c r="C143" s="140">
        <v>7</v>
      </c>
      <c r="D143" s="140">
        <v>10</v>
      </c>
      <c r="E143" s="140">
        <v>12</v>
      </c>
    </row>
    <row r="144" spans="1:5" ht="9.75" customHeight="1">
      <c r="A144" s="124" t="s">
        <v>153</v>
      </c>
      <c r="B144" s="124"/>
      <c r="C144" s="140">
        <v>7</v>
      </c>
      <c r="D144" s="140">
        <v>17</v>
      </c>
      <c r="E144" s="140">
        <v>12</v>
      </c>
    </row>
    <row r="145" spans="1:5" ht="9.75" customHeight="1">
      <c r="A145" s="124" t="s">
        <v>154</v>
      </c>
      <c r="C145" s="140">
        <v>4</v>
      </c>
      <c r="D145" s="140">
        <v>5</v>
      </c>
      <c r="E145" s="140">
        <v>6</v>
      </c>
    </row>
    <row r="146" spans="1:5" ht="9.75" customHeight="1">
      <c r="A146" s="124" t="s">
        <v>155</v>
      </c>
      <c r="C146" s="140">
        <v>5</v>
      </c>
      <c r="D146" s="140">
        <v>6</v>
      </c>
      <c r="E146" s="140">
        <v>3</v>
      </c>
    </row>
    <row r="147" spans="1:5" ht="9.75" customHeight="1">
      <c r="A147" s="124" t="s">
        <v>156</v>
      </c>
      <c r="C147" s="140">
        <v>4</v>
      </c>
      <c r="D147" s="140">
        <v>6</v>
      </c>
      <c r="E147" s="140">
        <v>3</v>
      </c>
    </row>
    <row r="148" spans="1:5" ht="9.75" customHeight="1">
      <c r="A148" s="124" t="s">
        <v>157</v>
      </c>
      <c r="C148" s="140">
        <v>4</v>
      </c>
      <c r="D148" s="140">
        <v>3</v>
      </c>
      <c r="E148" s="140">
        <v>4</v>
      </c>
    </row>
    <row r="149" spans="1:5" ht="9.75" customHeight="1">
      <c r="A149" s="124" t="s">
        <v>158</v>
      </c>
      <c r="C149" s="140">
        <v>5</v>
      </c>
      <c r="D149" s="140">
        <v>2</v>
      </c>
      <c r="E149" s="140">
        <v>2</v>
      </c>
    </row>
    <row r="150" spans="1:5" ht="9.75" customHeight="1">
      <c r="A150" s="124" t="s">
        <v>159</v>
      </c>
      <c r="C150" s="140">
        <v>2</v>
      </c>
      <c r="D150" s="140">
        <v>5</v>
      </c>
      <c r="E150" s="140">
        <v>6</v>
      </c>
    </row>
    <row r="151" spans="1:5" ht="9.75" customHeight="1">
      <c r="A151" s="124" t="s">
        <v>160</v>
      </c>
      <c r="C151" s="140">
        <v>5</v>
      </c>
      <c r="D151" s="140">
        <v>3</v>
      </c>
      <c r="E151" s="140">
        <v>8</v>
      </c>
    </row>
    <row r="152" spans="1:5" ht="9.75" customHeight="1">
      <c r="A152" s="124"/>
      <c r="C152" s="140"/>
      <c r="D152" s="140"/>
      <c r="E152" s="140"/>
    </row>
    <row r="153" spans="1:5" ht="9.75" customHeight="1">
      <c r="A153" s="126" t="s">
        <v>8</v>
      </c>
      <c r="B153" s="124"/>
      <c r="C153" s="130"/>
      <c r="D153" s="130"/>
      <c r="E153" s="478"/>
    </row>
    <row r="154" spans="1:5" ht="9.75" customHeight="1">
      <c r="A154" s="124" t="s">
        <v>149</v>
      </c>
      <c r="B154" s="124"/>
      <c r="C154" s="140">
        <v>6</v>
      </c>
      <c r="D154" s="140">
        <v>6</v>
      </c>
      <c r="E154" s="140">
        <v>6</v>
      </c>
    </row>
    <row r="155" spans="1:5" ht="9.75" customHeight="1">
      <c r="A155" s="124" t="s">
        <v>150</v>
      </c>
      <c r="B155" s="124"/>
      <c r="C155" s="140">
        <v>12</v>
      </c>
      <c r="D155" s="140">
        <v>11</v>
      </c>
      <c r="E155" s="140">
        <v>11</v>
      </c>
    </row>
    <row r="156" spans="1:5" ht="9.75" customHeight="1">
      <c r="A156" s="124" t="s">
        <v>151</v>
      </c>
      <c r="B156" s="124"/>
      <c r="C156" s="140">
        <v>12</v>
      </c>
      <c r="D156" s="140">
        <v>13</v>
      </c>
      <c r="E156" s="140">
        <v>12</v>
      </c>
    </row>
    <row r="157" spans="1:5" ht="9.75" customHeight="1">
      <c r="A157" s="124" t="s">
        <v>152</v>
      </c>
      <c r="B157" s="124"/>
      <c r="C157" s="140">
        <v>11</v>
      </c>
      <c r="D157" s="140">
        <v>9</v>
      </c>
      <c r="E157" s="140">
        <v>9</v>
      </c>
    </row>
    <row r="158" spans="1:5" ht="9.75" customHeight="1">
      <c r="A158" s="124" t="s">
        <v>153</v>
      </c>
      <c r="B158" s="124"/>
      <c r="C158" s="140">
        <v>8</v>
      </c>
      <c r="D158" s="140">
        <v>8</v>
      </c>
      <c r="E158" s="140">
        <v>10</v>
      </c>
    </row>
    <row r="159" spans="1:5" ht="9.75" customHeight="1">
      <c r="A159" s="124" t="s">
        <v>154</v>
      </c>
      <c r="C159" s="140">
        <v>8</v>
      </c>
      <c r="D159" s="140">
        <v>7</v>
      </c>
      <c r="E159" s="140">
        <v>7</v>
      </c>
    </row>
    <row r="160" spans="1:5" ht="9.75" customHeight="1">
      <c r="A160" s="124" t="s">
        <v>155</v>
      </c>
      <c r="C160" s="140">
        <v>7</v>
      </c>
      <c r="D160" s="140">
        <v>7</v>
      </c>
      <c r="E160" s="140">
        <v>7</v>
      </c>
    </row>
    <row r="161" spans="1:5" ht="9.75" customHeight="1">
      <c r="A161" s="124" t="s">
        <v>156</v>
      </c>
      <c r="C161" s="140">
        <v>9</v>
      </c>
      <c r="D161" s="140">
        <v>9</v>
      </c>
      <c r="E161" s="140">
        <v>9</v>
      </c>
    </row>
    <row r="162" spans="1:5" ht="9.75" customHeight="1">
      <c r="A162" s="124" t="s">
        <v>157</v>
      </c>
      <c r="C162" s="140">
        <v>10</v>
      </c>
      <c r="D162" s="140">
        <v>10</v>
      </c>
      <c r="E162" s="140">
        <v>10</v>
      </c>
    </row>
    <row r="163" spans="1:5" ht="9.75" customHeight="1">
      <c r="A163" s="124" t="s">
        <v>158</v>
      </c>
      <c r="C163" s="140">
        <v>6</v>
      </c>
      <c r="D163" s="140">
        <v>7</v>
      </c>
      <c r="E163" s="140">
        <v>7</v>
      </c>
    </row>
    <row r="164" spans="1:5" ht="9.75" customHeight="1">
      <c r="A164" s="124" t="s">
        <v>159</v>
      </c>
      <c r="C164" s="140">
        <v>6</v>
      </c>
      <c r="D164" s="140">
        <v>7</v>
      </c>
      <c r="E164" s="140">
        <v>6</v>
      </c>
    </row>
    <row r="165" spans="1:5" ht="9.75" customHeight="1">
      <c r="A165" s="124" t="s">
        <v>160</v>
      </c>
      <c r="C165" s="140">
        <v>5</v>
      </c>
      <c r="D165" s="140">
        <v>6</v>
      </c>
      <c r="E165" s="140">
        <v>6</v>
      </c>
    </row>
    <row r="166" spans="1:8" ht="9.75" customHeight="1">
      <c r="A166" s="141"/>
      <c r="B166" s="141"/>
      <c r="C166" s="141"/>
      <c r="D166" s="141"/>
      <c r="E166" s="141"/>
      <c r="F166" s="141"/>
      <c r="G166" s="141"/>
      <c r="H166" s="141"/>
    </row>
    <row r="167" ht="9.75" customHeight="1">
      <c r="A167" s="195" t="s">
        <v>256</v>
      </c>
    </row>
  </sheetData>
  <printOptions horizontalCentered="1"/>
  <pageMargins left="0.417" right="0.417" top="0.25" bottom="0.6" header="0" footer="0.2"/>
  <pageSetup fitToHeight="1" fitToWidth="1" horizontalDpi="600" verticalDpi="600" orientation="portrait" scale="91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W62"/>
  <sheetViews>
    <sheetView showGridLines="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7" sqref="B7"/>
    </sheetView>
  </sheetViews>
  <sheetFormatPr defaultColWidth="9.7109375" defaultRowHeight="12.75"/>
  <cols>
    <col min="1" max="1" width="9.8515625" style="26" customWidth="1"/>
    <col min="2" max="3" width="6.8515625" style="26" customWidth="1"/>
    <col min="4" max="4" width="6.28125" style="26" customWidth="1"/>
    <col min="5" max="5" width="6.421875" style="26" customWidth="1"/>
    <col min="6" max="6" width="1.8515625" style="26" customWidth="1"/>
    <col min="7" max="7" width="6.8515625" style="26" customWidth="1"/>
    <col min="8" max="8" width="7.421875" style="26" customWidth="1"/>
    <col min="9" max="9" width="6.28125" style="26" customWidth="1"/>
    <col min="10" max="10" width="6.7109375" style="26" customWidth="1"/>
    <col min="11" max="11" width="2.140625" style="26" customWidth="1"/>
    <col min="12" max="12" width="6.140625" style="26" customWidth="1"/>
    <col min="13" max="13" width="6.421875" style="26" customWidth="1"/>
    <col min="14" max="14" width="6.8515625" style="26" customWidth="1"/>
    <col min="15" max="15" width="7.140625" style="26" customWidth="1"/>
    <col min="16" max="16" width="1.8515625" style="26" customWidth="1"/>
    <col min="17" max="17" width="7.00390625" style="26" customWidth="1"/>
    <col min="18" max="18" width="2.421875" style="26" customWidth="1"/>
    <col min="19" max="19" width="7.28125" style="26" customWidth="1"/>
    <col min="20" max="20" width="6.7109375" style="26" customWidth="1"/>
    <col min="21" max="21" width="1.8515625" style="26" customWidth="1"/>
    <col min="22" max="25" width="6.8515625" style="26" customWidth="1"/>
    <col min="26" max="232" width="9.7109375" style="26" customWidth="1"/>
    <col min="233" max="233" width="20.7109375" style="26" customWidth="1"/>
    <col min="234" max="16384" width="9.7109375" style="26" customWidth="1"/>
  </cols>
  <sheetData>
    <row r="1" spans="1:23" ht="16.5" customHeight="1">
      <c r="A1" s="167" t="s">
        <v>516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18" ht="12.75" customHeight="1">
      <c r="A2" s="227"/>
      <c r="B2" s="227"/>
      <c r="C2" s="227"/>
      <c r="D2" s="227" t="s">
        <v>336</v>
      </c>
      <c r="E2" s="227"/>
      <c r="F2" s="227"/>
      <c r="G2" s="227" t="s">
        <v>338</v>
      </c>
      <c r="H2" s="227" t="s">
        <v>216</v>
      </c>
      <c r="I2" s="227"/>
      <c r="J2" s="227" t="s">
        <v>341</v>
      </c>
      <c r="K2" s="227"/>
      <c r="L2" s="372" t="s">
        <v>342</v>
      </c>
      <c r="M2" s="227" t="s">
        <v>344</v>
      </c>
      <c r="N2" s="372" t="s">
        <v>347</v>
      </c>
      <c r="O2" s="227"/>
      <c r="P2" s="227"/>
      <c r="Q2" s="227"/>
      <c r="R2" s="227"/>
    </row>
    <row r="3" spans="1:18" ht="11.25" customHeight="1">
      <c r="A3" s="373" t="s">
        <v>16</v>
      </c>
      <c r="B3" s="374" t="s">
        <v>35</v>
      </c>
      <c r="C3" s="374" t="s">
        <v>33</v>
      </c>
      <c r="D3" s="374" t="s">
        <v>335</v>
      </c>
      <c r="E3" s="374" t="s">
        <v>337</v>
      </c>
      <c r="F3" s="374"/>
      <c r="G3" s="374" t="s">
        <v>339</v>
      </c>
      <c r="H3" s="374" t="s">
        <v>339</v>
      </c>
      <c r="I3" s="374" t="s">
        <v>41</v>
      </c>
      <c r="J3" s="374" t="s">
        <v>340</v>
      </c>
      <c r="K3" s="374"/>
      <c r="L3" s="374" t="s">
        <v>343</v>
      </c>
      <c r="M3" s="374" t="s">
        <v>345</v>
      </c>
      <c r="N3" s="374" t="s">
        <v>346</v>
      </c>
      <c r="O3" s="374" t="s">
        <v>44</v>
      </c>
      <c r="P3" s="374"/>
      <c r="Q3" s="374" t="s">
        <v>43</v>
      </c>
      <c r="R3" s="375"/>
    </row>
    <row r="4" spans="1:18" ht="11.25" customHeight="1">
      <c r="A4" s="228"/>
      <c r="B4" s="229" t="s">
        <v>348</v>
      </c>
      <c r="C4" s="229" t="s">
        <v>349</v>
      </c>
      <c r="D4" s="229" t="s">
        <v>350</v>
      </c>
      <c r="E4" s="229" t="s">
        <v>349</v>
      </c>
      <c r="F4" s="229"/>
      <c r="G4" s="229" t="s">
        <v>349</v>
      </c>
      <c r="H4" s="229" t="s">
        <v>352</v>
      </c>
      <c r="I4" s="229" t="s">
        <v>351</v>
      </c>
      <c r="J4" s="229" t="s">
        <v>351</v>
      </c>
      <c r="K4" s="229"/>
      <c r="L4" s="229" t="s">
        <v>353</v>
      </c>
      <c r="M4" s="229" t="s">
        <v>353</v>
      </c>
      <c r="N4" s="229" t="s">
        <v>353</v>
      </c>
      <c r="O4" s="229" t="s">
        <v>351</v>
      </c>
      <c r="P4" s="229"/>
      <c r="Q4" s="229" t="s">
        <v>349</v>
      </c>
      <c r="R4" s="230"/>
    </row>
    <row r="5" spans="1:18" ht="12.75" customHeight="1">
      <c r="A5" s="27"/>
      <c r="B5" s="377" t="s">
        <v>358</v>
      </c>
      <c r="C5" s="29"/>
      <c r="D5" s="28"/>
      <c r="E5" s="28"/>
      <c r="F5" s="28"/>
      <c r="G5" s="29"/>
      <c r="H5" s="29"/>
      <c r="I5" s="29"/>
      <c r="J5" s="28"/>
      <c r="K5" s="28"/>
      <c r="L5" s="29"/>
      <c r="M5" s="29"/>
      <c r="N5" s="29"/>
      <c r="O5" s="28"/>
      <c r="P5" s="29"/>
      <c r="Q5" s="29"/>
      <c r="R5" s="29"/>
    </row>
    <row r="6" spans="1:15" ht="4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O6" s="27"/>
    </row>
    <row r="7" spans="1:17" ht="10.5" customHeight="1">
      <c r="A7" s="376" t="s">
        <v>359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Q7" s="27"/>
    </row>
    <row r="8" spans="1:17" ht="10.5" customHeight="1">
      <c r="A8" s="30" t="s">
        <v>354</v>
      </c>
      <c r="B8" s="27">
        <v>20.94</v>
      </c>
      <c r="C8" s="27">
        <v>16.33</v>
      </c>
      <c r="D8" s="27">
        <v>25.53</v>
      </c>
      <c r="E8" s="27">
        <v>16.35</v>
      </c>
      <c r="F8" s="27"/>
      <c r="G8" s="27">
        <v>26.46</v>
      </c>
      <c r="H8" s="27">
        <v>25.92</v>
      </c>
      <c r="I8" s="27">
        <v>23.42</v>
      </c>
      <c r="J8" s="27">
        <v>23.83</v>
      </c>
      <c r="K8" s="27"/>
      <c r="L8" s="27">
        <v>27.93</v>
      </c>
      <c r="M8" s="27">
        <v>34.95</v>
      </c>
      <c r="N8" s="27">
        <v>25.23</v>
      </c>
      <c r="O8" s="27">
        <v>31.25</v>
      </c>
      <c r="Q8" s="27">
        <v>29.16</v>
      </c>
    </row>
    <row r="9" spans="1:17" ht="10.5" customHeight="1">
      <c r="A9" s="30" t="s">
        <v>355</v>
      </c>
      <c r="B9" s="27">
        <v>20.38</v>
      </c>
      <c r="C9" s="27">
        <v>15.9</v>
      </c>
      <c r="D9" s="27">
        <v>22.61</v>
      </c>
      <c r="E9" s="27">
        <v>15.73</v>
      </c>
      <c r="F9" s="27"/>
      <c r="G9" s="27">
        <v>25.45</v>
      </c>
      <c r="H9" s="27">
        <v>24.75</v>
      </c>
      <c r="I9" s="27">
        <v>23.4</v>
      </c>
      <c r="J9" s="27">
        <v>24.19</v>
      </c>
      <c r="K9" s="27"/>
      <c r="L9" s="27">
        <v>27.28</v>
      </c>
      <c r="M9" s="27">
        <v>34.54</v>
      </c>
      <c r="N9" s="27">
        <v>26.59</v>
      </c>
      <c r="O9" s="27">
        <v>29.29</v>
      </c>
      <c r="Q9" s="27">
        <v>26.78</v>
      </c>
    </row>
    <row r="10" spans="1:17" ht="10.5" customHeight="1">
      <c r="A10" s="30" t="s">
        <v>356</v>
      </c>
      <c r="B10" s="27">
        <v>20.36</v>
      </c>
      <c r="C10" s="27">
        <v>16</v>
      </c>
      <c r="D10" s="27">
        <v>22.08</v>
      </c>
      <c r="E10" s="27">
        <v>17.03</v>
      </c>
      <c r="F10" s="27"/>
      <c r="G10" s="27">
        <v>24.8</v>
      </c>
      <c r="H10" s="27">
        <v>24.65</v>
      </c>
      <c r="I10" s="27">
        <v>23.11</v>
      </c>
      <c r="J10" s="27">
        <v>23.81</v>
      </c>
      <c r="K10" s="27"/>
      <c r="L10" s="27">
        <v>25.37</v>
      </c>
      <c r="M10" s="27">
        <v>34.25</v>
      </c>
      <c r="N10" s="27">
        <v>26.26</v>
      </c>
      <c r="O10" s="27">
        <v>27.96</v>
      </c>
      <c r="Q10" s="27">
        <v>25.82</v>
      </c>
    </row>
    <row r="11" spans="1:17" ht="10.5" customHeight="1">
      <c r="A11" s="30" t="s">
        <v>357</v>
      </c>
      <c r="B11" s="27">
        <v>22.4</v>
      </c>
      <c r="C11" s="27">
        <v>17.5</v>
      </c>
      <c r="D11" s="27">
        <v>22.6</v>
      </c>
      <c r="E11" s="27">
        <v>24.22</v>
      </c>
      <c r="F11" s="27"/>
      <c r="G11" s="27">
        <v>24.57</v>
      </c>
      <c r="H11" s="27">
        <v>25.46</v>
      </c>
      <c r="I11" s="27">
        <v>24.92</v>
      </c>
      <c r="J11" s="27">
        <v>25.47</v>
      </c>
      <c r="K11" s="27"/>
      <c r="L11" s="27">
        <v>24.47</v>
      </c>
      <c r="M11" s="27">
        <v>34.5</v>
      </c>
      <c r="N11" s="27">
        <v>25.7</v>
      </c>
      <c r="O11" s="27">
        <v>24.45</v>
      </c>
      <c r="Q11" s="27">
        <v>25.89</v>
      </c>
    </row>
    <row r="12" spans="1:17" ht="4.5" customHeight="1">
      <c r="A12" s="3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Q12" s="27"/>
    </row>
    <row r="13" spans="1:17" ht="10.5" customHeight="1">
      <c r="A13" s="376" t="s">
        <v>360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Q13" s="27"/>
    </row>
    <row r="14" spans="1:17" ht="10.5" customHeight="1">
      <c r="A14" s="30" t="s">
        <v>354</v>
      </c>
      <c r="B14" s="27">
        <v>25.35</v>
      </c>
      <c r="C14" s="27">
        <v>26.65</v>
      </c>
      <c r="D14" s="27">
        <v>23.65</v>
      </c>
      <c r="E14" s="27">
        <v>35.91</v>
      </c>
      <c r="F14" s="27"/>
      <c r="G14" s="27">
        <v>30.89</v>
      </c>
      <c r="H14" s="27">
        <v>34.47</v>
      </c>
      <c r="I14" s="27">
        <v>28.9</v>
      </c>
      <c r="J14" s="27">
        <v>29.02</v>
      </c>
      <c r="K14" s="27"/>
      <c r="L14" s="27">
        <v>27.62</v>
      </c>
      <c r="M14" s="27">
        <v>39.28</v>
      </c>
      <c r="N14" s="27">
        <v>27.71</v>
      </c>
      <c r="O14" s="27">
        <v>22.96</v>
      </c>
      <c r="Q14" s="27">
        <v>34.64</v>
      </c>
    </row>
    <row r="15" spans="1:17" ht="10.5" customHeight="1">
      <c r="A15" s="30" t="s">
        <v>355</v>
      </c>
      <c r="B15" s="27">
        <v>31.33</v>
      </c>
      <c r="C15" s="27">
        <v>28.72</v>
      </c>
      <c r="D15" s="27">
        <v>22.93</v>
      </c>
      <c r="E15" s="27">
        <v>39.47</v>
      </c>
      <c r="F15" s="27"/>
      <c r="G15" s="27">
        <v>35.93</v>
      </c>
      <c r="H15" s="27">
        <v>41.63</v>
      </c>
      <c r="I15" s="27">
        <v>33.44</v>
      </c>
      <c r="J15" s="27">
        <v>34.24</v>
      </c>
      <c r="K15" s="27"/>
      <c r="L15" s="27">
        <v>31.95</v>
      </c>
      <c r="M15" s="27">
        <v>42.27</v>
      </c>
      <c r="N15" s="27">
        <v>29.93</v>
      </c>
      <c r="O15" s="27">
        <v>22.09</v>
      </c>
      <c r="Q15" s="27">
        <v>36.5</v>
      </c>
    </row>
    <row r="16" spans="1:17" ht="10.5" customHeight="1">
      <c r="A16" s="30" t="s">
        <v>356</v>
      </c>
      <c r="B16" s="27">
        <v>35.23</v>
      </c>
      <c r="C16" s="27">
        <v>25.82</v>
      </c>
      <c r="D16" s="27">
        <v>22.75</v>
      </c>
      <c r="E16" s="27">
        <v>40.21</v>
      </c>
      <c r="F16" s="27"/>
      <c r="G16" s="27">
        <v>35.68</v>
      </c>
      <c r="H16" s="27">
        <v>39.24</v>
      </c>
      <c r="I16" s="27">
        <v>34.89</v>
      </c>
      <c r="J16" s="27">
        <v>35.76</v>
      </c>
      <c r="K16" s="27"/>
      <c r="L16" s="27">
        <v>37.15</v>
      </c>
      <c r="M16" s="27">
        <v>42.5</v>
      </c>
      <c r="N16" s="27">
        <v>30.9</v>
      </c>
      <c r="O16" s="27">
        <v>21.4</v>
      </c>
      <c r="Q16" s="27">
        <v>35.5</v>
      </c>
    </row>
    <row r="17" spans="1:17" ht="10.5" customHeight="1">
      <c r="A17" s="30" t="s">
        <v>357</v>
      </c>
      <c r="B17" s="27">
        <v>33.65</v>
      </c>
      <c r="C17" s="27">
        <v>21.41</v>
      </c>
      <c r="D17" s="27">
        <v>24.73</v>
      </c>
      <c r="E17" s="27">
        <v>34.17</v>
      </c>
      <c r="F17" s="27"/>
      <c r="G17" s="27">
        <v>33.66</v>
      </c>
      <c r="H17" s="27">
        <v>35.88</v>
      </c>
      <c r="I17" s="27">
        <v>34.08</v>
      </c>
      <c r="J17" s="27">
        <v>34.42</v>
      </c>
      <c r="K17" s="27"/>
      <c r="L17" s="27">
        <v>38.21</v>
      </c>
      <c r="M17" s="27">
        <v>42.57</v>
      </c>
      <c r="N17" s="27">
        <v>31.18</v>
      </c>
      <c r="O17" s="27">
        <v>21.07</v>
      </c>
      <c r="Q17" s="27">
        <v>34.5</v>
      </c>
    </row>
    <row r="18" spans="1:17" ht="4.5" customHeight="1">
      <c r="A18" s="30"/>
      <c r="B18" s="32"/>
      <c r="C18" s="27"/>
      <c r="D18" s="32"/>
      <c r="E18" s="32"/>
      <c r="F18" s="32"/>
      <c r="G18" s="32"/>
      <c r="H18" s="27"/>
      <c r="I18" s="27"/>
      <c r="J18" s="32"/>
      <c r="K18" s="32"/>
      <c r="L18" s="32"/>
      <c r="M18" s="32"/>
      <c r="N18" s="32"/>
      <c r="O18" s="32"/>
      <c r="Q18" s="32"/>
    </row>
    <row r="19" spans="1:17" ht="10.5" customHeight="1">
      <c r="A19" s="376" t="s">
        <v>361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27"/>
      <c r="M19" s="27"/>
      <c r="N19" s="27"/>
      <c r="O19" s="121"/>
      <c r="Q19" s="121"/>
    </row>
    <row r="20" spans="1:17" ht="10.5" customHeight="1">
      <c r="A20" s="30" t="s">
        <v>354</v>
      </c>
      <c r="B20" s="27">
        <v>25.67</v>
      </c>
      <c r="C20" s="27">
        <v>17.68</v>
      </c>
      <c r="D20" s="27">
        <v>27.11</v>
      </c>
      <c r="E20" s="27">
        <v>18.35</v>
      </c>
      <c r="F20" s="27"/>
      <c r="G20" s="27">
        <v>28.11</v>
      </c>
      <c r="H20" s="27">
        <v>23.56</v>
      </c>
      <c r="I20" s="27">
        <v>27.83</v>
      </c>
      <c r="J20" s="27">
        <v>27.94</v>
      </c>
      <c r="K20" s="27"/>
      <c r="L20" s="27">
        <v>34.8</v>
      </c>
      <c r="M20" s="27">
        <v>42.56</v>
      </c>
      <c r="N20" s="27">
        <v>32.51</v>
      </c>
      <c r="O20" s="27">
        <v>24.08</v>
      </c>
      <c r="Q20" s="27">
        <v>25.9</v>
      </c>
    </row>
    <row r="21" spans="1:17" ht="10.5" customHeight="1">
      <c r="A21" s="30" t="s">
        <v>355</v>
      </c>
      <c r="B21" s="27">
        <v>23.13</v>
      </c>
      <c r="C21" s="27">
        <v>16.54</v>
      </c>
      <c r="D21" s="27">
        <v>25.42</v>
      </c>
      <c r="E21" s="27">
        <v>18.17</v>
      </c>
      <c r="F21" s="27"/>
      <c r="G21" s="27">
        <v>28.42</v>
      </c>
      <c r="H21" s="27">
        <v>22.64</v>
      </c>
      <c r="I21" s="27">
        <v>28.5</v>
      </c>
      <c r="J21" s="27">
        <v>29</v>
      </c>
      <c r="K21" s="27"/>
      <c r="L21" s="27">
        <v>31.5</v>
      </c>
      <c r="M21" s="27">
        <v>42.53</v>
      </c>
      <c r="N21" s="27">
        <v>34.15</v>
      </c>
      <c r="O21" s="27">
        <v>24.42</v>
      </c>
      <c r="Q21" s="27">
        <v>24.77</v>
      </c>
    </row>
    <row r="22" spans="1:17" ht="10.5" customHeight="1">
      <c r="A22" s="30" t="s">
        <v>356</v>
      </c>
      <c r="B22" s="27">
        <v>21.48</v>
      </c>
      <c r="C22" s="27">
        <v>17.69</v>
      </c>
      <c r="D22" s="27">
        <v>26.2</v>
      </c>
      <c r="E22" s="27">
        <v>17.87</v>
      </c>
      <c r="F22" s="27"/>
      <c r="G22" s="27">
        <v>30.63</v>
      </c>
      <c r="H22" s="27">
        <v>25.68</v>
      </c>
      <c r="I22" s="27">
        <v>28.5</v>
      </c>
      <c r="J22" s="27">
        <v>29.17</v>
      </c>
      <c r="K22" s="27"/>
      <c r="L22" s="27">
        <v>31.54</v>
      </c>
      <c r="M22" s="27">
        <v>42.44</v>
      </c>
      <c r="N22" s="27">
        <v>35.67</v>
      </c>
      <c r="O22" s="27">
        <v>24.71</v>
      </c>
      <c r="Q22" s="27">
        <v>24.13</v>
      </c>
    </row>
    <row r="23" spans="1:17" ht="10.5" customHeight="1">
      <c r="A23" s="30" t="s">
        <v>357</v>
      </c>
      <c r="B23" s="27">
        <v>21.2</v>
      </c>
      <c r="C23" s="27">
        <v>20.1</v>
      </c>
      <c r="D23" s="27">
        <v>27.5</v>
      </c>
      <c r="E23" s="27">
        <v>22.56</v>
      </c>
      <c r="F23" s="27"/>
      <c r="G23" s="27">
        <v>31.5</v>
      </c>
      <c r="H23" s="27">
        <v>29.92</v>
      </c>
      <c r="I23" s="27">
        <v>28.5</v>
      </c>
      <c r="J23" s="27">
        <v>29.13</v>
      </c>
      <c r="K23" s="27"/>
      <c r="L23" s="27">
        <v>31.28</v>
      </c>
      <c r="M23" s="27">
        <v>41.79</v>
      </c>
      <c r="N23" s="27">
        <v>36.13</v>
      </c>
      <c r="O23" s="27">
        <v>25.78</v>
      </c>
      <c r="Q23" s="27">
        <v>23.52</v>
      </c>
    </row>
    <row r="24" spans="1:17" ht="6.75" customHeight="1">
      <c r="A24" s="3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7"/>
    </row>
    <row r="25" spans="1:17" ht="10.5" customHeight="1">
      <c r="A25" s="376" t="s">
        <v>362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7"/>
    </row>
    <row r="26" spans="1:17" ht="10.5" customHeight="1">
      <c r="A26" s="30" t="s">
        <v>354</v>
      </c>
      <c r="B26" s="27">
        <v>20.92</v>
      </c>
      <c r="C26" s="27">
        <v>22.39</v>
      </c>
      <c r="D26" s="27">
        <v>22.84</v>
      </c>
      <c r="E26" s="27">
        <v>22.88</v>
      </c>
      <c r="F26" s="27"/>
      <c r="G26" s="27">
        <v>28.87</v>
      </c>
      <c r="H26" s="27">
        <v>26.77</v>
      </c>
      <c r="I26" s="27">
        <v>28.13</v>
      </c>
      <c r="J26" s="27">
        <v>28.53</v>
      </c>
      <c r="K26" s="27"/>
      <c r="L26" s="27">
        <v>31.37</v>
      </c>
      <c r="M26" s="27">
        <v>42.52</v>
      </c>
      <c r="N26" s="27">
        <v>32.17</v>
      </c>
      <c r="O26" s="27">
        <v>27.39</v>
      </c>
      <c r="Q26" s="27">
        <v>28.5</v>
      </c>
    </row>
    <row r="27" spans="1:17" ht="10.5" customHeight="1">
      <c r="A27" s="30" t="s">
        <v>355</v>
      </c>
      <c r="B27" s="27">
        <v>20.65</v>
      </c>
      <c r="C27" s="27">
        <v>22.5</v>
      </c>
      <c r="D27" s="27">
        <v>21.79</v>
      </c>
      <c r="E27" s="27">
        <v>23.5</v>
      </c>
      <c r="F27" s="27"/>
      <c r="G27" s="27">
        <v>29.5</v>
      </c>
      <c r="H27" s="27">
        <v>27.92</v>
      </c>
      <c r="I27" s="27">
        <v>28</v>
      </c>
      <c r="J27" s="27">
        <v>28.5</v>
      </c>
      <c r="K27" s="27"/>
      <c r="L27" s="27">
        <v>31.21</v>
      </c>
      <c r="M27" s="27">
        <v>42.38</v>
      </c>
      <c r="N27" s="27">
        <v>29.9</v>
      </c>
      <c r="O27" s="27">
        <v>28.63</v>
      </c>
      <c r="Q27" s="27">
        <v>28.5</v>
      </c>
    </row>
    <row r="28" spans="1:17" ht="10.5" customHeight="1">
      <c r="A28" s="30" t="s">
        <v>356</v>
      </c>
      <c r="B28" s="27">
        <v>23.18</v>
      </c>
      <c r="C28" s="27">
        <v>24.38</v>
      </c>
      <c r="D28" s="27">
        <v>21.6</v>
      </c>
      <c r="E28" s="27">
        <v>26.21</v>
      </c>
      <c r="F28" s="27"/>
      <c r="G28" s="27">
        <v>29.88</v>
      </c>
      <c r="H28" s="27">
        <v>30.1</v>
      </c>
      <c r="I28" s="27">
        <v>28.47</v>
      </c>
      <c r="J28" s="27">
        <v>28.5</v>
      </c>
      <c r="K28" s="27"/>
      <c r="L28" s="27">
        <v>31.09</v>
      </c>
      <c r="M28" s="27">
        <v>42.16</v>
      </c>
      <c r="N28" s="27">
        <v>29.4</v>
      </c>
      <c r="O28" s="27">
        <v>30.71</v>
      </c>
      <c r="Q28" s="27">
        <v>28.55</v>
      </c>
    </row>
    <row r="29" spans="1:17" ht="10.5" customHeight="1">
      <c r="A29" s="30" t="s">
        <v>357</v>
      </c>
      <c r="B29" s="27">
        <v>24.03</v>
      </c>
      <c r="C29" s="27">
        <v>24.83</v>
      </c>
      <c r="D29" s="27">
        <v>22.63</v>
      </c>
      <c r="E29" s="27">
        <v>25.98</v>
      </c>
      <c r="F29" s="27"/>
      <c r="G29" s="27">
        <v>30.59</v>
      </c>
      <c r="H29" s="27">
        <v>31.47</v>
      </c>
      <c r="I29" s="27">
        <v>28.55</v>
      </c>
      <c r="J29" s="27">
        <v>28.57</v>
      </c>
      <c r="K29" s="27"/>
      <c r="L29" s="27">
        <v>35.68</v>
      </c>
      <c r="M29" s="27">
        <v>42.52</v>
      </c>
      <c r="N29" s="27">
        <v>29</v>
      </c>
      <c r="O29" s="27">
        <v>31.92</v>
      </c>
      <c r="Q29" s="27">
        <v>28.47</v>
      </c>
    </row>
    <row r="30" spans="1:17" ht="6.75" customHeight="1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/>
    </row>
    <row r="31" spans="1:17" ht="10.5" customHeight="1">
      <c r="A31" s="376" t="s">
        <v>363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/>
    </row>
    <row r="32" spans="1:17" ht="10.5" customHeight="1">
      <c r="A32" s="30" t="s">
        <v>354</v>
      </c>
      <c r="B32" s="27">
        <v>35.2</v>
      </c>
      <c r="C32" s="27">
        <v>31.58</v>
      </c>
      <c r="D32" s="27">
        <v>25.17</v>
      </c>
      <c r="E32" s="27">
        <v>27.69</v>
      </c>
      <c r="F32" s="27"/>
      <c r="G32" s="27">
        <v>36.95</v>
      </c>
      <c r="H32" s="27">
        <v>36.35</v>
      </c>
      <c r="I32" s="27">
        <v>31.64</v>
      </c>
      <c r="J32" s="27">
        <v>31.71</v>
      </c>
      <c r="K32" s="27"/>
      <c r="L32" s="27">
        <v>41.73</v>
      </c>
      <c r="M32" s="27">
        <v>43.1</v>
      </c>
      <c r="N32" s="27">
        <v>29.42</v>
      </c>
      <c r="O32" s="27">
        <v>38.05</v>
      </c>
      <c r="Q32" s="27">
        <v>34.02</v>
      </c>
    </row>
    <row r="33" spans="1:17" ht="10.5" customHeight="1">
      <c r="A33" s="30" t="s">
        <v>355</v>
      </c>
      <c r="B33" s="27">
        <v>37.88</v>
      </c>
      <c r="C33" s="27">
        <v>31.33</v>
      </c>
      <c r="D33" s="27">
        <v>25.5</v>
      </c>
      <c r="E33" s="27">
        <v>26.96</v>
      </c>
      <c r="F33" s="27"/>
      <c r="G33" s="27">
        <v>37.08</v>
      </c>
      <c r="H33" s="27">
        <v>34.87</v>
      </c>
      <c r="I33" s="27">
        <v>32.5</v>
      </c>
      <c r="J33" s="27">
        <v>32.5</v>
      </c>
      <c r="K33" s="27"/>
      <c r="L33" s="27">
        <v>41.12</v>
      </c>
      <c r="M33" s="27">
        <v>43.56</v>
      </c>
      <c r="N33" s="27">
        <v>30.64</v>
      </c>
      <c r="O33" s="27">
        <v>39.14</v>
      </c>
      <c r="Q33" s="27">
        <v>34.17</v>
      </c>
    </row>
    <row r="34" spans="1:17" ht="10.5" customHeight="1">
      <c r="A34" s="30" t="s">
        <v>356</v>
      </c>
      <c r="B34" s="27">
        <v>35.03</v>
      </c>
      <c r="C34" s="27">
        <v>29.71</v>
      </c>
      <c r="D34" s="27">
        <v>24.73</v>
      </c>
      <c r="E34" s="27">
        <v>26.63</v>
      </c>
      <c r="F34" s="27"/>
      <c r="G34" s="27">
        <v>36.42</v>
      </c>
      <c r="H34" s="27">
        <v>34.27</v>
      </c>
      <c r="I34" s="27">
        <v>32.43</v>
      </c>
      <c r="J34" s="27">
        <v>32.46</v>
      </c>
      <c r="K34" s="27"/>
      <c r="L34" s="27">
        <v>41.73</v>
      </c>
      <c r="M34" s="27">
        <v>43.6</v>
      </c>
      <c r="N34" s="27">
        <v>31.92</v>
      </c>
      <c r="O34" s="121" t="s">
        <v>72</v>
      </c>
      <c r="Q34" s="27">
        <v>34.16</v>
      </c>
    </row>
    <row r="35" spans="1:17" ht="10.5" customHeight="1">
      <c r="A35" s="30" t="s">
        <v>357</v>
      </c>
      <c r="B35" s="27">
        <v>33.7</v>
      </c>
      <c r="C35" s="27">
        <v>25.93</v>
      </c>
      <c r="D35" s="27">
        <v>23.73</v>
      </c>
      <c r="E35" s="27">
        <v>24.78</v>
      </c>
      <c r="F35" s="27"/>
      <c r="G35" s="27">
        <v>34.5</v>
      </c>
      <c r="H35" s="27">
        <v>32.2</v>
      </c>
      <c r="I35" s="27">
        <v>31.71</v>
      </c>
      <c r="J35" s="27">
        <v>31.41</v>
      </c>
      <c r="K35" s="27"/>
      <c r="L35" s="27">
        <v>42.03</v>
      </c>
      <c r="M35" s="27">
        <v>43.79</v>
      </c>
      <c r="N35" s="27">
        <v>33.15</v>
      </c>
      <c r="O35" s="27">
        <v>39.5</v>
      </c>
      <c r="Q35" s="121" t="s">
        <v>72</v>
      </c>
    </row>
    <row r="36" spans="1:17" ht="6" customHeight="1">
      <c r="A36" s="3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/>
    </row>
    <row r="37" spans="1:17" ht="10.5" customHeight="1">
      <c r="A37" s="376" t="s">
        <v>364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/>
    </row>
    <row r="38" spans="1:17" ht="10.5" customHeight="1">
      <c r="A38" s="30" t="s">
        <v>354</v>
      </c>
      <c r="B38" s="27">
        <v>23.83</v>
      </c>
      <c r="C38" s="27">
        <v>24.17</v>
      </c>
      <c r="D38" s="27">
        <v>23.77</v>
      </c>
      <c r="E38" s="27">
        <v>25.43</v>
      </c>
      <c r="F38" s="27"/>
      <c r="G38" s="27">
        <v>28.38</v>
      </c>
      <c r="H38" s="27">
        <v>26.86</v>
      </c>
      <c r="I38" s="27">
        <v>27.58</v>
      </c>
      <c r="J38" s="27">
        <v>27.54</v>
      </c>
      <c r="K38" s="27"/>
      <c r="L38" s="27">
        <v>36.98</v>
      </c>
      <c r="M38" s="27">
        <v>45.24</v>
      </c>
      <c r="N38" s="27">
        <v>35.45</v>
      </c>
      <c r="O38" s="27">
        <v>38.46</v>
      </c>
      <c r="Q38" s="27">
        <v>29.4</v>
      </c>
    </row>
    <row r="39" spans="1:17" ht="10.5" customHeight="1">
      <c r="A39" s="30" t="s">
        <v>355</v>
      </c>
      <c r="B39" s="27">
        <v>23.36</v>
      </c>
      <c r="C39" s="27">
        <v>24.13</v>
      </c>
      <c r="D39" s="27">
        <v>24.52</v>
      </c>
      <c r="E39" s="27">
        <v>29</v>
      </c>
      <c r="F39" s="27"/>
      <c r="G39" s="27">
        <v>28.29</v>
      </c>
      <c r="H39" s="27">
        <v>25.83</v>
      </c>
      <c r="I39" s="27">
        <v>27.5</v>
      </c>
      <c r="J39" s="27">
        <v>27.5</v>
      </c>
      <c r="K39" s="27"/>
      <c r="L39" s="27">
        <v>37.17</v>
      </c>
      <c r="M39" s="27">
        <v>46.63</v>
      </c>
      <c r="N39" s="27">
        <v>42.21</v>
      </c>
      <c r="O39" s="121" t="s">
        <v>72</v>
      </c>
      <c r="Q39" s="121" t="s">
        <v>72</v>
      </c>
    </row>
    <row r="40" spans="1:17" ht="10.5" customHeight="1">
      <c r="A40" s="30" t="s">
        <v>356</v>
      </c>
      <c r="B40" s="27">
        <v>23.25</v>
      </c>
      <c r="C40" s="27">
        <v>24.5</v>
      </c>
      <c r="D40" s="27">
        <v>24.5</v>
      </c>
      <c r="E40" s="27">
        <v>30.76</v>
      </c>
      <c r="F40" s="27"/>
      <c r="G40" s="27">
        <v>27.79</v>
      </c>
      <c r="H40" s="27">
        <v>25.92</v>
      </c>
      <c r="I40" s="27">
        <v>27.4</v>
      </c>
      <c r="J40" s="27">
        <v>27.37</v>
      </c>
      <c r="K40" s="27"/>
      <c r="L40" s="27">
        <v>37.88</v>
      </c>
      <c r="M40" s="27">
        <v>47.97</v>
      </c>
      <c r="N40" s="27">
        <v>48.75</v>
      </c>
      <c r="O40" s="121" t="s">
        <v>72</v>
      </c>
      <c r="Q40" s="27">
        <v>36</v>
      </c>
    </row>
    <row r="41" spans="1:17" ht="10.5" customHeight="1">
      <c r="A41" s="30" t="s">
        <v>357</v>
      </c>
      <c r="B41" s="27">
        <v>23.44</v>
      </c>
      <c r="C41" s="27">
        <v>24.97</v>
      </c>
      <c r="D41" s="27">
        <v>24.5</v>
      </c>
      <c r="E41" s="27">
        <v>32.96</v>
      </c>
      <c r="F41" s="27"/>
      <c r="G41" s="27">
        <v>26.5</v>
      </c>
      <c r="H41" s="27">
        <v>25.84</v>
      </c>
      <c r="I41" s="27">
        <v>27.5</v>
      </c>
      <c r="J41" s="27">
        <v>26.92</v>
      </c>
      <c r="K41" s="27"/>
      <c r="L41" s="27">
        <v>41.08</v>
      </c>
      <c r="M41" s="27">
        <v>50.62</v>
      </c>
      <c r="N41" s="27">
        <v>50.63</v>
      </c>
      <c r="O41" s="27">
        <v>32.9</v>
      </c>
      <c r="Q41" s="27">
        <v>32.67</v>
      </c>
    </row>
    <row r="42" spans="1:17" ht="7.5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27"/>
    </row>
    <row r="43" spans="1:17" ht="10.5" customHeight="1">
      <c r="A43" s="376" t="s">
        <v>365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27"/>
    </row>
    <row r="44" spans="1:17" ht="10.5" customHeight="1">
      <c r="A44" s="30" t="s">
        <v>354</v>
      </c>
      <c r="B44" s="27">
        <v>25.81</v>
      </c>
      <c r="C44" s="27">
        <v>24.3</v>
      </c>
      <c r="D44" s="27">
        <v>25.96</v>
      </c>
      <c r="E44" s="27">
        <v>27.16</v>
      </c>
      <c r="F44" s="27"/>
      <c r="G44" s="27">
        <v>30.41</v>
      </c>
      <c r="H44" s="27">
        <v>29.6</v>
      </c>
      <c r="I44" s="27">
        <v>27.86</v>
      </c>
      <c r="J44" s="27">
        <v>28.66</v>
      </c>
      <c r="K44" s="27"/>
      <c r="L44" s="27">
        <v>45.6</v>
      </c>
      <c r="M44" s="27">
        <v>58.38</v>
      </c>
      <c r="N44" s="27">
        <v>49.63</v>
      </c>
      <c r="O44" s="27">
        <v>37.87</v>
      </c>
      <c r="Q44" s="27">
        <v>36.36</v>
      </c>
    </row>
    <row r="45" spans="1:17" ht="10.5" customHeight="1">
      <c r="A45" s="30" t="s">
        <v>355</v>
      </c>
      <c r="B45" s="27">
        <v>28.81</v>
      </c>
      <c r="C45" s="27">
        <v>26.37</v>
      </c>
      <c r="D45" s="27">
        <v>29.44</v>
      </c>
      <c r="E45" s="27">
        <v>29.81</v>
      </c>
      <c r="F45" s="27"/>
      <c r="G45" s="27">
        <v>33.84</v>
      </c>
      <c r="H45" s="27">
        <v>32.07</v>
      </c>
      <c r="I45" s="27">
        <v>28.58</v>
      </c>
      <c r="J45" s="27">
        <v>30.38</v>
      </c>
      <c r="K45" s="27"/>
      <c r="L45" s="27">
        <v>47.56</v>
      </c>
      <c r="M45" s="27">
        <v>65.38</v>
      </c>
      <c r="N45" s="27">
        <v>49.83</v>
      </c>
      <c r="O45" s="27">
        <v>37.59</v>
      </c>
      <c r="Q45" s="121" t="s">
        <v>72</v>
      </c>
    </row>
    <row r="46" spans="1:17" ht="10.5" customHeight="1">
      <c r="A46" s="30" t="s">
        <v>356</v>
      </c>
      <c r="B46" s="27">
        <v>31.31</v>
      </c>
      <c r="C46" s="27">
        <v>32.08</v>
      </c>
      <c r="D46" s="27">
        <v>33.32</v>
      </c>
      <c r="E46" s="27">
        <v>33.11</v>
      </c>
      <c r="F46" s="27"/>
      <c r="G46" s="27">
        <v>36.8</v>
      </c>
      <c r="H46" s="27">
        <v>35.42</v>
      </c>
      <c r="I46" s="27">
        <v>31.77</v>
      </c>
      <c r="J46" s="27">
        <v>32</v>
      </c>
      <c r="K46" s="27"/>
      <c r="L46" s="27">
        <v>49</v>
      </c>
      <c r="M46" s="27">
        <v>69.5</v>
      </c>
      <c r="N46" s="27">
        <v>42</v>
      </c>
      <c r="O46" s="27">
        <v>37.32</v>
      </c>
      <c r="Q46" s="121" t="s">
        <v>72</v>
      </c>
    </row>
    <row r="47" spans="1:17" ht="10.5" customHeight="1">
      <c r="A47" s="30" t="s">
        <v>357</v>
      </c>
      <c r="B47" s="27">
        <v>32.4</v>
      </c>
      <c r="C47" s="27">
        <v>33.58</v>
      </c>
      <c r="D47" s="27">
        <v>37.47</v>
      </c>
      <c r="E47" s="27">
        <v>33.67</v>
      </c>
      <c r="F47" s="27"/>
      <c r="G47" s="27">
        <v>40.27</v>
      </c>
      <c r="H47" s="27">
        <v>37.67</v>
      </c>
      <c r="I47" s="27">
        <v>32.75</v>
      </c>
      <c r="J47" s="27">
        <v>32.75</v>
      </c>
      <c r="K47" s="27"/>
      <c r="L47" s="27">
        <v>48.38</v>
      </c>
      <c r="M47" s="27">
        <v>72.5</v>
      </c>
      <c r="N47" s="27">
        <v>38.67</v>
      </c>
      <c r="O47" s="27">
        <v>36.33</v>
      </c>
      <c r="Q47" s="121" t="s">
        <v>72</v>
      </c>
    </row>
    <row r="48" spans="1:17" ht="6" customHeight="1">
      <c r="A48" s="30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7"/>
    </row>
    <row r="49" spans="1:17" ht="10.5" customHeight="1">
      <c r="A49" s="376" t="s">
        <v>366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Q49" s="27"/>
    </row>
    <row r="50" spans="1:17" ht="10.5" customHeight="1">
      <c r="A50" s="30" t="s">
        <v>519</v>
      </c>
      <c r="B50" s="27">
        <v>35.22</v>
      </c>
      <c r="C50" s="27">
        <v>35.96</v>
      </c>
      <c r="D50" s="27">
        <v>41.96</v>
      </c>
      <c r="E50" s="27">
        <v>36.27</v>
      </c>
      <c r="F50" s="27"/>
      <c r="G50" s="27">
        <v>51.63</v>
      </c>
      <c r="H50" s="27">
        <v>46.94</v>
      </c>
      <c r="I50" s="27">
        <v>35.79</v>
      </c>
      <c r="J50" s="27">
        <v>38.4</v>
      </c>
      <c r="K50" s="27"/>
      <c r="L50" s="27">
        <v>41.63</v>
      </c>
      <c r="M50" s="27">
        <v>62.5</v>
      </c>
      <c r="N50" s="27">
        <v>40.33</v>
      </c>
      <c r="O50" s="27">
        <v>40.01</v>
      </c>
      <c r="Q50" s="27">
        <v>55.94</v>
      </c>
    </row>
    <row r="51" spans="1:17" ht="10.5" customHeight="1">
      <c r="A51" s="30" t="s">
        <v>520</v>
      </c>
      <c r="B51" s="27">
        <v>35.63</v>
      </c>
      <c r="C51" s="27">
        <v>38.43</v>
      </c>
      <c r="D51" s="27">
        <v>43.58</v>
      </c>
      <c r="E51" s="27">
        <v>38.27</v>
      </c>
      <c r="F51" s="27"/>
      <c r="G51" s="27">
        <v>55.78</v>
      </c>
      <c r="H51" s="27">
        <v>51</v>
      </c>
      <c r="I51" s="27">
        <v>37.28</v>
      </c>
      <c r="J51" s="27">
        <v>46.39</v>
      </c>
      <c r="K51" s="27"/>
      <c r="L51" s="27">
        <v>42.29</v>
      </c>
      <c r="M51" s="27">
        <v>62.88</v>
      </c>
      <c r="N51" s="27">
        <v>40.49</v>
      </c>
      <c r="O51" s="27">
        <v>39.74</v>
      </c>
      <c r="Q51" s="121" t="s">
        <v>72</v>
      </c>
    </row>
    <row r="52" spans="1:17" ht="10.5" customHeight="1">
      <c r="A52" s="30" t="s">
        <v>397</v>
      </c>
      <c r="B52" s="27">
        <v>39.88</v>
      </c>
      <c r="C52" s="27">
        <v>50.36</v>
      </c>
      <c r="D52" s="27">
        <v>50.4</v>
      </c>
      <c r="E52" s="27">
        <v>47.28</v>
      </c>
      <c r="F52" s="27"/>
      <c r="G52" s="121" t="s">
        <v>72</v>
      </c>
      <c r="H52" s="121" t="s">
        <v>72</v>
      </c>
      <c r="I52" s="27">
        <v>39.75</v>
      </c>
      <c r="J52" s="27">
        <v>50.94</v>
      </c>
      <c r="K52" s="27"/>
      <c r="L52" s="27">
        <v>44</v>
      </c>
      <c r="M52" s="27">
        <v>64.63</v>
      </c>
      <c r="N52" s="27">
        <v>41.46</v>
      </c>
      <c r="O52" s="27">
        <v>44.39</v>
      </c>
      <c r="Q52" s="121" t="s">
        <v>72</v>
      </c>
    </row>
    <row r="53" spans="1:17" ht="10.5" customHeight="1">
      <c r="A53" s="30" t="s">
        <v>507</v>
      </c>
      <c r="B53" s="27">
        <v>43.7</v>
      </c>
      <c r="C53" s="27">
        <v>53.13</v>
      </c>
      <c r="D53" s="27">
        <v>54.5</v>
      </c>
      <c r="E53" s="27">
        <v>51.93</v>
      </c>
      <c r="F53" s="27"/>
      <c r="G53" s="121" t="s">
        <v>72</v>
      </c>
      <c r="H53" s="121" t="s">
        <v>72</v>
      </c>
      <c r="I53" s="121" t="s">
        <v>72</v>
      </c>
      <c r="J53" s="121" t="s">
        <v>72</v>
      </c>
      <c r="K53" s="27"/>
      <c r="L53" s="121" t="s">
        <v>72</v>
      </c>
      <c r="M53" s="27">
        <v>75</v>
      </c>
      <c r="N53" s="27">
        <v>44.5</v>
      </c>
      <c r="O53" s="27">
        <v>51.49</v>
      </c>
      <c r="Q53" s="121" t="s">
        <v>72</v>
      </c>
    </row>
    <row r="54" spans="1:17" ht="4.5" customHeight="1">
      <c r="A54" s="30"/>
      <c r="B54" s="27"/>
      <c r="C54" s="27"/>
      <c r="D54" s="27"/>
      <c r="E54" s="27"/>
      <c r="F54" s="27"/>
      <c r="G54" s="121"/>
      <c r="H54" s="121"/>
      <c r="I54" s="121"/>
      <c r="J54" s="121"/>
      <c r="K54" s="27"/>
      <c r="L54" s="121"/>
      <c r="M54" s="27"/>
      <c r="N54" s="27"/>
      <c r="O54" s="27"/>
      <c r="Q54" s="121"/>
    </row>
    <row r="55" spans="1:17" ht="10.5" customHeight="1">
      <c r="A55" s="376" t="s">
        <v>515</v>
      </c>
      <c r="B55" s="27"/>
      <c r="C55" s="27"/>
      <c r="D55" s="27"/>
      <c r="E55" s="27"/>
      <c r="F55" s="27"/>
      <c r="G55" s="121"/>
      <c r="H55" s="121"/>
      <c r="I55" s="121"/>
      <c r="J55" s="121"/>
      <c r="K55" s="27"/>
      <c r="L55" s="121"/>
      <c r="M55" s="27"/>
      <c r="N55" s="27"/>
      <c r="O55" s="27"/>
      <c r="Q55" s="121"/>
    </row>
    <row r="56" spans="1:18" ht="10.5" customHeight="1">
      <c r="A56" s="451" t="s">
        <v>534</v>
      </c>
      <c r="B56" s="452">
        <v>48.25</v>
      </c>
      <c r="C56" s="452">
        <v>54.5</v>
      </c>
      <c r="D56" s="452">
        <v>53.5</v>
      </c>
      <c r="E56" s="452">
        <v>48.42</v>
      </c>
      <c r="F56" s="452"/>
      <c r="G56" s="453" t="s">
        <v>128</v>
      </c>
      <c r="H56" s="453" t="s">
        <v>225</v>
      </c>
      <c r="I56" s="453" t="s">
        <v>72</v>
      </c>
      <c r="J56" s="453">
        <v>58</v>
      </c>
      <c r="K56" s="452"/>
      <c r="L56" s="453">
        <v>65.5</v>
      </c>
      <c r="M56" s="452">
        <v>75</v>
      </c>
      <c r="N56" s="453" t="s">
        <v>72</v>
      </c>
      <c r="O56" s="452">
        <v>52.5</v>
      </c>
      <c r="P56" s="454"/>
      <c r="Q56" s="453" t="s">
        <v>72</v>
      </c>
      <c r="R56" s="454"/>
    </row>
    <row r="57" spans="1:18" ht="10.5" customHeight="1">
      <c r="A57" s="451" t="s">
        <v>572</v>
      </c>
      <c r="B57" s="452">
        <v>40.71</v>
      </c>
      <c r="C57" s="452">
        <v>35.5</v>
      </c>
      <c r="D57" s="453" t="s">
        <v>128</v>
      </c>
      <c r="E57" s="452">
        <v>44.17</v>
      </c>
      <c r="F57" s="452"/>
      <c r="G57" s="453" t="s">
        <v>128</v>
      </c>
      <c r="H57" s="453" t="s">
        <v>225</v>
      </c>
      <c r="I57" s="452">
        <v>50</v>
      </c>
      <c r="J57" s="452">
        <v>50.25</v>
      </c>
      <c r="K57" s="452"/>
      <c r="L57" s="452">
        <v>58.17</v>
      </c>
      <c r="M57" s="452">
        <v>73.36</v>
      </c>
      <c r="N57" s="452">
        <v>51.25</v>
      </c>
      <c r="O57" s="452">
        <v>38.55</v>
      </c>
      <c r="P57" s="454"/>
      <c r="Q57" s="453" t="s">
        <v>72</v>
      </c>
      <c r="R57" s="454"/>
    </row>
    <row r="58" spans="1:17" ht="7.5" customHeight="1">
      <c r="A58" s="30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Q58" s="27"/>
    </row>
    <row r="59" spans="1:23" ht="12.75" customHeight="1">
      <c r="A59" s="33" t="s">
        <v>573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12" ht="10.5" customHeight="1">
      <c r="A60" s="102" t="s">
        <v>120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1:12" ht="13.5" customHeight="1">
      <c r="A61" s="339" t="s">
        <v>278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</sheetData>
  <printOptions horizontalCentered="1"/>
  <pageMargins left="0.417" right="0.417" top="0.25" bottom="0.6" header="0" footer="0.2"/>
  <pageSetup fitToHeight="1" fitToWidth="1" horizontalDpi="600" verticalDpi="600" orientation="portrait" scale="94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X62"/>
  <sheetViews>
    <sheetView showGridLines="0" workbookViewId="0" topLeftCell="A2">
      <pane xSplit="2" ySplit="4" topLeftCell="C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6" sqref="C6"/>
    </sheetView>
  </sheetViews>
  <sheetFormatPr defaultColWidth="9.140625" defaultRowHeight="12.75"/>
  <cols>
    <col min="1" max="1" width="14.57421875" style="0" customWidth="1"/>
    <col min="2" max="2" width="6.57421875" style="0" customWidth="1"/>
    <col min="3" max="14" width="5.28125" style="0" customWidth="1"/>
    <col min="15" max="15" width="1.1484375" style="0" customWidth="1"/>
    <col min="16" max="16" width="6.7109375" style="0" customWidth="1"/>
    <col min="17" max="17" width="0.9921875" style="0" customWidth="1"/>
    <col min="18" max="18" width="5.8515625" style="0" customWidth="1"/>
    <col min="19" max="19" width="2.421875" style="0" customWidth="1"/>
    <col min="20" max="20" width="7.140625" style="0" customWidth="1"/>
  </cols>
  <sheetData>
    <row r="1" ht="6.75" customHeight="1"/>
    <row r="2" spans="1:18" ht="14.25" customHeight="1">
      <c r="A2" s="168" t="s">
        <v>514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4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 t="s">
        <v>383</v>
      </c>
      <c r="Q3" s="207"/>
      <c r="R3" s="207" t="s">
        <v>230</v>
      </c>
      <c r="S3" s="207"/>
      <c r="T3" s="54"/>
      <c r="U3" s="363" t="s">
        <v>306</v>
      </c>
      <c r="V3" s="363"/>
      <c r="W3" s="363"/>
      <c r="X3" s="363"/>
    </row>
    <row r="4" spans="1:24" ht="11.25" customHeight="1">
      <c r="A4" s="209" t="s">
        <v>48</v>
      </c>
      <c r="B4" s="209" t="s">
        <v>49</v>
      </c>
      <c r="C4" s="209" t="s">
        <v>50</v>
      </c>
      <c r="D4" s="209" t="s">
        <v>51</v>
      </c>
      <c r="E4" s="209" t="s">
        <v>52</v>
      </c>
      <c r="F4" s="209" t="s">
        <v>53</v>
      </c>
      <c r="G4" s="209" t="s">
        <v>54</v>
      </c>
      <c r="H4" s="209" t="s">
        <v>55</v>
      </c>
      <c r="I4" s="209" t="s">
        <v>56</v>
      </c>
      <c r="J4" s="209" t="s">
        <v>57</v>
      </c>
      <c r="K4" s="209" t="s">
        <v>58</v>
      </c>
      <c r="L4" s="209" t="s">
        <v>59</v>
      </c>
      <c r="M4" s="209" t="s">
        <v>60</v>
      </c>
      <c r="N4" s="209" t="s">
        <v>61</v>
      </c>
      <c r="O4" s="209"/>
      <c r="P4" s="210" t="s">
        <v>245</v>
      </c>
      <c r="Q4" s="208"/>
      <c r="R4" s="224" t="s">
        <v>205</v>
      </c>
      <c r="S4" s="208"/>
      <c r="T4" s="54"/>
      <c r="U4" s="362" t="s">
        <v>307</v>
      </c>
      <c r="V4" s="362" t="s">
        <v>308</v>
      </c>
      <c r="W4" s="364" t="s">
        <v>309</v>
      </c>
      <c r="X4" s="364" t="s">
        <v>310</v>
      </c>
    </row>
    <row r="5" spans="1:24" ht="10.5" customHeight="1">
      <c r="A5" s="211"/>
      <c r="B5" s="212" t="s">
        <v>62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25"/>
      <c r="Q5" s="225"/>
      <c r="R5" s="213" t="s">
        <v>574</v>
      </c>
      <c r="S5" s="211"/>
      <c r="T5" s="54"/>
      <c r="U5" s="211"/>
      <c r="V5" s="211"/>
      <c r="W5" s="211"/>
      <c r="X5" s="211"/>
    </row>
    <row r="6" spans="1:24" ht="15" customHeight="1">
      <c r="A6" s="55"/>
      <c r="C6" s="174" t="s">
        <v>295</v>
      </c>
      <c r="D6" s="56"/>
      <c r="E6" s="56"/>
      <c r="F6" s="56"/>
      <c r="G6" s="56"/>
      <c r="H6" s="57"/>
      <c r="I6" s="56"/>
      <c r="J6" s="56"/>
      <c r="K6" s="56"/>
      <c r="L6" s="56"/>
      <c r="M6" s="56"/>
      <c r="N6" s="56"/>
      <c r="O6" s="56"/>
      <c r="P6" s="54"/>
      <c r="Q6" s="54"/>
      <c r="R6" s="182" t="s">
        <v>204</v>
      </c>
      <c r="S6" s="54"/>
      <c r="T6" s="54"/>
      <c r="U6" s="56"/>
      <c r="V6" s="56"/>
      <c r="W6" s="56"/>
      <c r="X6" s="56"/>
    </row>
    <row r="7" spans="1:24" ht="8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4"/>
      <c r="Q7" s="54"/>
      <c r="R7" s="54"/>
      <c r="S7" s="54"/>
      <c r="T7" s="54"/>
      <c r="U7" s="58"/>
      <c r="V7" s="58"/>
      <c r="W7" s="58"/>
      <c r="X7" s="58"/>
    </row>
    <row r="8" spans="1:24" ht="9.75" customHeight="1">
      <c r="A8" s="52" t="s">
        <v>289</v>
      </c>
      <c r="B8" s="52" t="s">
        <v>112</v>
      </c>
      <c r="C8" s="349">
        <v>115.7</v>
      </c>
      <c r="D8" s="349">
        <v>124.1</v>
      </c>
      <c r="E8" s="349">
        <v>121.5</v>
      </c>
      <c r="F8" s="349">
        <v>118.3</v>
      </c>
      <c r="G8" s="349">
        <v>114.2</v>
      </c>
      <c r="H8" s="349">
        <v>113.3</v>
      </c>
      <c r="I8" s="349">
        <v>114.7</v>
      </c>
      <c r="J8" s="349">
        <v>116.5</v>
      </c>
      <c r="K8" s="349">
        <v>122.4</v>
      </c>
      <c r="L8" s="349">
        <v>129.1</v>
      </c>
      <c r="M8" s="349">
        <v>132.6</v>
      </c>
      <c r="N8" s="349">
        <v>139.5</v>
      </c>
      <c r="O8" s="349"/>
      <c r="P8" s="340">
        <f aca="true" t="shared" si="0" ref="P8:P15">AVERAGE(C8:N8)</f>
        <v>121.82499999999999</v>
      </c>
      <c r="Q8" s="60"/>
      <c r="R8" s="353" t="s">
        <v>72</v>
      </c>
      <c r="S8" s="60"/>
      <c r="T8" s="60"/>
      <c r="U8" s="349">
        <f aca="true" t="shared" si="1" ref="U8:U16">AVERAGE(C8:E8)</f>
        <v>120.43333333333334</v>
      </c>
      <c r="V8" s="349">
        <f aca="true" t="shared" si="2" ref="V8:V16">AVERAGE(F8:H8)</f>
        <v>115.26666666666667</v>
      </c>
      <c r="W8" s="349">
        <f aca="true" t="shared" si="3" ref="W8:W15">AVERAGE(I8:K8)</f>
        <v>117.86666666666667</v>
      </c>
      <c r="X8" s="349">
        <f aca="true" t="shared" si="4" ref="X8:X15">AVERAGE(L8:N8)</f>
        <v>133.73333333333332</v>
      </c>
    </row>
    <row r="9" spans="1:24" ht="9.75" customHeight="1">
      <c r="A9" s="58"/>
      <c r="B9" s="52" t="s">
        <v>179</v>
      </c>
      <c r="C9" s="349">
        <v>151.4</v>
      </c>
      <c r="D9" s="349">
        <v>196.4</v>
      </c>
      <c r="E9" s="349">
        <v>219.7</v>
      </c>
      <c r="F9" s="349">
        <v>225.2</v>
      </c>
      <c r="G9" s="349">
        <v>256.9</v>
      </c>
      <c r="H9" s="349">
        <v>300.2</v>
      </c>
      <c r="I9" s="349">
        <v>304.3</v>
      </c>
      <c r="J9" s="349">
        <v>297.3</v>
      </c>
      <c r="K9" s="349">
        <v>294.1</v>
      </c>
      <c r="L9" s="349">
        <v>291.6</v>
      </c>
      <c r="M9" s="349">
        <v>282.6</v>
      </c>
      <c r="N9" s="349">
        <v>235.2</v>
      </c>
      <c r="O9" s="349"/>
      <c r="P9" s="340">
        <f t="shared" si="0"/>
        <v>254.57499999999996</v>
      </c>
      <c r="Q9" s="60"/>
      <c r="R9" s="352">
        <f aca="true" t="shared" si="5" ref="R9:R16">(G9/G8-1)*100</f>
        <v>124.95621716287211</v>
      </c>
      <c r="S9" s="60"/>
      <c r="T9" s="60"/>
      <c r="U9" s="349">
        <f t="shared" si="1"/>
        <v>189.16666666666666</v>
      </c>
      <c r="V9" s="349">
        <f t="shared" si="2"/>
        <v>260.76666666666665</v>
      </c>
      <c r="W9" s="349">
        <f t="shared" si="3"/>
        <v>298.56666666666666</v>
      </c>
      <c r="X9" s="349">
        <f t="shared" si="4"/>
        <v>269.8</v>
      </c>
    </row>
    <row r="10" spans="1:24" ht="9.75" customHeight="1">
      <c r="A10" s="58"/>
      <c r="B10" s="52" t="s">
        <v>232</v>
      </c>
      <c r="C10" s="349">
        <v>220.6</v>
      </c>
      <c r="D10" s="349">
        <v>189.5</v>
      </c>
      <c r="E10" s="349">
        <v>183.2</v>
      </c>
      <c r="F10" s="349">
        <v>187.6</v>
      </c>
      <c r="G10" s="349">
        <v>181.2</v>
      </c>
      <c r="H10" s="349">
        <v>178.1</v>
      </c>
      <c r="I10" s="349">
        <v>174.1</v>
      </c>
      <c r="J10" s="349">
        <v>175.3</v>
      </c>
      <c r="K10" s="349">
        <v>177.2</v>
      </c>
      <c r="L10" s="349">
        <v>177.2</v>
      </c>
      <c r="M10" s="349">
        <v>181.9</v>
      </c>
      <c r="N10" s="349">
        <v>181.9</v>
      </c>
      <c r="O10" s="349"/>
      <c r="P10" s="340">
        <f t="shared" si="0"/>
        <v>183.98333333333332</v>
      </c>
      <c r="Q10" s="60"/>
      <c r="R10" s="352">
        <f t="shared" si="5"/>
        <v>-29.46671856753601</v>
      </c>
      <c r="S10" s="60"/>
      <c r="T10" s="60"/>
      <c r="U10" s="349">
        <f t="shared" si="1"/>
        <v>197.76666666666665</v>
      </c>
      <c r="V10" s="349">
        <f t="shared" si="2"/>
        <v>182.29999999999998</v>
      </c>
      <c r="W10" s="349">
        <f t="shared" si="3"/>
        <v>175.5333333333333</v>
      </c>
      <c r="X10" s="349">
        <f t="shared" si="4"/>
        <v>180.33333333333334</v>
      </c>
    </row>
    <row r="11" spans="1:24" ht="9.75" customHeight="1">
      <c r="A11" s="58"/>
      <c r="B11" s="52" t="s">
        <v>243</v>
      </c>
      <c r="C11" s="349">
        <v>184.6</v>
      </c>
      <c r="D11" s="349">
        <v>165.5</v>
      </c>
      <c r="E11" s="349">
        <v>162.6</v>
      </c>
      <c r="F11" s="349">
        <v>162.6</v>
      </c>
      <c r="G11" s="349">
        <v>167.9</v>
      </c>
      <c r="H11" s="349">
        <v>170.7</v>
      </c>
      <c r="I11" s="349">
        <v>178.3</v>
      </c>
      <c r="J11" s="349">
        <v>187.5</v>
      </c>
      <c r="K11" s="349">
        <v>193.3</v>
      </c>
      <c r="L11" s="349">
        <v>194.1</v>
      </c>
      <c r="M11" s="349">
        <v>194.1</v>
      </c>
      <c r="N11" s="349">
        <v>194.1</v>
      </c>
      <c r="O11" s="349"/>
      <c r="P11" s="340">
        <f t="shared" si="0"/>
        <v>179.60833333333332</v>
      </c>
      <c r="Q11" s="60"/>
      <c r="R11" s="352">
        <f t="shared" si="5"/>
        <v>-7.339955849889613</v>
      </c>
      <c r="S11" s="60"/>
      <c r="T11" s="60"/>
      <c r="U11" s="349">
        <f t="shared" si="1"/>
        <v>170.9</v>
      </c>
      <c r="V11" s="349">
        <f t="shared" si="2"/>
        <v>167.06666666666666</v>
      </c>
      <c r="W11" s="349">
        <f t="shared" si="3"/>
        <v>186.36666666666667</v>
      </c>
      <c r="X11" s="349">
        <f t="shared" si="4"/>
        <v>194.1</v>
      </c>
    </row>
    <row r="12" spans="1:24" ht="9.75" customHeight="1">
      <c r="A12" s="58"/>
      <c r="B12" s="52" t="s">
        <v>273</v>
      </c>
      <c r="C12" s="349">
        <v>277.3</v>
      </c>
      <c r="D12" s="349">
        <v>297.9</v>
      </c>
      <c r="E12" s="349">
        <v>334.6</v>
      </c>
      <c r="F12" s="349">
        <v>328.2</v>
      </c>
      <c r="G12" s="349">
        <v>328.2</v>
      </c>
      <c r="H12" s="349">
        <v>322.7</v>
      </c>
      <c r="I12" s="349">
        <v>312.1</v>
      </c>
      <c r="J12" s="349">
        <v>301.4</v>
      </c>
      <c r="K12" s="349">
        <v>287.6</v>
      </c>
      <c r="L12" s="349">
        <v>285.6</v>
      </c>
      <c r="M12" s="349">
        <v>272.6</v>
      </c>
      <c r="N12" s="349">
        <v>252.5</v>
      </c>
      <c r="O12" s="349"/>
      <c r="P12" s="340">
        <f t="shared" si="0"/>
        <v>300.05833333333334</v>
      </c>
      <c r="Q12" s="60"/>
      <c r="R12" s="352">
        <f t="shared" si="5"/>
        <v>95.473496128648</v>
      </c>
      <c r="S12" s="60"/>
      <c r="T12" s="60"/>
      <c r="U12" s="349">
        <f t="shared" si="1"/>
        <v>303.2666666666667</v>
      </c>
      <c r="V12" s="349">
        <f t="shared" si="2"/>
        <v>326.3666666666666</v>
      </c>
      <c r="W12" s="349">
        <f t="shared" si="3"/>
        <v>300.3666666666667</v>
      </c>
      <c r="X12" s="349">
        <f t="shared" si="4"/>
        <v>270.23333333333335</v>
      </c>
    </row>
    <row r="13" spans="1:24" ht="9.75" customHeight="1">
      <c r="A13" s="58"/>
      <c r="B13" s="365" t="s">
        <v>286</v>
      </c>
      <c r="C13" s="366">
        <v>193.8</v>
      </c>
      <c r="D13" s="366">
        <v>169.4</v>
      </c>
      <c r="E13" s="366">
        <v>169.6</v>
      </c>
      <c r="F13" s="366">
        <v>168.7</v>
      </c>
      <c r="G13" s="366">
        <v>168.7</v>
      </c>
      <c r="H13" s="366">
        <v>168.8</v>
      </c>
      <c r="I13" s="366">
        <v>166.3</v>
      </c>
      <c r="J13" s="366">
        <v>166.9</v>
      </c>
      <c r="K13" s="366">
        <v>166.7</v>
      </c>
      <c r="L13" s="366">
        <v>166.7</v>
      </c>
      <c r="M13" s="366">
        <v>170.7</v>
      </c>
      <c r="N13" s="366">
        <v>188.7</v>
      </c>
      <c r="O13" s="366"/>
      <c r="P13" s="367">
        <f t="shared" si="0"/>
        <v>172.08333333333334</v>
      </c>
      <c r="Q13" s="368"/>
      <c r="R13" s="352">
        <f t="shared" si="5"/>
        <v>-48.59841560024376</v>
      </c>
      <c r="S13" s="60"/>
      <c r="T13" s="60"/>
      <c r="U13" s="349">
        <f t="shared" si="1"/>
        <v>177.60000000000002</v>
      </c>
      <c r="V13" s="349">
        <f t="shared" si="2"/>
        <v>168.73333333333332</v>
      </c>
      <c r="W13" s="349">
        <f t="shared" si="3"/>
        <v>166.63333333333335</v>
      </c>
      <c r="X13" s="349">
        <f t="shared" si="4"/>
        <v>175.36666666666665</v>
      </c>
    </row>
    <row r="14" spans="1:24" ht="9.75" customHeight="1">
      <c r="A14" s="58"/>
      <c r="B14" s="365" t="s">
        <v>320</v>
      </c>
      <c r="C14" s="366">
        <v>206.8</v>
      </c>
      <c r="D14" s="366">
        <v>210</v>
      </c>
      <c r="E14" s="366">
        <v>216.7</v>
      </c>
      <c r="F14" s="366">
        <v>221.9</v>
      </c>
      <c r="G14" s="366">
        <v>235.2</v>
      </c>
      <c r="H14" s="366">
        <v>251.4</v>
      </c>
      <c r="I14" s="366">
        <v>260</v>
      </c>
      <c r="J14" s="366">
        <v>263</v>
      </c>
      <c r="K14" s="366">
        <v>258.1</v>
      </c>
      <c r="L14" s="366">
        <v>258.1</v>
      </c>
      <c r="M14" s="366">
        <v>266.3</v>
      </c>
      <c r="N14" s="366">
        <v>266.7</v>
      </c>
      <c r="O14" s="366"/>
      <c r="P14" s="367">
        <f t="shared" si="0"/>
        <v>242.85</v>
      </c>
      <c r="Q14" s="368"/>
      <c r="R14" s="352">
        <f t="shared" si="5"/>
        <v>39.419087136929456</v>
      </c>
      <c r="S14" s="60"/>
      <c r="T14" s="60"/>
      <c r="U14" s="349">
        <f t="shared" si="1"/>
        <v>211.16666666666666</v>
      </c>
      <c r="V14" s="349">
        <f t="shared" si="2"/>
        <v>236.16666666666666</v>
      </c>
      <c r="W14" s="349">
        <f t="shared" si="3"/>
        <v>260.3666666666667</v>
      </c>
      <c r="X14" s="349">
        <f t="shared" si="4"/>
        <v>263.70000000000005</v>
      </c>
    </row>
    <row r="15" spans="1:24" ht="9.75" customHeight="1">
      <c r="A15" s="58"/>
      <c r="B15" s="214" t="s">
        <v>325</v>
      </c>
      <c r="C15" s="350">
        <v>269.5</v>
      </c>
      <c r="D15" s="350">
        <v>293</v>
      </c>
      <c r="E15" s="350">
        <v>283.7</v>
      </c>
      <c r="F15" s="350">
        <v>280.8</v>
      </c>
      <c r="G15" s="350">
        <v>288.2</v>
      </c>
      <c r="H15" s="350">
        <v>315.1</v>
      </c>
      <c r="I15" s="350">
        <v>339.1</v>
      </c>
      <c r="J15" s="350">
        <v>331.6</v>
      </c>
      <c r="K15" s="350">
        <v>339.7</v>
      </c>
      <c r="L15" s="350">
        <v>341.2</v>
      </c>
      <c r="M15" s="350">
        <v>353.1</v>
      </c>
      <c r="N15" s="350">
        <v>383.4</v>
      </c>
      <c r="O15" s="350"/>
      <c r="P15" s="351">
        <f t="shared" si="0"/>
        <v>318.2</v>
      </c>
      <c r="Q15" s="218"/>
      <c r="R15" s="352">
        <f t="shared" si="5"/>
        <v>22.534013605442183</v>
      </c>
      <c r="S15" s="60"/>
      <c r="T15" s="60"/>
      <c r="U15" s="349">
        <f t="shared" si="1"/>
        <v>282.06666666666666</v>
      </c>
      <c r="V15" s="349">
        <f t="shared" si="2"/>
        <v>294.7</v>
      </c>
      <c r="W15" s="349">
        <f t="shared" si="3"/>
        <v>336.8</v>
      </c>
      <c r="X15" s="349">
        <f t="shared" si="4"/>
        <v>359.2333333333333</v>
      </c>
    </row>
    <row r="16" spans="1:24" ht="9.75" customHeight="1">
      <c r="A16" s="58"/>
      <c r="B16" s="214" t="s">
        <v>513</v>
      </c>
      <c r="C16" s="350">
        <v>400.8</v>
      </c>
      <c r="D16" s="350">
        <v>352.5</v>
      </c>
      <c r="E16" s="350">
        <v>341.8</v>
      </c>
      <c r="F16" s="350">
        <v>341.8</v>
      </c>
      <c r="G16" s="350">
        <v>327.4</v>
      </c>
      <c r="H16" s="350"/>
      <c r="I16" s="350"/>
      <c r="J16" s="350"/>
      <c r="K16" s="350"/>
      <c r="L16" s="350"/>
      <c r="M16" s="350"/>
      <c r="N16" s="350"/>
      <c r="O16" s="350"/>
      <c r="P16" s="351"/>
      <c r="Q16" s="218"/>
      <c r="R16" s="352">
        <f t="shared" si="5"/>
        <v>13.601665510062455</v>
      </c>
      <c r="S16" s="60"/>
      <c r="T16" s="60"/>
      <c r="U16" s="349">
        <f t="shared" si="1"/>
        <v>365.0333333333333</v>
      </c>
      <c r="V16" s="349">
        <f t="shared" si="2"/>
        <v>334.6</v>
      </c>
      <c r="W16" s="349"/>
      <c r="X16" s="349"/>
    </row>
    <row r="17" spans="1:20" ht="3.75" customHeight="1">
      <c r="A17" s="58"/>
      <c r="B17" s="58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0"/>
      <c r="Q17" s="54"/>
      <c r="R17" s="340"/>
      <c r="S17" s="54"/>
      <c r="T17" s="54"/>
    </row>
    <row r="18" spans="1:24" ht="9.75" customHeight="1">
      <c r="A18" s="52" t="s">
        <v>290</v>
      </c>
      <c r="B18" s="52" t="s">
        <v>112</v>
      </c>
      <c r="C18" s="349">
        <v>48.9</v>
      </c>
      <c r="D18" s="349">
        <v>49.7</v>
      </c>
      <c r="E18" s="349">
        <v>50.3</v>
      </c>
      <c r="F18" s="349">
        <v>49.5</v>
      </c>
      <c r="G18" s="349">
        <v>48.3</v>
      </c>
      <c r="H18" s="349">
        <v>48</v>
      </c>
      <c r="I18" s="349">
        <v>48</v>
      </c>
      <c r="J18" s="349">
        <v>48</v>
      </c>
      <c r="K18" s="349">
        <v>49</v>
      </c>
      <c r="L18" s="349">
        <v>52.8</v>
      </c>
      <c r="M18" s="349">
        <v>54.2</v>
      </c>
      <c r="N18" s="349">
        <v>59.5</v>
      </c>
      <c r="O18" s="349"/>
      <c r="P18" s="340">
        <f aca="true" t="shared" si="6" ref="P18:P25">AVERAGE(C18:N18)</f>
        <v>50.51666666666667</v>
      </c>
      <c r="Q18" s="54"/>
      <c r="R18" s="353" t="s">
        <v>72</v>
      </c>
      <c r="S18" s="54"/>
      <c r="T18" s="54"/>
      <c r="U18" s="349">
        <f aca="true" t="shared" si="7" ref="U18:U26">AVERAGE(C18:E18)</f>
        <v>49.633333333333326</v>
      </c>
      <c r="V18" s="349">
        <f aca="true" t="shared" si="8" ref="V18:V26">AVERAGE(F18:H18)</f>
        <v>48.6</v>
      </c>
      <c r="W18" s="349">
        <f aca="true" t="shared" si="9" ref="W18:W25">AVERAGE(I18:K18)</f>
        <v>48.333333333333336</v>
      </c>
      <c r="X18" s="349">
        <f aca="true" t="shared" si="10" ref="X18:X25">AVERAGE(L18:N18)</f>
        <v>55.5</v>
      </c>
    </row>
    <row r="19" spans="1:24" ht="9.75" customHeight="1">
      <c r="A19" s="58"/>
      <c r="B19" s="52" t="s">
        <v>179</v>
      </c>
      <c r="C19" s="349">
        <v>77.5</v>
      </c>
      <c r="D19" s="349">
        <v>95</v>
      </c>
      <c r="E19" s="349">
        <v>115.6</v>
      </c>
      <c r="F19" s="349">
        <v>113.2</v>
      </c>
      <c r="G19" s="349">
        <v>113</v>
      </c>
      <c r="H19" s="349">
        <v>112.2</v>
      </c>
      <c r="I19" s="349">
        <v>111.5</v>
      </c>
      <c r="J19" s="349">
        <v>96.8</v>
      </c>
      <c r="K19" s="349">
        <v>93.4</v>
      </c>
      <c r="L19" s="349">
        <v>88.9</v>
      </c>
      <c r="M19" s="349">
        <v>86</v>
      </c>
      <c r="N19" s="349">
        <v>77.2</v>
      </c>
      <c r="O19" s="349"/>
      <c r="P19" s="340">
        <f t="shared" si="6"/>
        <v>98.35833333333333</v>
      </c>
      <c r="Q19" s="54"/>
      <c r="R19" s="352">
        <f aca="true" t="shared" si="11" ref="R19:R25">(G19/G18-1)*100</f>
        <v>133.9544513457557</v>
      </c>
      <c r="S19" s="54"/>
      <c r="T19" s="54"/>
      <c r="U19" s="349">
        <f t="shared" si="7"/>
        <v>96.03333333333335</v>
      </c>
      <c r="V19" s="349">
        <f t="shared" si="8"/>
        <v>112.8</v>
      </c>
      <c r="W19" s="349">
        <f t="shared" si="9"/>
        <v>100.56666666666668</v>
      </c>
      <c r="X19" s="349">
        <f t="shared" si="10"/>
        <v>84.03333333333335</v>
      </c>
    </row>
    <row r="20" spans="1:24" ht="9.75" customHeight="1">
      <c r="A20" s="58"/>
      <c r="B20" s="52" t="s">
        <v>232</v>
      </c>
      <c r="C20" s="349">
        <v>75.1</v>
      </c>
      <c r="D20" s="349">
        <v>67.8</v>
      </c>
      <c r="E20" s="349">
        <v>66.4</v>
      </c>
      <c r="F20" s="349">
        <v>65.6</v>
      </c>
      <c r="G20" s="349">
        <v>65.6</v>
      </c>
      <c r="H20" s="349">
        <v>63.9</v>
      </c>
      <c r="I20" s="349">
        <v>64.6</v>
      </c>
      <c r="J20" s="349">
        <v>70.4</v>
      </c>
      <c r="K20" s="349">
        <v>72.4</v>
      </c>
      <c r="L20" s="349">
        <v>73</v>
      </c>
      <c r="M20" s="349">
        <v>89</v>
      </c>
      <c r="N20" s="349">
        <v>92.1</v>
      </c>
      <c r="O20" s="349"/>
      <c r="P20" s="340">
        <f t="shared" si="6"/>
        <v>72.15833333333333</v>
      </c>
      <c r="Q20" s="54"/>
      <c r="R20" s="352">
        <f t="shared" si="11"/>
        <v>-41.94690265486726</v>
      </c>
      <c r="S20" s="54"/>
      <c r="T20" s="54"/>
      <c r="U20" s="349">
        <f t="shared" si="7"/>
        <v>69.76666666666667</v>
      </c>
      <c r="V20" s="349">
        <f t="shared" si="8"/>
        <v>65.03333333333333</v>
      </c>
      <c r="W20" s="349">
        <f t="shared" si="9"/>
        <v>69.13333333333334</v>
      </c>
      <c r="X20" s="349">
        <f t="shared" si="10"/>
        <v>84.7</v>
      </c>
    </row>
    <row r="21" spans="1:24" ht="9.75" customHeight="1">
      <c r="A21" s="58"/>
      <c r="B21" s="52" t="s">
        <v>243</v>
      </c>
      <c r="C21" s="349">
        <v>96.5</v>
      </c>
      <c r="D21" s="349">
        <v>99.6</v>
      </c>
      <c r="E21" s="349">
        <v>99</v>
      </c>
      <c r="F21" s="349">
        <v>97.8</v>
      </c>
      <c r="G21" s="349">
        <v>97.8</v>
      </c>
      <c r="H21" s="349">
        <v>97.8</v>
      </c>
      <c r="I21" s="349">
        <v>98.6</v>
      </c>
      <c r="J21" s="349">
        <v>108.6</v>
      </c>
      <c r="K21" s="349">
        <v>111.3</v>
      </c>
      <c r="L21" s="349">
        <v>111.6</v>
      </c>
      <c r="M21" s="349">
        <v>112.8</v>
      </c>
      <c r="N21" s="349">
        <v>112.8</v>
      </c>
      <c r="O21" s="349"/>
      <c r="P21" s="340">
        <f t="shared" si="6"/>
        <v>103.68333333333334</v>
      </c>
      <c r="Q21" s="54"/>
      <c r="R21" s="352">
        <f t="shared" si="11"/>
        <v>49.085365853658544</v>
      </c>
      <c r="S21" s="54"/>
      <c r="T21" s="54"/>
      <c r="U21" s="349">
        <f t="shared" si="7"/>
        <v>98.36666666666667</v>
      </c>
      <c r="V21" s="349">
        <f t="shared" si="8"/>
        <v>97.8</v>
      </c>
      <c r="W21" s="349">
        <f t="shared" si="9"/>
        <v>106.16666666666667</v>
      </c>
      <c r="X21" s="349">
        <f t="shared" si="10"/>
        <v>112.39999999999999</v>
      </c>
    </row>
    <row r="22" spans="1:24" ht="9.75" customHeight="1">
      <c r="A22" s="58"/>
      <c r="B22" s="52" t="s">
        <v>273</v>
      </c>
      <c r="C22" s="349">
        <v>141.2</v>
      </c>
      <c r="D22" s="349">
        <v>148.3</v>
      </c>
      <c r="E22" s="349">
        <v>149.5</v>
      </c>
      <c r="F22" s="349">
        <v>147.1</v>
      </c>
      <c r="G22" s="349">
        <v>145.3</v>
      </c>
      <c r="H22" s="349">
        <v>144.1</v>
      </c>
      <c r="I22" s="349">
        <v>145</v>
      </c>
      <c r="J22" s="349">
        <v>144.1</v>
      </c>
      <c r="K22" s="349">
        <v>147</v>
      </c>
      <c r="L22" s="349">
        <v>137</v>
      </c>
      <c r="M22" s="349">
        <v>115.9</v>
      </c>
      <c r="N22" s="349">
        <v>115.4</v>
      </c>
      <c r="O22" s="349"/>
      <c r="P22" s="340">
        <f t="shared" si="6"/>
        <v>139.9916666666667</v>
      </c>
      <c r="Q22" s="54"/>
      <c r="R22" s="352">
        <f t="shared" si="11"/>
        <v>48.56850715746424</v>
      </c>
      <c r="S22" s="54"/>
      <c r="T22" s="54"/>
      <c r="U22" s="349">
        <f t="shared" si="7"/>
        <v>146.33333333333334</v>
      </c>
      <c r="V22" s="349">
        <f t="shared" si="8"/>
        <v>145.5</v>
      </c>
      <c r="W22" s="349">
        <f t="shared" si="9"/>
        <v>145.36666666666667</v>
      </c>
      <c r="X22" s="349">
        <f t="shared" si="10"/>
        <v>122.76666666666667</v>
      </c>
    </row>
    <row r="23" spans="1:24" ht="9.75" customHeight="1">
      <c r="A23" s="58"/>
      <c r="B23" s="365" t="s">
        <v>286</v>
      </c>
      <c r="C23" s="366">
        <v>117.6</v>
      </c>
      <c r="D23" s="366">
        <v>102.4</v>
      </c>
      <c r="E23" s="366">
        <v>105.8</v>
      </c>
      <c r="F23" s="366">
        <v>107.9</v>
      </c>
      <c r="G23" s="366">
        <v>107</v>
      </c>
      <c r="H23" s="366">
        <v>107</v>
      </c>
      <c r="I23" s="366">
        <v>108.2</v>
      </c>
      <c r="J23" s="366">
        <v>110.3</v>
      </c>
      <c r="K23" s="366">
        <v>110.3</v>
      </c>
      <c r="L23" s="366">
        <v>110.3</v>
      </c>
      <c r="M23" s="366">
        <v>110.3</v>
      </c>
      <c r="N23" s="366">
        <v>114.1</v>
      </c>
      <c r="O23" s="366"/>
      <c r="P23" s="367">
        <f t="shared" si="6"/>
        <v>109.26666666666665</v>
      </c>
      <c r="Q23" s="54"/>
      <c r="R23" s="352">
        <f t="shared" si="11"/>
        <v>-26.359256710254652</v>
      </c>
      <c r="S23" s="54"/>
      <c r="T23" s="54"/>
      <c r="U23" s="349">
        <f t="shared" si="7"/>
        <v>108.60000000000001</v>
      </c>
      <c r="V23" s="349">
        <f t="shared" si="8"/>
        <v>107.3</v>
      </c>
      <c r="W23" s="349">
        <f t="shared" si="9"/>
        <v>109.60000000000001</v>
      </c>
      <c r="X23" s="349">
        <f t="shared" si="10"/>
        <v>111.56666666666666</v>
      </c>
    </row>
    <row r="24" spans="1:24" ht="9.75" customHeight="1">
      <c r="A24" s="58"/>
      <c r="B24" s="365" t="s">
        <v>320</v>
      </c>
      <c r="C24" s="366">
        <v>105.1</v>
      </c>
      <c r="D24" s="366">
        <v>105.5</v>
      </c>
      <c r="E24" s="366">
        <v>101.5</v>
      </c>
      <c r="F24" s="366">
        <v>104.9</v>
      </c>
      <c r="G24" s="366">
        <v>109.6</v>
      </c>
      <c r="H24" s="366">
        <v>118.2</v>
      </c>
      <c r="I24" s="366">
        <v>127.4</v>
      </c>
      <c r="J24" s="366">
        <v>132.1</v>
      </c>
      <c r="K24" s="366">
        <v>131.8</v>
      </c>
      <c r="L24" s="366">
        <v>133</v>
      </c>
      <c r="M24" s="366">
        <v>133</v>
      </c>
      <c r="N24" s="366">
        <v>133</v>
      </c>
      <c r="O24" s="366"/>
      <c r="P24" s="367">
        <f t="shared" si="6"/>
        <v>119.59166666666668</v>
      </c>
      <c r="Q24" s="219"/>
      <c r="R24" s="352">
        <f t="shared" si="11"/>
        <v>2.4299065420560595</v>
      </c>
      <c r="S24" s="54"/>
      <c r="T24" s="54"/>
      <c r="U24" s="349">
        <f t="shared" si="7"/>
        <v>104.03333333333335</v>
      </c>
      <c r="V24" s="349">
        <f t="shared" si="8"/>
        <v>110.89999999999999</v>
      </c>
      <c r="W24" s="349">
        <f t="shared" si="9"/>
        <v>130.43333333333334</v>
      </c>
      <c r="X24" s="349">
        <f t="shared" si="10"/>
        <v>133</v>
      </c>
    </row>
    <row r="25" spans="1:24" ht="9.75" customHeight="1">
      <c r="A25" s="58"/>
      <c r="B25" s="214" t="s">
        <v>325</v>
      </c>
      <c r="C25" s="350">
        <v>153.7</v>
      </c>
      <c r="D25" s="350">
        <v>161.5</v>
      </c>
      <c r="E25" s="350">
        <v>161.8</v>
      </c>
      <c r="F25" s="350">
        <v>162.5</v>
      </c>
      <c r="G25" s="350">
        <v>166.9</v>
      </c>
      <c r="H25" s="350">
        <v>172.3</v>
      </c>
      <c r="I25" s="350">
        <v>193.6</v>
      </c>
      <c r="J25" s="350">
        <v>205.9</v>
      </c>
      <c r="K25" s="350">
        <v>219.1</v>
      </c>
      <c r="L25" s="350">
        <v>219.1</v>
      </c>
      <c r="M25" s="350">
        <v>223.4</v>
      </c>
      <c r="N25" s="350">
        <v>231.9</v>
      </c>
      <c r="O25" s="350"/>
      <c r="P25" s="351">
        <f t="shared" si="6"/>
        <v>189.3083333333333</v>
      </c>
      <c r="Q25" s="219"/>
      <c r="R25" s="352">
        <f t="shared" si="11"/>
        <v>52.281021897810234</v>
      </c>
      <c r="S25" s="54"/>
      <c r="T25" s="54"/>
      <c r="U25" s="349">
        <f t="shared" si="7"/>
        <v>159</v>
      </c>
      <c r="V25" s="349">
        <f t="shared" si="8"/>
        <v>167.23333333333332</v>
      </c>
      <c r="W25" s="349">
        <f t="shared" si="9"/>
        <v>206.20000000000002</v>
      </c>
      <c r="X25" s="349">
        <f t="shared" si="10"/>
        <v>224.79999999999998</v>
      </c>
    </row>
    <row r="26" spans="1:24" ht="9.75" customHeight="1">
      <c r="A26" s="58"/>
      <c r="B26" s="214" t="s">
        <v>513</v>
      </c>
      <c r="C26" s="350">
        <v>231.9</v>
      </c>
      <c r="D26" s="398" t="s">
        <v>128</v>
      </c>
      <c r="E26" s="350">
        <v>153.4</v>
      </c>
      <c r="F26" s="350">
        <v>153.4</v>
      </c>
      <c r="G26" s="398" t="s">
        <v>128</v>
      </c>
      <c r="H26" s="350"/>
      <c r="I26" s="350"/>
      <c r="J26" s="350"/>
      <c r="K26" s="350"/>
      <c r="L26" s="350"/>
      <c r="M26" s="350"/>
      <c r="N26" s="350"/>
      <c r="O26" s="350"/>
      <c r="P26" s="351"/>
      <c r="Q26" s="219"/>
      <c r="R26" s="118" t="s">
        <v>72</v>
      </c>
      <c r="S26" s="54"/>
      <c r="T26" s="54"/>
      <c r="U26" s="349">
        <f t="shared" si="7"/>
        <v>192.65</v>
      </c>
      <c r="V26" s="349">
        <f t="shared" si="8"/>
        <v>153.4</v>
      </c>
      <c r="W26" s="349"/>
      <c r="X26" s="349"/>
    </row>
    <row r="27" spans="1:20" ht="3.75" customHeight="1">
      <c r="A27" s="58"/>
      <c r="B27" s="58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0"/>
      <c r="Q27" s="54"/>
      <c r="R27" s="340"/>
      <c r="S27" s="54"/>
      <c r="T27" s="54"/>
    </row>
    <row r="28" spans="1:24" ht="9.75" customHeight="1">
      <c r="A28" s="52" t="s">
        <v>291</v>
      </c>
      <c r="B28" s="52" t="s">
        <v>112</v>
      </c>
      <c r="C28" s="349">
        <v>124.2</v>
      </c>
      <c r="D28" s="349">
        <v>121.2</v>
      </c>
      <c r="E28" s="349">
        <v>120.8</v>
      </c>
      <c r="F28" s="349">
        <v>113.3</v>
      </c>
      <c r="G28" s="349">
        <v>109.6</v>
      </c>
      <c r="H28" s="349">
        <v>105.8</v>
      </c>
      <c r="I28" s="349">
        <v>113.3</v>
      </c>
      <c r="J28" s="349">
        <v>113.3</v>
      </c>
      <c r="K28" s="349">
        <v>112.9</v>
      </c>
      <c r="L28" s="349">
        <v>112.9</v>
      </c>
      <c r="M28" s="349">
        <v>113.3</v>
      </c>
      <c r="N28" s="349">
        <v>120</v>
      </c>
      <c r="O28" s="349"/>
      <c r="P28" s="340">
        <f aca="true" t="shared" si="12" ref="P28:P35">AVERAGE(C28:N28)</f>
        <v>115.05</v>
      </c>
      <c r="Q28" s="54"/>
      <c r="R28" s="353" t="s">
        <v>72</v>
      </c>
      <c r="S28" s="54"/>
      <c r="T28" s="54"/>
      <c r="U28" s="349">
        <f aca="true" t="shared" si="13" ref="U28:U34">AVERAGE(C28:E28)</f>
        <v>122.06666666666666</v>
      </c>
      <c r="V28" s="349">
        <f aca="true" t="shared" si="14" ref="V28:V35">AVERAGE(F28:H28)</f>
        <v>109.56666666666666</v>
      </c>
      <c r="W28" s="349">
        <f aca="true" t="shared" si="15" ref="W28:W35">AVERAGE(I28:K28)</f>
        <v>113.16666666666667</v>
      </c>
      <c r="X28" s="349">
        <f aca="true" t="shared" si="16" ref="X28:X35">AVERAGE(L28:N28)</f>
        <v>115.39999999999999</v>
      </c>
    </row>
    <row r="29" spans="1:24" ht="9.75" customHeight="1">
      <c r="A29" s="58"/>
      <c r="B29" s="52" t="s">
        <v>179</v>
      </c>
      <c r="C29" s="349">
        <v>123.8</v>
      </c>
      <c r="D29" s="349">
        <v>173.3</v>
      </c>
      <c r="E29" s="349">
        <v>178.8</v>
      </c>
      <c r="F29" s="349">
        <v>173.3</v>
      </c>
      <c r="G29" s="349">
        <v>171.9</v>
      </c>
      <c r="H29" s="349">
        <v>173.2</v>
      </c>
      <c r="I29" s="349">
        <v>171.7</v>
      </c>
      <c r="J29" s="349">
        <v>171.3</v>
      </c>
      <c r="K29" s="349">
        <v>171.3</v>
      </c>
      <c r="L29" s="349">
        <v>171.3</v>
      </c>
      <c r="M29" s="349">
        <v>183.4</v>
      </c>
      <c r="N29" s="349">
        <v>199.2</v>
      </c>
      <c r="O29" s="349"/>
      <c r="P29" s="340">
        <f t="shared" si="12"/>
        <v>171.875</v>
      </c>
      <c r="Q29" s="54"/>
      <c r="R29" s="352">
        <f aca="true" t="shared" si="17" ref="R29:R35">(G29/G28-1)*100</f>
        <v>56.843065693430674</v>
      </c>
      <c r="S29" s="54"/>
      <c r="T29" s="54"/>
      <c r="U29" s="349">
        <f t="shared" si="13"/>
        <v>158.63333333333335</v>
      </c>
      <c r="V29" s="349">
        <f t="shared" si="14"/>
        <v>172.80000000000004</v>
      </c>
      <c r="W29" s="349">
        <f t="shared" si="15"/>
        <v>171.4333333333333</v>
      </c>
      <c r="X29" s="349">
        <f t="shared" si="16"/>
        <v>184.63333333333335</v>
      </c>
    </row>
    <row r="30" spans="1:24" ht="9.75" customHeight="1">
      <c r="A30" s="58"/>
      <c r="B30" s="52" t="s">
        <v>232</v>
      </c>
      <c r="C30" s="349">
        <v>221.7</v>
      </c>
      <c r="D30" s="349">
        <v>206.7</v>
      </c>
      <c r="E30" s="349">
        <v>192.5</v>
      </c>
      <c r="F30" s="349">
        <v>192.5</v>
      </c>
      <c r="G30" s="349">
        <v>192.5</v>
      </c>
      <c r="H30" s="349">
        <v>192.5</v>
      </c>
      <c r="I30" s="349">
        <v>192.5</v>
      </c>
      <c r="J30" s="349">
        <v>192.5</v>
      </c>
      <c r="K30" s="349">
        <v>213.4</v>
      </c>
      <c r="L30" s="349">
        <v>228.7</v>
      </c>
      <c r="M30" s="349">
        <v>241.5</v>
      </c>
      <c r="N30" s="349">
        <v>219.5</v>
      </c>
      <c r="O30" s="349"/>
      <c r="P30" s="340">
        <f t="shared" si="12"/>
        <v>207.20833333333334</v>
      </c>
      <c r="Q30" s="54"/>
      <c r="R30" s="352">
        <f t="shared" si="17"/>
        <v>11.983711460151248</v>
      </c>
      <c r="S30" s="54"/>
      <c r="T30" s="54"/>
      <c r="U30" s="349">
        <f t="shared" si="13"/>
        <v>206.96666666666667</v>
      </c>
      <c r="V30" s="349">
        <f t="shared" si="14"/>
        <v>192.5</v>
      </c>
      <c r="W30" s="349">
        <f t="shared" si="15"/>
        <v>199.46666666666667</v>
      </c>
      <c r="X30" s="349">
        <f t="shared" si="16"/>
        <v>229.9</v>
      </c>
    </row>
    <row r="31" spans="1:24" ht="9.75" customHeight="1">
      <c r="A31" s="58"/>
      <c r="B31" s="52" t="s">
        <v>243</v>
      </c>
      <c r="C31" s="349">
        <v>192.1</v>
      </c>
      <c r="D31" s="349">
        <v>177.9</v>
      </c>
      <c r="E31" s="349">
        <v>166.4</v>
      </c>
      <c r="F31" s="349">
        <v>166.4</v>
      </c>
      <c r="G31" s="349">
        <v>166.4</v>
      </c>
      <c r="H31" s="349">
        <v>166.4</v>
      </c>
      <c r="I31" s="349">
        <v>166.4</v>
      </c>
      <c r="J31" s="349">
        <v>166.4</v>
      </c>
      <c r="K31" s="349">
        <v>166.9</v>
      </c>
      <c r="L31" s="349">
        <v>166.9</v>
      </c>
      <c r="M31" s="349">
        <v>166.9</v>
      </c>
      <c r="N31" s="349">
        <v>166.9</v>
      </c>
      <c r="O31" s="349"/>
      <c r="P31" s="340">
        <f t="shared" si="12"/>
        <v>169.6666666666667</v>
      </c>
      <c r="Q31" s="54"/>
      <c r="R31" s="352">
        <f t="shared" si="17"/>
        <v>-13.558441558441558</v>
      </c>
      <c r="S31" s="54"/>
      <c r="T31" s="54"/>
      <c r="U31" s="349">
        <f t="shared" si="13"/>
        <v>178.79999999999998</v>
      </c>
      <c r="V31" s="349">
        <f t="shared" si="14"/>
        <v>166.4</v>
      </c>
      <c r="W31" s="349">
        <f t="shared" si="15"/>
        <v>166.5666666666667</v>
      </c>
      <c r="X31" s="349">
        <f t="shared" si="16"/>
        <v>166.9</v>
      </c>
    </row>
    <row r="32" spans="1:24" ht="9.75" customHeight="1">
      <c r="A32" s="58"/>
      <c r="B32" s="52" t="s">
        <v>273</v>
      </c>
      <c r="C32" s="349">
        <v>184</v>
      </c>
      <c r="D32" s="349">
        <v>193.8</v>
      </c>
      <c r="E32" s="349">
        <v>193.8</v>
      </c>
      <c r="F32" s="349">
        <v>193.8</v>
      </c>
      <c r="G32" s="349">
        <v>193.8</v>
      </c>
      <c r="H32" s="349">
        <v>193.8</v>
      </c>
      <c r="I32" s="349">
        <v>193.8</v>
      </c>
      <c r="J32" s="349">
        <v>182.8</v>
      </c>
      <c r="K32" s="349">
        <v>182.8</v>
      </c>
      <c r="L32" s="349">
        <v>182.8</v>
      </c>
      <c r="M32" s="349">
        <v>182.8</v>
      </c>
      <c r="N32" s="349">
        <v>182.8</v>
      </c>
      <c r="O32" s="349"/>
      <c r="P32" s="340">
        <f t="shared" si="12"/>
        <v>188.4</v>
      </c>
      <c r="Q32" s="54"/>
      <c r="R32" s="352">
        <f t="shared" si="17"/>
        <v>16.466346153846168</v>
      </c>
      <c r="S32" s="54"/>
      <c r="T32" s="54"/>
      <c r="U32" s="349">
        <f t="shared" si="13"/>
        <v>190.53333333333333</v>
      </c>
      <c r="V32" s="349">
        <f t="shared" si="14"/>
        <v>193.80000000000004</v>
      </c>
      <c r="W32" s="349">
        <f t="shared" si="15"/>
        <v>186.4666666666667</v>
      </c>
      <c r="X32" s="349">
        <f t="shared" si="16"/>
        <v>182.80000000000004</v>
      </c>
    </row>
    <row r="33" spans="1:24" ht="9.75" customHeight="1">
      <c r="A33" s="58"/>
      <c r="B33" s="365" t="s">
        <v>286</v>
      </c>
      <c r="C33" s="366">
        <v>184.6</v>
      </c>
      <c r="D33" s="366">
        <v>173</v>
      </c>
      <c r="E33" s="366">
        <v>173</v>
      </c>
      <c r="F33" s="366">
        <v>177.9</v>
      </c>
      <c r="G33" s="366">
        <v>177.9</v>
      </c>
      <c r="H33" s="366">
        <v>177.9</v>
      </c>
      <c r="I33" s="366">
        <v>177.9</v>
      </c>
      <c r="J33" s="366">
        <v>192.6</v>
      </c>
      <c r="K33" s="366">
        <v>192.6</v>
      </c>
      <c r="L33" s="366">
        <v>192.6</v>
      </c>
      <c r="M33" s="366">
        <v>192.6</v>
      </c>
      <c r="N33" s="366">
        <v>198.1</v>
      </c>
      <c r="O33" s="366"/>
      <c r="P33" s="367">
        <f t="shared" si="12"/>
        <v>184.225</v>
      </c>
      <c r="Q33" s="444"/>
      <c r="R33" s="352">
        <f t="shared" si="17"/>
        <v>-8.204334365325083</v>
      </c>
      <c r="S33" s="54"/>
      <c r="T33" s="54"/>
      <c r="U33" s="349">
        <f t="shared" si="13"/>
        <v>176.86666666666667</v>
      </c>
      <c r="V33" s="349">
        <f t="shared" si="14"/>
        <v>177.9</v>
      </c>
      <c r="W33" s="349">
        <f t="shared" si="15"/>
        <v>187.70000000000002</v>
      </c>
      <c r="X33" s="349">
        <f t="shared" si="16"/>
        <v>194.4333333333333</v>
      </c>
    </row>
    <row r="34" spans="1:24" ht="9.75" customHeight="1">
      <c r="A34" s="58"/>
      <c r="B34" s="365" t="s">
        <v>320</v>
      </c>
      <c r="C34" s="366">
        <v>198.1</v>
      </c>
      <c r="D34" s="366">
        <v>197.6</v>
      </c>
      <c r="E34" s="366">
        <v>219.5</v>
      </c>
      <c r="F34" s="366">
        <v>219.5</v>
      </c>
      <c r="G34" s="366">
        <v>240.3</v>
      </c>
      <c r="H34" s="366">
        <v>240.9</v>
      </c>
      <c r="I34" s="366">
        <v>273.7</v>
      </c>
      <c r="J34" s="366">
        <v>284.7</v>
      </c>
      <c r="K34" s="366">
        <v>284.7</v>
      </c>
      <c r="L34" s="366">
        <v>284.7</v>
      </c>
      <c r="M34" s="366">
        <v>306.6</v>
      </c>
      <c r="N34" s="366">
        <v>306.6</v>
      </c>
      <c r="O34" s="366"/>
      <c r="P34" s="367">
        <f t="shared" si="12"/>
        <v>254.74166666666665</v>
      </c>
      <c r="Q34" s="444"/>
      <c r="R34" s="352">
        <f t="shared" si="17"/>
        <v>35.075885328836435</v>
      </c>
      <c r="S34" s="54"/>
      <c r="T34" s="54"/>
      <c r="U34" s="349">
        <f t="shared" si="13"/>
        <v>205.0666666666667</v>
      </c>
      <c r="V34" s="349">
        <f t="shared" si="14"/>
        <v>233.5666666666667</v>
      </c>
      <c r="W34" s="349">
        <f t="shared" si="15"/>
        <v>281.0333333333333</v>
      </c>
      <c r="X34" s="349">
        <f t="shared" si="16"/>
        <v>299.3</v>
      </c>
    </row>
    <row r="35" spans="1:24" ht="9.75" customHeight="1">
      <c r="A35" s="58"/>
      <c r="B35" s="214" t="s">
        <v>325</v>
      </c>
      <c r="C35" s="350">
        <v>350.4</v>
      </c>
      <c r="D35" s="350">
        <v>350.4</v>
      </c>
      <c r="E35" s="350">
        <v>348.9</v>
      </c>
      <c r="F35" s="350">
        <v>348.9</v>
      </c>
      <c r="G35" s="350">
        <v>348.9</v>
      </c>
      <c r="H35" s="350">
        <v>351.2</v>
      </c>
      <c r="I35" s="350">
        <v>384.1</v>
      </c>
      <c r="J35" s="350">
        <v>417.1</v>
      </c>
      <c r="K35" s="350">
        <v>439</v>
      </c>
      <c r="L35" s="350">
        <v>439</v>
      </c>
      <c r="M35" s="350">
        <v>439</v>
      </c>
      <c r="N35" s="350">
        <v>461</v>
      </c>
      <c r="O35" s="350"/>
      <c r="P35" s="351">
        <f t="shared" si="12"/>
        <v>389.825</v>
      </c>
      <c r="Q35" s="219"/>
      <c r="R35" s="352">
        <f t="shared" si="17"/>
        <v>45.19350811485641</v>
      </c>
      <c r="S35" s="54"/>
      <c r="T35" s="54"/>
      <c r="U35" s="349">
        <f aca="true" t="shared" si="18" ref="U35:U46">AVERAGE(C35:E35)</f>
        <v>349.8999999999999</v>
      </c>
      <c r="V35" s="349">
        <f t="shared" si="14"/>
        <v>349.6666666666667</v>
      </c>
      <c r="W35" s="349">
        <f t="shared" si="15"/>
        <v>413.40000000000003</v>
      </c>
      <c r="X35" s="349">
        <f t="shared" si="16"/>
        <v>446.3333333333333</v>
      </c>
    </row>
    <row r="36" spans="1:24" ht="9.75" customHeight="1">
      <c r="A36" s="58"/>
      <c r="B36" s="214" t="s">
        <v>513</v>
      </c>
      <c r="C36" s="350">
        <v>461</v>
      </c>
      <c r="D36" s="350">
        <v>450</v>
      </c>
      <c r="E36" s="398" t="s">
        <v>128</v>
      </c>
      <c r="F36" s="398" t="s">
        <v>128</v>
      </c>
      <c r="G36" s="398" t="s">
        <v>128</v>
      </c>
      <c r="H36" s="398"/>
      <c r="I36" s="350"/>
      <c r="J36" s="350"/>
      <c r="K36" s="350"/>
      <c r="L36" s="350"/>
      <c r="M36" s="350"/>
      <c r="N36" s="350"/>
      <c r="O36" s="350"/>
      <c r="P36" s="351"/>
      <c r="Q36" s="219"/>
      <c r="R36" s="118" t="s">
        <v>72</v>
      </c>
      <c r="S36" s="54"/>
      <c r="T36" s="54"/>
      <c r="U36" s="349">
        <f t="shared" si="18"/>
        <v>455.5</v>
      </c>
      <c r="V36" s="401" t="s">
        <v>427</v>
      </c>
      <c r="W36" s="349"/>
      <c r="X36" s="349"/>
    </row>
    <row r="37" spans="1:20" ht="3.75" customHeight="1">
      <c r="A37" s="58"/>
      <c r="B37" s="58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0"/>
      <c r="Q37" s="54"/>
      <c r="R37" s="340"/>
      <c r="S37" s="54"/>
      <c r="T37" s="54"/>
    </row>
    <row r="38" spans="1:24" ht="9.75" customHeight="1">
      <c r="A38" s="52" t="s">
        <v>292</v>
      </c>
      <c r="B38" s="52" t="s">
        <v>112</v>
      </c>
      <c r="C38" s="349">
        <v>109.7</v>
      </c>
      <c r="D38" s="349">
        <v>102.9</v>
      </c>
      <c r="E38" s="349">
        <v>109.7</v>
      </c>
      <c r="F38" s="349">
        <v>109.6</v>
      </c>
      <c r="G38" s="349">
        <v>109.6</v>
      </c>
      <c r="H38" s="349">
        <v>106.3</v>
      </c>
      <c r="I38" s="349">
        <v>106.3</v>
      </c>
      <c r="J38" s="349">
        <v>109.6</v>
      </c>
      <c r="K38" s="349">
        <v>113</v>
      </c>
      <c r="L38" s="349">
        <v>113.5</v>
      </c>
      <c r="M38" s="349">
        <v>116.9</v>
      </c>
      <c r="N38" s="349">
        <v>117.3</v>
      </c>
      <c r="O38" s="349"/>
      <c r="P38" s="340">
        <f aca="true" t="shared" si="19" ref="P38:P44">AVERAGE(C38:N38)</f>
        <v>110.36666666666666</v>
      </c>
      <c r="Q38" s="54"/>
      <c r="R38" s="353" t="s">
        <v>72</v>
      </c>
      <c r="S38" s="54"/>
      <c r="T38" s="54"/>
      <c r="U38" s="349">
        <f t="shared" si="18"/>
        <v>107.43333333333334</v>
      </c>
      <c r="V38" s="349">
        <f aca="true" t="shared" si="20" ref="V38:V46">AVERAGE(F38:H38)</f>
        <v>108.5</v>
      </c>
      <c r="W38" s="349">
        <f aca="true" t="shared" si="21" ref="W38:W44">AVERAGE(I38:K38)</f>
        <v>109.63333333333333</v>
      </c>
      <c r="X38" s="349">
        <f aca="true" t="shared" si="22" ref="X38:X44">AVERAGE(L38:N38)</f>
        <v>115.89999999999999</v>
      </c>
    </row>
    <row r="39" spans="1:24" ht="9.75" customHeight="1">
      <c r="A39" s="58"/>
      <c r="B39" s="52" t="s">
        <v>179</v>
      </c>
      <c r="C39" s="349">
        <v>132.8</v>
      </c>
      <c r="D39" s="349">
        <v>194.4</v>
      </c>
      <c r="E39" s="349">
        <v>222.4</v>
      </c>
      <c r="F39" s="349">
        <v>226.5</v>
      </c>
      <c r="G39" s="349">
        <v>235.1</v>
      </c>
      <c r="H39" s="349">
        <v>244.1</v>
      </c>
      <c r="I39" s="349">
        <v>244</v>
      </c>
      <c r="J39" s="349">
        <v>247.5</v>
      </c>
      <c r="K39" s="349">
        <v>245.7</v>
      </c>
      <c r="L39" s="349">
        <v>244</v>
      </c>
      <c r="M39" s="349">
        <v>244</v>
      </c>
      <c r="N39" s="349">
        <v>233.4</v>
      </c>
      <c r="O39" s="349"/>
      <c r="P39" s="340">
        <f t="shared" si="19"/>
        <v>226.15833333333333</v>
      </c>
      <c r="Q39" s="54"/>
      <c r="R39" s="352">
        <f aca="true" t="shared" si="23" ref="R39:R45">(G39/G38-1)*100</f>
        <v>114.50729927007299</v>
      </c>
      <c r="S39" s="54"/>
      <c r="T39" s="54"/>
      <c r="U39" s="349">
        <f t="shared" si="18"/>
        <v>183.20000000000002</v>
      </c>
      <c r="V39" s="349">
        <f t="shared" si="20"/>
        <v>235.23333333333335</v>
      </c>
      <c r="W39" s="349">
        <f t="shared" si="21"/>
        <v>245.73333333333335</v>
      </c>
      <c r="X39" s="349">
        <f t="shared" si="22"/>
        <v>240.46666666666667</v>
      </c>
    </row>
    <row r="40" spans="1:24" ht="9.75" customHeight="1">
      <c r="A40" s="58"/>
      <c r="B40" s="52" t="s">
        <v>232</v>
      </c>
      <c r="C40" s="353" t="s">
        <v>72</v>
      </c>
      <c r="D40" s="349">
        <v>204.8</v>
      </c>
      <c r="E40" s="349">
        <v>201.4</v>
      </c>
      <c r="F40" s="349">
        <v>201.6</v>
      </c>
      <c r="G40" s="349">
        <v>201.6</v>
      </c>
      <c r="H40" s="349">
        <v>201.6</v>
      </c>
      <c r="I40" s="349">
        <v>201.6</v>
      </c>
      <c r="J40" s="349">
        <v>201.6</v>
      </c>
      <c r="K40" s="349">
        <v>201.6</v>
      </c>
      <c r="L40" s="349">
        <v>201.6</v>
      </c>
      <c r="M40" s="349">
        <v>201.6</v>
      </c>
      <c r="N40" s="349">
        <v>201.6</v>
      </c>
      <c r="O40" s="349"/>
      <c r="P40" s="340">
        <f t="shared" si="19"/>
        <v>201.87272727272727</v>
      </c>
      <c r="Q40" s="54"/>
      <c r="R40" s="352">
        <f t="shared" si="23"/>
        <v>-14.249255635899615</v>
      </c>
      <c r="S40" s="54"/>
      <c r="T40" s="54"/>
      <c r="U40" s="349">
        <f t="shared" si="18"/>
        <v>203.10000000000002</v>
      </c>
      <c r="V40" s="349">
        <f t="shared" si="20"/>
        <v>201.6</v>
      </c>
      <c r="W40" s="349">
        <f t="shared" si="21"/>
        <v>201.6</v>
      </c>
      <c r="X40" s="349">
        <f t="shared" si="22"/>
        <v>201.6</v>
      </c>
    </row>
    <row r="41" spans="1:24" ht="9.75" customHeight="1">
      <c r="A41" s="58"/>
      <c r="B41" s="52" t="s">
        <v>243</v>
      </c>
      <c r="C41" s="349">
        <v>207</v>
      </c>
      <c r="D41" s="349">
        <v>171.7</v>
      </c>
      <c r="E41" s="349">
        <v>201.8</v>
      </c>
      <c r="F41" s="349">
        <v>201.8</v>
      </c>
      <c r="G41" s="349">
        <v>201.8</v>
      </c>
      <c r="H41" s="349">
        <v>201.6</v>
      </c>
      <c r="I41" s="349">
        <v>206.7</v>
      </c>
      <c r="J41" s="349">
        <v>206.7</v>
      </c>
      <c r="K41" s="349">
        <v>206.7</v>
      </c>
      <c r="L41" s="349">
        <v>206.7</v>
      </c>
      <c r="M41" s="349">
        <v>206.7</v>
      </c>
      <c r="N41" s="349">
        <v>206.7</v>
      </c>
      <c r="O41" s="349"/>
      <c r="P41" s="340">
        <f t="shared" si="19"/>
        <v>202.1583333333333</v>
      </c>
      <c r="Q41" s="54"/>
      <c r="R41" s="352">
        <f t="shared" si="23"/>
        <v>0.09920634920634885</v>
      </c>
      <c r="S41" s="54"/>
      <c r="T41" s="54"/>
      <c r="U41" s="349">
        <f t="shared" si="18"/>
        <v>193.5</v>
      </c>
      <c r="V41" s="349">
        <f t="shared" si="20"/>
        <v>201.73333333333335</v>
      </c>
      <c r="W41" s="349">
        <f t="shared" si="21"/>
        <v>206.69999999999996</v>
      </c>
      <c r="X41" s="349">
        <f t="shared" si="22"/>
        <v>206.69999999999996</v>
      </c>
    </row>
    <row r="42" spans="1:24" ht="9.75" customHeight="1">
      <c r="A42" s="58"/>
      <c r="B42" s="52" t="s">
        <v>273</v>
      </c>
      <c r="C42" s="349">
        <v>231.8</v>
      </c>
      <c r="D42" s="349">
        <v>231.8</v>
      </c>
      <c r="E42" s="349">
        <v>236.9</v>
      </c>
      <c r="F42" s="349">
        <v>231.8</v>
      </c>
      <c r="G42" s="349">
        <v>231.8</v>
      </c>
      <c r="H42" s="349">
        <v>229.2</v>
      </c>
      <c r="I42" s="349">
        <v>235</v>
      </c>
      <c r="J42" s="349">
        <v>230.5</v>
      </c>
      <c r="K42" s="349">
        <v>230.5</v>
      </c>
      <c r="L42" s="349">
        <v>224.7</v>
      </c>
      <c r="M42" s="349">
        <v>225.3</v>
      </c>
      <c r="N42" s="349">
        <v>230.5</v>
      </c>
      <c r="O42" s="349"/>
      <c r="P42" s="340">
        <f t="shared" si="19"/>
        <v>230.8166666666667</v>
      </c>
      <c r="Q42" s="54"/>
      <c r="R42" s="352">
        <f t="shared" si="23"/>
        <v>14.866204162537166</v>
      </c>
      <c r="S42" s="54"/>
      <c r="T42" s="54"/>
      <c r="U42" s="349">
        <f t="shared" si="18"/>
        <v>233.5</v>
      </c>
      <c r="V42" s="349">
        <f t="shared" si="20"/>
        <v>230.9333333333333</v>
      </c>
      <c r="W42" s="349">
        <f t="shared" si="21"/>
        <v>232</v>
      </c>
      <c r="X42" s="349">
        <f t="shared" si="22"/>
        <v>226.83333333333334</v>
      </c>
    </row>
    <row r="43" spans="1:24" ht="9.75" customHeight="1">
      <c r="A43" s="58"/>
      <c r="B43" s="365" t="s">
        <v>286</v>
      </c>
      <c r="C43" s="366">
        <v>210.5</v>
      </c>
      <c r="D43" s="366">
        <v>201.5</v>
      </c>
      <c r="E43" s="366">
        <v>206</v>
      </c>
      <c r="F43" s="366">
        <v>197</v>
      </c>
      <c r="G43" s="366">
        <v>197</v>
      </c>
      <c r="H43" s="366">
        <v>197</v>
      </c>
      <c r="I43" s="366">
        <v>197</v>
      </c>
      <c r="J43" s="366">
        <v>197</v>
      </c>
      <c r="K43" s="366">
        <v>197</v>
      </c>
      <c r="L43" s="366">
        <v>197</v>
      </c>
      <c r="M43" s="366">
        <v>197</v>
      </c>
      <c r="N43" s="366">
        <v>192</v>
      </c>
      <c r="O43" s="366"/>
      <c r="P43" s="367">
        <f t="shared" si="19"/>
        <v>198.83333333333334</v>
      </c>
      <c r="Q43" s="54"/>
      <c r="R43" s="352">
        <f t="shared" si="23"/>
        <v>-15.012942191544443</v>
      </c>
      <c r="S43" s="54"/>
      <c r="T43" s="54"/>
      <c r="U43" s="349">
        <f t="shared" si="18"/>
        <v>206</v>
      </c>
      <c r="V43" s="349">
        <f t="shared" si="20"/>
        <v>197</v>
      </c>
      <c r="W43" s="349">
        <f t="shared" si="21"/>
        <v>197</v>
      </c>
      <c r="X43" s="349">
        <f t="shared" si="22"/>
        <v>195.33333333333334</v>
      </c>
    </row>
    <row r="44" spans="1:24" ht="9.75" customHeight="1">
      <c r="A44" s="58"/>
      <c r="B44" s="365" t="s">
        <v>320</v>
      </c>
      <c r="C44" s="366">
        <v>201.5</v>
      </c>
      <c r="D44" s="366">
        <v>211.1</v>
      </c>
      <c r="E44" s="366">
        <v>211.1</v>
      </c>
      <c r="F44" s="366">
        <v>211.1</v>
      </c>
      <c r="G44" s="366">
        <v>211.8</v>
      </c>
      <c r="H44" s="366">
        <v>218.2</v>
      </c>
      <c r="I44" s="366">
        <v>218.2</v>
      </c>
      <c r="J44" s="366">
        <v>227.2</v>
      </c>
      <c r="K44" s="366">
        <v>227.2</v>
      </c>
      <c r="L44" s="366">
        <v>227.2</v>
      </c>
      <c r="M44" s="366">
        <v>227.2</v>
      </c>
      <c r="N44" s="366">
        <v>227.2</v>
      </c>
      <c r="O44" s="366"/>
      <c r="P44" s="367">
        <f t="shared" si="19"/>
        <v>218.25</v>
      </c>
      <c r="Q44" s="219"/>
      <c r="R44" s="352">
        <f t="shared" si="23"/>
        <v>7.512690355329954</v>
      </c>
      <c r="S44" s="54"/>
      <c r="T44" s="54"/>
      <c r="U44" s="349">
        <f t="shared" si="18"/>
        <v>207.9</v>
      </c>
      <c r="V44" s="349">
        <f t="shared" si="20"/>
        <v>213.69999999999996</v>
      </c>
      <c r="W44" s="349">
        <f t="shared" si="21"/>
        <v>224.19999999999996</v>
      </c>
      <c r="X44" s="349">
        <f t="shared" si="22"/>
        <v>227.19999999999996</v>
      </c>
    </row>
    <row r="45" spans="1:24" ht="9.75" customHeight="1">
      <c r="A45" s="58"/>
      <c r="B45" s="214" t="s">
        <v>325</v>
      </c>
      <c r="C45" s="350">
        <v>257.5</v>
      </c>
      <c r="D45" s="350">
        <v>268.3</v>
      </c>
      <c r="E45" s="350">
        <v>268.3</v>
      </c>
      <c r="F45" s="350">
        <v>268.3</v>
      </c>
      <c r="G45" s="350">
        <v>268.3</v>
      </c>
      <c r="H45" s="350">
        <v>301</v>
      </c>
      <c r="I45" s="350">
        <v>311.9</v>
      </c>
      <c r="J45" s="350">
        <v>322</v>
      </c>
      <c r="K45" s="398" t="s">
        <v>128</v>
      </c>
      <c r="L45" s="398" t="s">
        <v>128</v>
      </c>
      <c r="M45" s="398" t="s">
        <v>128</v>
      </c>
      <c r="N45" s="398" t="s">
        <v>128</v>
      </c>
      <c r="O45" s="350"/>
      <c r="P45" s="351"/>
      <c r="Q45" s="219"/>
      <c r="R45" s="352">
        <f t="shared" si="23"/>
        <v>26.676109537299332</v>
      </c>
      <c r="S45" s="54"/>
      <c r="T45" s="54"/>
      <c r="U45" s="349">
        <f t="shared" si="18"/>
        <v>264.7</v>
      </c>
      <c r="V45" s="349">
        <f t="shared" si="20"/>
        <v>279.2</v>
      </c>
      <c r="W45" s="349">
        <f aca="true" t="shared" si="24" ref="W45:W55">AVERAGE(I45:K45)</f>
        <v>316.95</v>
      </c>
      <c r="X45" s="401" t="s">
        <v>427</v>
      </c>
    </row>
    <row r="46" spans="1:24" ht="9.75" customHeight="1">
      <c r="A46" s="58"/>
      <c r="B46" s="214" t="s">
        <v>513</v>
      </c>
      <c r="C46" s="398">
        <v>377.3</v>
      </c>
      <c r="D46" s="350">
        <v>377.3</v>
      </c>
      <c r="E46" s="350">
        <v>377.3</v>
      </c>
      <c r="F46" s="350">
        <v>377.3</v>
      </c>
      <c r="G46" s="398" t="s">
        <v>128</v>
      </c>
      <c r="H46" s="350"/>
      <c r="I46" s="350"/>
      <c r="J46" s="350"/>
      <c r="K46" s="398"/>
      <c r="L46" s="398"/>
      <c r="M46" s="398"/>
      <c r="N46" s="350"/>
      <c r="O46" s="350"/>
      <c r="P46" s="351"/>
      <c r="Q46" s="219"/>
      <c r="R46" s="118" t="s">
        <v>72</v>
      </c>
      <c r="S46" s="54"/>
      <c r="T46" s="54"/>
      <c r="U46" s="349">
        <f t="shared" si="18"/>
        <v>377.3</v>
      </c>
      <c r="V46" s="349">
        <f t="shared" si="20"/>
        <v>377.3</v>
      </c>
      <c r="W46" s="349"/>
      <c r="X46" s="401"/>
    </row>
    <row r="47" spans="1:20" ht="3.75" customHeight="1">
      <c r="A47" s="58"/>
      <c r="B47" s="58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0"/>
      <c r="Q47" s="54"/>
      <c r="R47" s="54"/>
      <c r="S47" s="54"/>
      <c r="T47" s="54"/>
    </row>
    <row r="48" spans="1:24" ht="9.75" customHeight="1">
      <c r="A48" s="52" t="s">
        <v>293</v>
      </c>
      <c r="B48" s="52" t="s">
        <v>112</v>
      </c>
      <c r="C48" s="349">
        <v>122.3</v>
      </c>
      <c r="D48" s="349">
        <v>122.3</v>
      </c>
      <c r="E48" s="349">
        <v>122.3</v>
      </c>
      <c r="F48" s="349">
        <v>122.3</v>
      </c>
      <c r="G48" s="349">
        <v>123.4</v>
      </c>
      <c r="H48" s="349">
        <v>123.4</v>
      </c>
      <c r="I48" s="349">
        <v>123.1</v>
      </c>
      <c r="J48" s="349">
        <v>122.1</v>
      </c>
      <c r="K48" s="349">
        <v>122.9</v>
      </c>
      <c r="L48" s="349">
        <v>122.9</v>
      </c>
      <c r="M48" s="349">
        <v>122.9</v>
      </c>
      <c r="N48" s="349">
        <v>122.9</v>
      </c>
      <c r="O48" s="349"/>
      <c r="P48" s="340">
        <f aca="true" t="shared" si="25" ref="P48:P55">AVERAGE(C48:N48)</f>
        <v>122.73333333333336</v>
      </c>
      <c r="Q48" s="54"/>
      <c r="R48" s="118" t="s">
        <v>72</v>
      </c>
      <c r="S48" s="54"/>
      <c r="T48" s="54"/>
      <c r="U48" s="349">
        <f aca="true" t="shared" si="26" ref="U48:U56">AVERAGE(C48:E48)</f>
        <v>122.3</v>
      </c>
      <c r="V48" s="349">
        <f aca="true" t="shared" si="27" ref="V48:V56">AVERAGE(F48:H48)</f>
        <v>123.03333333333335</v>
      </c>
      <c r="W48" s="349">
        <f t="shared" si="24"/>
        <v>122.7</v>
      </c>
      <c r="X48" s="349">
        <f aca="true" t="shared" si="28" ref="X48:X55">AVERAGE(L48:N48)</f>
        <v>122.90000000000002</v>
      </c>
    </row>
    <row r="49" spans="1:24" ht="9.75" customHeight="1">
      <c r="A49" s="58"/>
      <c r="B49" s="52" t="s">
        <v>179</v>
      </c>
      <c r="C49" s="349">
        <v>122</v>
      </c>
      <c r="D49" s="349">
        <v>122</v>
      </c>
      <c r="E49" s="349">
        <v>122.4</v>
      </c>
      <c r="F49" s="349">
        <v>123.6</v>
      </c>
      <c r="G49" s="349">
        <v>123.6</v>
      </c>
      <c r="H49" s="349">
        <v>123.6</v>
      </c>
      <c r="I49" s="349">
        <v>123.3</v>
      </c>
      <c r="J49" s="349">
        <v>122.8</v>
      </c>
      <c r="K49" s="349">
        <v>122.8</v>
      </c>
      <c r="L49" s="349">
        <v>122.7</v>
      </c>
      <c r="M49" s="349">
        <v>123.5</v>
      </c>
      <c r="N49" s="349">
        <v>123.5</v>
      </c>
      <c r="O49" s="349"/>
      <c r="P49" s="340">
        <f t="shared" si="25"/>
        <v>122.98333333333333</v>
      </c>
      <c r="Q49" s="54"/>
      <c r="R49" s="352">
        <f aca="true" t="shared" si="29" ref="R49:R56">(G49/G48-1)*100</f>
        <v>0.16207455429497752</v>
      </c>
      <c r="S49" s="54"/>
      <c r="T49" s="54"/>
      <c r="U49" s="349">
        <f t="shared" si="26"/>
        <v>122.13333333333333</v>
      </c>
      <c r="V49" s="349">
        <f t="shared" si="27"/>
        <v>123.59999999999998</v>
      </c>
      <c r="W49" s="349">
        <f t="shared" si="24"/>
        <v>122.96666666666665</v>
      </c>
      <c r="X49" s="349">
        <f t="shared" si="28"/>
        <v>123.23333333333333</v>
      </c>
    </row>
    <row r="50" spans="1:24" ht="9.75" customHeight="1">
      <c r="A50" s="58"/>
      <c r="B50" s="52" t="s">
        <v>232</v>
      </c>
      <c r="C50" s="349">
        <v>122.8</v>
      </c>
      <c r="D50" s="349">
        <v>123.4</v>
      </c>
      <c r="E50" s="349">
        <v>123.5</v>
      </c>
      <c r="F50" s="349">
        <v>123.5</v>
      </c>
      <c r="G50" s="349">
        <v>123.5</v>
      </c>
      <c r="H50" s="349">
        <v>123.5</v>
      </c>
      <c r="I50" s="349">
        <v>123.5</v>
      </c>
      <c r="J50" s="349">
        <v>123.5</v>
      </c>
      <c r="K50" s="349">
        <v>123.5</v>
      </c>
      <c r="L50" s="349">
        <v>123.5</v>
      </c>
      <c r="M50" s="349">
        <v>123.5</v>
      </c>
      <c r="N50" s="349">
        <v>123.2</v>
      </c>
      <c r="O50" s="349"/>
      <c r="P50" s="340">
        <f t="shared" si="25"/>
        <v>123.40833333333335</v>
      </c>
      <c r="Q50" s="54"/>
      <c r="R50" s="352">
        <f t="shared" si="29"/>
        <v>-0.08090614886731018</v>
      </c>
      <c r="S50" s="54"/>
      <c r="T50" s="54"/>
      <c r="U50" s="349">
        <f t="shared" si="26"/>
        <v>123.23333333333333</v>
      </c>
      <c r="V50" s="349">
        <f t="shared" si="27"/>
        <v>123.5</v>
      </c>
      <c r="W50" s="349">
        <f t="shared" si="24"/>
        <v>123.5</v>
      </c>
      <c r="X50" s="349">
        <f t="shared" si="28"/>
        <v>123.39999999999999</v>
      </c>
    </row>
    <row r="51" spans="1:24" ht="9.75" customHeight="1">
      <c r="A51" s="58"/>
      <c r="B51" s="52" t="s">
        <v>243</v>
      </c>
      <c r="C51" s="349">
        <v>123.2</v>
      </c>
      <c r="D51" s="349">
        <v>123.6</v>
      </c>
      <c r="E51" s="349">
        <v>124</v>
      </c>
      <c r="F51" s="349">
        <v>124.9</v>
      </c>
      <c r="G51" s="349">
        <v>123.7</v>
      </c>
      <c r="H51" s="349">
        <v>124</v>
      </c>
      <c r="I51" s="349">
        <v>124</v>
      </c>
      <c r="J51" s="349">
        <v>124</v>
      </c>
      <c r="K51" s="349">
        <v>123.8</v>
      </c>
      <c r="L51" s="349">
        <v>124.1</v>
      </c>
      <c r="M51" s="349">
        <v>124.1</v>
      </c>
      <c r="N51" s="349">
        <v>124.1</v>
      </c>
      <c r="O51" s="349"/>
      <c r="P51" s="340">
        <f t="shared" si="25"/>
        <v>123.95833333333331</v>
      </c>
      <c r="Q51" s="54"/>
      <c r="R51" s="352">
        <f t="shared" si="29"/>
        <v>0.16194331983805377</v>
      </c>
      <c r="S51" s="54"/>
      <c r="T51" s="54"/>
      <c r="U51" s="349">
        <f t="shared" si="26"/>
        <v>123.60000000000001</v>
      </c>
      <c r="V51" s="349">
        <f t="shared" si="27"/>
        <v>124.2</v>
      </c>
      <c r="W51" s="349">
        <f t="shared" si="24"/>
        <v>123.93333333333334</v>
      </c>
      <c r="X51" s="349">
        <f t="shared" si="28"/>
        <v>124.09999999999998</v>
      </c>
    </row>
    <row r="52" spans="1:24" ht="9.75" customHeight="1">
      <c r="A52" s="58"/>
      <c r="B52" s="52" t="s">
        <v>273</v>
      </c>
      <c r="C52" s="349">
        <v>124.1</v>
      </c>
      <c r="D52" s="349">
        <v>123.4</v>
      </c>
      <c r="E52" s="349">
        <v>123.8</v>
      </c>
      <c r="F52" s="349">
        <v>123.8</v>
      </c>
      <c r="G52" s="349">
        <v>123.7</v>
      </c>
      <c r="H52" s="349">
        <v>124.2</v>
      </c>
      <c r="I52" s="349">
        <v>131.3</v>
      </c>
      <c r="J52" s="349">
        <v>131.3</v>
      </c>
      <c r="K52" s="349">
        <v>130.8</v>
      </c>
      <c r="L52" s="349">
        <v>129</v>
      </c>
      <c r="M52" s="349">
        <v>131.4</v>
      </c>
      <c r="N52" s="349">
        <v>131.4</v>
      </c>
      <c r="O52" s="349"/>
      <c r="P52" s="340">
        <f t="shared" si="25"/>
        <v>127.35000000000002</v>
      </c>
      <c r="Q52" s="54"/>
      <c r="R52" s="352">
        <f t="shared" si="29"/>
        <v>0</v>
      </c>
      <c r="S52" s="54"/>
      <c r="T52" s="54"/>
      <c r="U52" s="349">
        <f t="shared" si="26"/>
        <v>123.76666666666667</v>
      </c>
      <c r="V52" s="349">
        <f t="shared" si="27"/>
        <v>123.89999999999999</v>
      </c>
      <c r="W52" s="349">
        <f t="shared" si="24"/>
        <v>131.13333333333335</v>
      </c>
      <c r="X52" s="349">
        <f t="shared" si="28"/>
        <v>130.6</v>
      </c>
    </row>
    <row r="53" spans="1:24" ht="9.75" customHeight="1">
      <c r="A53" s="58"/>
      <c r="B53" s="365" t="s">
        <v>286</v>
      </c>
      <c r="C53" s="366">
        <v>126.7</v>
      </c>
      <c r="D53" s="366">
        <v>131</v>
      </c>
      <c r="E53" s="366">
        <v>131.4</v>
      </c>
      <c r="F53" s="366">
        <v>131.1</v>
      </c>
      <c r="G53" s="366">
        <v>131.4</v>
      </c>
      <c r="H53" s="366">
        <v>131.4</v>
      </c>
      <c r="I53" s="366">
        <v>135.5</v>
      </c>
      <c r="J53" s="366">
        <v>136.8</v>
      </c>
      <c r="K53" s="366">
        <v>136.8</v>
      </c>
      <c r="L53" s="366">
        <v>136.8</v>
      </c>
      <c r="M53" s="366">
        <v>134.7</v>
      </c>
      <c r="N53" s="366">
        <v>133.6</v>
      </c>
      <c r="O53" s="366"/>
      <c r="P53" s="367">
        <f t="shared" si="25"/>
        <v>133.1</v>
      </c>
      <c r="Q53" s="444"/>
      <c r="R53" s="352">
        <f t="shared" si="29"/>
        <v>6.224737267582858</v>
      </c>
      <c r="S53" s="54"/>
      <c r="T53" s="54"/>
      <c r="U53" s="349">
        <f t="shared" si="26"/>
        <v>129.70000000000002</v>
      </c>
      <c r="V53" s="349">
        <f t="shared" si="27"/>
        <v>131.29999999999998</v>
      </c>
      <c r="W53" s="349">
        <f t="shared" si="24"/>
        <v>136.36666666666667</v>
      </c>
      <c r="X53" s="349">
        <f t="shared" si="28"/>
        <v>135.03333333333333</v>
      </c>
    </row>
    <row r="54" spans="1:24" ht="9.75" customHeight="1">
      <c r="A54" s="58"/>
      <c r="B54" s="365" t="s">
        <v>320</v>
      </c>
      <c r="C54" s="366">
        <v>136.6</v>
      </c>
      <c r="D54" s="366">
        <v>136.2</v>
      </c>
      <c r="E54" s="366">
        <v>136.6</v>
      </c>
      <c r="F54" s="366">
        <v>136.3</v>
      </c>
      <c r="G54" s="366">
        <v>137</v>
      </c>
      <c r="H54" s="366">
        <v>137</v>
      </c>
      <c r="I54" s="366">
        <v>130.5</v>
      </c>
      <c r="J54" s="366">
        <v>133.8</v>
      </c>
      <c r="K54" s="366">
        <v>134.4</v>
      </c>
      <c r="L54" s="366">
        <v>134.4</v>
      </c>
      <c r="M54" s="366">
        <v>134.4</v>
      </c>
      <c r="N54" s="366">
        <v>129.2</v>
      </c>
      <c r="O54" s="366"/>
      <c r="P54" s="367">
        <f t="shared" si="25"/>
        <v>134.70000000000002</v>
      </c>
      <c r="Q54" s="444"/>
      <c r="R54" s="352">
        <f t="shared" si="29"/>
        <v>4.26179604261796</v>
      </c>
      <c r="S54" s="54"/>
      <c r="T54" s="54"/>
      <c r="U54" s="349">
        <f t="shared" si="26"/>
        <v>136.46666666666667</v>
      </c>
      <c r="V54" s="349">
        <f t="shared" si="27"/>
        <v>136.76666666666668</v>
      </c>
      <c r="W54" s="349">
        <f t="shared" si="24"/>
        <v>132.9</v>
      </c>
      <c r="X54" s="349">
        <f t="shared" si="28"/>
        <v>132.66666666666666</v>
      </c>
    </row>
    <row r="55" spans="1:24" ht="9.75" customHeight="1">
      <c r="A55" s="58"/>
      <c r="B55" s="214" t="s">
        <v>325</v>
      </c>
      <c r="C55" s="350">
        <v>134.2</v>
      </c>
      <c r="D55" s="350">
        <v>132.5</v>
      </c>
      <c r="E55" s="350">
        <v>133.1</v>
      </c>
      <c r="F55" s="350">
        <v>131.9</v>
      </c>
      <c r="G55" s="350">
        <v>131.1</v>
      </c>
      <c r="H55" s="350">
        <v>136.8</v>
      </c>
      <c r="I55" s="350">
        <v>135.3</v>
      </c>
      <c r="J55" s="350">
        <v>133.6</v>
      </c>
      <c r="K55" s="350">
        <v>133.3</v>
      </c>
      <c r="L55" s="350">
        <v>142</v>
      </c>
      <c r="M55" s="350">
        <v>143.1</v>
      </c>
      <c r="N55" s="350">
        <v>141.8</v>
      </c>
      <c r="O55" s="350"/>
      <c r="P55" s="351">
        <f t="shared" si="25"/>
        <v>135.72499999999997</v>
      </c>
      <c r="Q55" s="219"/>
      <c r="R55" s="352">
        <f t="shared" si="29"/>
        <v>-4.306569343065703</v>
      </c>
      <c r="S55" s="54"/>
      <c r="T55" s="54"/>
      <c r="U55" s="349">
        <f t="shared" si="26"/>
        <v>133.26666666666665</v>
      </c>
      <c r="V55" s="349">
        <f t="shared" si="27"/>
        <v>133.26666666666668</v>
      </c>
      <c r="W55" s="349">
        <f t="shared" si="24"/>
        <v>134.06666666666666</v>
      </c>
      <c r="X55" s="349">
        <f t="shared" si="28"/>
        <v>142.3</v>
      </c>
    </row>
    <row r="56" spans="1:24" ht="9.75" customHeight="1">
      <c r="A56" s="58"/>
      <c r="B56" s="214" t="s">
        <v>513</v>
      </c>
      <c r="C56" s="350">
        <v>139</v>
      </c>
      <c r="D56" s="350">
        <v>140.6</v>
      </c>
      <c r="E56" s="350">
        <v>141.9</v>
      </c>
      <c r="F56" s="350">
        <v>146</v>
      </c>
      <c r="G56" s="350">
        <v>144.5</v>
      </c>
      <c r="H56" s="350"/>
      <c r="I56" s="350"/>
      <c r="J56" s="350"/>
      <c r="K56" s="350"/>
      <c r="L56" s="350"/>
      <c r="M56" s="350"/>
      <c r="N56" s="350"/>
      <c r="O56" s="350"/>
      <c r="P56" s="351"/>
      <c r="Q56" s="219"/>
      <c r="R56" s="352">
        <f t="shared" si="29"/>
        <v>10.221205186880255</v>
      </c>
      <c r="S56" s="54"/>
      <c r="T56" s="54"/>
      <c r="U56" s="349">
        <f t="shared" si="26"/>
        <v>140.5</v>
      </c>
      <c r="V56" s="349">
        <f t="shared" si="27"/>
        <v>145.25</v>
      </c>
      <c r="W56" s="349"/>
      <c r="X56" s="349"/>
    </row>
    <row r="57" spans="1:20" ht="3.75" customHeight="1">
      <c r="A57" s="58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4"/>
      <c r="Q57" s="54"/>
      <c r="R57" s="54"/>
      <c r="S57" s="54"/>
      <c r="T57" s="54"/>
    </row>
    <row r="58" spans="1:21" ht="4.5" customHeight="1">
      <c r="A58" s="58"/>
      <c r="B58" s="52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99"/>
      <c r="Q58" s="54"/>
      <c r="R58" s="183"/>
      <c r="S58" s="99"/>
      <c r="T58" s="54"/>
      <c r="U58" s="99"/>
    </row>
    <row r="59" spans="1:24" ht="12.75" customHeight="1">
      <c r="A59" s="153" t="s">
        <v>294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01"/>
      <c r="P59" s="101"/>
      <c r="Q59" s="101"/>
      <c r="R59" s="101"/>
      <c r="S59" s="101"/>
      <c r="T59" s="54"/>
      <c r="U59" s="101"/>
      <c r="V59" s="101"/>
      <c r="W59" s="101"/>
      <c r="X59" s="101"/>
    </row>
    <row r="60" spans="1:20" ht="16.5" customHeight="1">
      <c r="A60" s="63" t="s">
        <v>296</v>
      </c>
      <c r="B60" s="58"/>
      <c r="C60" s="58"/>
      <c r="D60" s="58"/>
      <c r="F60" s="58"/>
      <c r="G60" s="58"/>
      <c r="H60" s="58"/>
      <c r="I60" s="58"/>
      <c r="J60" s="62"/>
      <c r="K60" s="62"/>
      <c r="L60" s="425"/>
      <c r="M60" s="426"/>
      <c r="N60" s="62"/>
      <c r="O60" s="62"/>
      <c r="P60" s="54"/>
      <c r="Q60" s="54"/>
      <c r="R60" s="54"/>
      <c r="S60" s="54"/>
      <c r="T60" s="54"/>
    </row>
    <row r="61" spans="1:20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426"/>
      <c r="N61" s="64"/>
      <c r="O61" s="64"/>
      <c r="P61" s="54"/>
      <c r="Q61" s="54"/>
      <c r="R61" s="54"/>
      <c r="S61" s="54"/>
      <c r="T61" s="54"/>
    </row>
    <row r="62" spans="1:20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N62" s="54"/>
      <c r="O62" s="54"/>
      <c r="P62" s="54"/>
      <c r="Q62" s="54"/>
      <c r="R62" s="54"/>
      <c r="S62" s="54"/>
      <c r="T62" s="54"/>
    </row>
  </sheetData>
  <printOptions horizontalCentered="1"/>
  <pageMargins left="0.417" right="0.417" top="0.25" bottom="0.6" header="0" footer="0.2"/>
  <pageSetup fitToHeight="1" fitToWidth="1" horizontalDpi="600" verticalDpi="600" orientation="portrait" scale="96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X26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1.8515625" style="0" customWidth="1"/>
    <col min="3" max="14" width="6.00390625" style="0" customWidth="1"/>
    <col min="15" max="15" width="1.1484375" style="0" customWidth="1"/>
    <col min="16" max="16" width="6.7109375" style="0" customWidth="1"/>
    <col min="17" max="17" width="1.8515625" style="0" customWidth="1"/>
    <col min="18" max="18" width="5.8515625" style="0" customWidth="1"/>
    <col min="19" max="19" width="2.421875" style="0" customWidth="1"/>
    <col min="20" max="20" width="3.8515625" style="0" customWidth="1"/>
    <col min="21" max="24" width="7.57421875" style="0" customWidth="1"/>
  </cols>
  <sheetData>
    <row r="1" ht="6.75" customHeight="1"/>
    <row r="2" spans="1:18" ht="14.25" customHeight="1">
      <c r="A2" s="168" t="s">
        <v>527</v>
      </c>
      <c r="B2" s="168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4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 t="s">
        <v>244</v>
      </c>
      <c r="Q3" s="207"/>
      <c r="R3" s="207" t="s">
        <v>230</v>
      </c>
      <c r="S3" s="207"/>
      <c r="T3" s="54"/>
      <c r="U3" s="363" t="s">
        <v>306</v>
      </c>
      <c r="V3" s="363"/>
      <c r="W3" s="363"/>
      <c r="X3" s="363"/>
    </row>
    <row r="4" spans="1:24" ht="11.25" customHeight="1">
      <c r="A4" s="209" t="s">
        <v>49</v>
      </c>
      <c r="B4" s="209"/>
      <c r="C4" s="209" t="s">
        <v>50</v>
      </c>
      <c r="D4" s="209" t="s">
        <v>51</v>
      </c>
      <c r="E4" s="209" t="s">
        <v>52</v>
      </c>
      <c r="F4" s="209" t="s">
        <v>53</v>
      </c>
      <c r="G4" s="209" t="s">
        <v>54</v>
      </c>
      <c r="H4" s="209" t="s">
        <v>55</v>
      </c>
      <c r="I4" s="209" t="s">
        <v>56</v>
      </c>
      <c r="J4" s="209" t="s">
        <v>57</v>
      </c>
      <c r="K4" s="209" t="s">
        <v>58</v>
      </c>
      <c r="L4" s="209" t="s">
        <v>59</v>
      </c>
      <c r="M4" s="209" t="s">
        <v>60</v>
      </c>
      <c r="N4" s="209" t="s">
        <v>61</v>
      </c>
      <c r="O4" s="209"/>
      <c r="P4" s="210" t="s">
        <v>245</v>
      </c>
      <c r="Q4" s="208"/>
      <c r="R4" s="224" t="s">
        <v>205</v>
      </c>
      <c r="S4" s="208"/>
      <c r="T4" s="54"/>
      <c r="U4" s="362" t="s">
        <v>307</v>
      </c>
      <c r="V4" s="362" t="s">
        <v>308</v>
      </c>
      <c r="W4" s="364" t="s">
        <v>309</v>
      </c>
      <c r="X4" s="364" t="s">
        <v>310</v>
      </c>
    </row>
    <row r="5" spans="1:24" ht="10.5" customHeight="1">
      <c r="A5" s="212" t="s">
        <v>62</v>
      </c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25"/>
      <c r="Q5" s="225"/>
      <c r="R5" s="213" t="s">
        <v>575</v>
      </c>
      <c r="S5" s="211"/>
      <c r="T5" s="54"/>
      <c r="U5" s="211"/>
      <c r="V5" s="211"/>
      <c r="W5" s="211"/>
      <c r="X5" s="211"/>
    </row>
    <row r="6" spans="3:24" ht="15" customHeight="1">
      <c r="C6" s="174" t="s">
        <v>313</v>
      </c>
      <c r="D6" s="56"/>
      <c r="E6" s="56"/>
      <c r="F6" s="56"/>
      <c r="G6" s="56"/>
      <c r="H6" s="57"/>
      <c r="I6" s="56"/>
      <c r="J6" s="56"/>
      <c r="K6" s="56"/>
      <c r="L6" s="56"/>
      <c r="M6" s="56"/>
      <c r="N6" s="56"/>
      <c r="O6" s="56"/>
      <c r="P6" s="54"/>
      <c r="Q6" s="54"/>
      <c r="R6" s="182" t="s">
        <v>204</v>
      </c>
      <c r="S6" s="54"/>
      <c r="T6" s="54"/>
      <c r="U6" s="174" t="s">
        <v>313</v>
      </c>
      <c r="V6" s="56"/>
      <c r="W6" s="56"/>
      <c r="X6" s="56"/>
    </row>
    <row r="7" spans="1:24" ht="8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4"/>
      <c r="Q7" s="54"/>
      <c r="R7" s="54"/>
      <c r="S7" s="54"/>
      <c r="T7" s="54"/>
      <c r="U7" s="58"/>
      <c r="V7" s="58"/>
      <c r="W7" s="58"/>
      <c r="X7" s="58"/>
    </row>
    <row r="8" spans="1:24" ht="10.5" customHeight="1">
      <c r="A8" s="52" t="s">
        <v>311</v>
      </c>
      <c r="B8" s="58"/>
      <c r="C8" s="349">
        <v>100</v>
      </c>
      <c r="D8" s="349">
        <v>101.1</v>
      </c>
      <c r="E8" s="349">
        <v>100</v>
      </c>
      <c r="F8" s="349">
        <v>100.5</v>
      </c>
      <c r="G8" s="349">
        <v>101.3</v>
      </c>
      <c r="H8" s="349">
        <v>101.8</v>
      </c>
      <c r="I8" s="349">
        <v>102.2</v>
      </c>
      <c r="J8" s="349">
        <v>101.4</v>
      </c>
      <c r="K8" s="349">
        <v>101.7</v>
      </c>
      <c r="L8" s="349">
        <v>102.2</v>
      </c>
      <c r="M8" s="349">
        <v>101.3</v>
      </c>
      <c r="N8" s="349">
        <v>101.2</v>
      </c>
      <c r="O8" s="58"/>
      <c r="P8" s="340">
        <f aca="true" t="shared" si="0" ref="P8:P18">AVERAGE(C8:N8)</f>
        <v>101.22500000000002</v>
      </c>
      <c r="Q8" s="54"/>
      <c r="R8" s="120" t="s">
        <v>72</v>
      </c>
      <c r="S8" s="54"/>
      <c r="T8" s="54"/>
      <c r="U8" s="349">
        <f>AVERAGE(C8:E8)</f>
        <v>100.36666666666667</v>
      </c>
      <c r="V8" s="349">
        <f>AVERAGE(F8:H8)</f>
        <v>101.2</v>
      </c>
      <c r="W8" s="349">
        <f>AVERAGE(I8:K8)</f>
        <v>101.76666666666667</v>
      </c>
      <c r="X8" s="349">
        <f>AVERAGE(L8:N8)</f>
        <v>101.56666666666666</v>
      </c>
    </row>
    <row r="9" spans="1:24" ht="10.5" customHeight="1">
      <c r="A9" s="52" t="s">
        <v>312</v>
      </c>
      <c r="B9" s="58"/>
      <c r="C9" s="349">
        <v>100.1</v>
      </c>
      <c r="D9" s="349">
        <v>100</v>
      </c>
      <c r="E9" s="349">
        <v>100.5</v>
      </c>
      <c r="F9" s="349">
        <v>98.4</v>
      </c>
      <c r="G9" s="349">
        <v>99.9</v>
      </c>
      <c r="H9" s="349">
        <v>99.5</v>
      </c>
      <c r="I9" s="349">
        <v>99.2</v>
      </c>
      <c r="J9" s="349">
        <v>98.3</v>
      </c>
      <c r="K9" s="349">
        <v>97.6</v>
      </c>
      <c r="L9" s="349">
        <v>99.1</v>
      </c>
      <c r="M9" s="349">
        <v>99.4</v>
      </c>
      <c r="N9" s="349">
        <v>99.1</v>
      </c>
      <c r="O9" s="349"/>
      <c r="P9" s="340">
        <f t="shared" si="0"/>
        <v>99.25833333333333</v>
      </c>
      <c r="Q9" s="54"/>
      <c r="R9" s="352">
        <f>(G9/G8-1)*100</f>
        <v>-1.382033563672247</v>
      </c>
      <c r="S9" s="54"/>
      <c r="T9" s="54"/>
      <c r="U9" s="349">
        <f>AVERAGE(C9:E9)</f>
        <v>100.2</v>
      </c>
      <c r="V9" s="349">
        <f>AVERAGE(F9:H9)</f>
        <v>99.26666666666667</v>
      </c>
      <c r="W9" s="349">
        <f>AVERAGE(I9:K9)</f>
        <v>98.36666666666667</v>
      </c>
      <c r="X9" s="349">
        <f>AVERAGE(L9:N9)</f>
        <v>99.2</v>
      </c>
    </row>
    <row r="10" spans="1:24" ht="7.5" customHeight="1">
      <c r="A10" s="52"/>
      <c r="B10" s="58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54"/>
      <c r="Q10" s="54"/>
      <c r="R10" s="54"/>
      <c r="S10" s="54"/>
      <c r="T10" s="54"/>
      <c r="U10" s="58"/>
      <c r="V10" s="58"/>
      <c r="W10" s="58"/>
      <c r="X10" s="58"/>
    </row>
    <row r="11" spans="1:24" ht="11.25" customHeight="1">
      <c r="A11" s="52" t="s">
        <v>112</v>
      </c>
      <c r="B11" s="52"/>
      <c r="C11" s="349">
        <v>100.2</v>
      </c>
      <c r="D11" s="349">
        <v>100.1</v>
      </c>
      <c r="E11" s="349">
        <v>100.4</v>
      </c>
      <c r="F11" s="349">
        <v>99</v>
      </c>
      <c r="G11" s="349">
        <v>99</v>
      </c>
      <c r="H11" s="349">
        <v>99.1</v>
      </c>
      <c r="I11" s="349">
        <v>98.9</v>
      </c>
      <c r="J11" s="349">
        <v>97.7</v>
      </c>
      <c r="K11" s="349">
        <v>99.7</v>
      </c>
      <c r="L11" s="349">
        <v>99.5</v>
      </c>
      <c r="M11" s="349">
        <v>99.6</v>
      </c>
      <c r="N11" s="349">
        <v>99.9</v>
      </c>
      <c r="O11" s="349"/>
      <c r="P11" s="340">
        <f t="shared" si="0"/>
        <v>99.42500000000001</v>
      </c>
      <c r="Q11" s="60"/>
      <c r="R11" s="352">
        <f>(G11/G9-1)*100</f>
        <v>-0.9009009009009028</v>
      </c>
      <c r="S11" s="60"/>
      <c r="T11" s="60"/>
      <c r="U11" s="349">
        <f aca="true" t="shared" si="1" ref="U11:U19">AVERAGE(C11:E11)</f>
        <v>100.23333333333335</v>
      </c>
      <c r="V11" s="349">
        <f aca="true" t="shared" si="2" ref="V11:V19">AVERAGE(F11:H11)</f>
        <v>99.03333333333335</v>
      </c>
      <c r="W11" s="349">
        <f aca="true" t="shared" si="3" ref="W11:W18">AVERAGE(I11:K11)</f>
        <v>98.76666666666667</v>
      </c>
      <c r="X11" s="349">
        <f aca="true" t="shared" si="4" ref="X11:X18">AVERAGE(L11:N11)</f>
        <v>99.66666666666667</v>
      </c>
    </row>
    <row r="12" spans="1:24" ht="11.25" customHeight="1">
      <c r="A12" s="52" t="s">
        <v>179</v>
      </c>
      <c r="B12" s="52"/>
      <c r="C12" s="349">
        <v>99.5</v>
      </c>
      <c r="D12" s="349">
        <v>100</v>
      </c>
      <c r="E12" s="349">
        <v>102</v>
      </c>
      <c r="F12" s="349">
        <v>103.6</v>
      </c>
      <c r="G12" s="349">
        <v>102.1</v>
      </c>
      <c r="H12" s="349">
        <v>105.5</v>
      </c>
      <c r="I12" s="349">
        <v>107.5</v>
      </c>
      <c r="J12" s="349">
        <v>110.1</v>
      </c>
      <c r="K12" s="349">
        <v>111</v>
      </c>
      <c r="L12" s="349">
        <v>112</v>
      </c>
      <c r="M12" s="349">
        <v>110.2</v>
      </c>
      <c r="N12" s="349">
        <v>110.8</v>
      </c>
      <c r="O12" s="349"/>
      <c r="P12" s="340">
        <f t="shared" si="0"/>
        <v>106.19166666666668</v>
      </c>
      <c r="Q12" s="60"/>
      <c r="R12" s="352">
        <f aca="true" t="shared" si="5" ref="R12:R19">(G12/G11-1)*100</f>
        <v>3.131313131313118</v>
      </c>
      <c r="S12" s="60"/>
      <c r="T12" s="60"/>
      <c r="U12" s="349">
        <f t="shared" si="1"/>
        <v>100.5</v>
      </c>
      <c r="V12" s="349">
        <f t="shared" si="2"/>
        <v>103.73333333333333</v>
      </c>
      <c r="W12" s="349">
        <f t="shared" si="3"/>
        <v>109.53333333333335</v>
      </c>
      <c r="X12" s="349">
        <f t="shared" si="4"/>
        <v>111</v>
      </c>
    </row>
    <row r="13" spans="1:24" ht="11.25" customHeight="1">
      <c r="A13" s="52" t="s">
        <v>232</v>
      </c>
      <c r="B13" s="52"/>
      <c r="C13" s="349">
        <v>111.7</v>
      </c>
      <c r="D13" s="349">
        <v>111</v>
      </c>
      <c r="E13" s="349">
        <v>111.3</v>
      </c>
      <c r="F13" s="349">
        <v>110.1</v>
      </c>
      <c r="G13" s="349">
        <v>109.8</v>
      </c>
      <c r="H13" s="349">
        <v>109.1</v>
      </c>
      <c r="I13" s="349">
        <v>108.9</v>
      </c>
      <c r="J13" s="349">
        <v>109.6</v>
      </c>
      <c r="K13" s="349">
        <v>108.3</v>
      </c>
      <c r="L13" s="349">
        <v>109.1</v>
      </c>
      <c r="M13" s="349">
        <v>109.3</v>
      </c>
      <c r="N13" s="349">
        <v>108.9</v>
      </c>
      <c r="O13" s="349"/>
      <c r="P13" s="340">
        <f t="shared" si="0"/>
        <v>109.75833333333333</v>
      </c>
      <c r="Q13" s="60"/>
      <c r="R13" s="352">
        <f t="shared" si="5"/>
        <v>7.5416258570029315</v>
      </c>
      <c r="S13" s="60"/>
      <c r="T13" s="60"/>
      <c r="U13" s="349">
        <f t="shared" si="1"/>
        <v>111.33333333333333</v>
      </c>
      <c r="V13" s="349">
        <f t="shared" si="2"/>
        <v>109.66666666666667</v>
      </c>
      <c r="W13" s="349">
        <f t="shared" si="3"/>
        <v>108.93333333333334</v>
      </c>
      <c r="X13" s="349">
        <f t="shared" si="4"/>
        <v>109.09999999999998</v>
      </c>
    </row>
    <row r="14" spans="1:24" ht="11.25" customHeight="1">
      <c r="A14" s="52" t="s">
        <v>243</v>
      </c>
      <c r="B14" s="52"/>
      <c r="C14" s="349">
        <v>109.3</v>
      </c>
      <c r="D14" s="349">
        <v>109.4</v>
      </c>
      <c r="E14" s="349">
        <v>109.2</v>
      </c>
      <c r="F14" s="349">
        <v>108.9</v>
      </c>
      <c r="G14" s="349">
        <v>108.6</v>
      </c>
      <c r="H14" s="349">
        <v>109.9</v>
      </c>
      <c r="I14" s="349">
        <v>110.6</v>
      </c>
      <c r="J14" s="349">
        <v>110</v>
      </c>
      <c r="K14" s="349">
        <v>109.4</v>
      </c>
      <c r="L14" s="349">
        <v>110.2</v>
      </c>
      <c r="M14" s="349">
        <v>110.1</v>
      </c>
      <c r="N14" s="349">
        <v>110.7</v>
      </c>
      <c r="O14" s="349"/>
      <c r="P14" s="340">
        <f t="shared" si="0"/>
        <v>109.69166666666666</v>
      </c>
      <c r="Q14" s="60"/>
      <c r="R14" s="352">
        <f t="shared" si="5"/>
        <v>-1.0928961748633892</v>
      </c>
      <c r="S14" s="60"/>
      <c r="T14" s="60"/>
      <c r="U14" s="349">
        <f t="shared" si="1"/>
        <v>109.3</v>
      </c>
      <c r="V14" s="349">
        <f t="shared" si="2"/>
        <v>109.13333333333333</v>
      </c>
      <c r="W14" s="349">
        <f t="shared" si="3"/>
        <v>110</v>
      </c>
      <c r="X14" s="349">
        <f t="shared" si="4"/>
        <v>110.33333333333333</v>
      </c>
    </row>
    <row r="15" spans="1:24" ht="11.25" customHeight="1">
      <c r="A15" s="52" t="s">
        <v>273</v>
      </c>
      <c r="B15" s="52"/>
      <c r="C15" s="349">
        <v>108.3</v>
      </c>
      <c r="D15" s="349">
        <v>111.2</v>
      </c>
      <c r="E15" s="349">
        <v>111.9</v>
      </c>
      <c r="F15" s="349">
        <v>113.8</v>
      </c>
      <c r="G15" s="349">
        <v>115.2</v>
      </c>
      <c r="H15" s="349">
        <v>116</v>
      </c>
      <c r="I15" s="349">
        <v>116.4</v>
      </c>
      <c r="J15" s="349">
        <v>118.4</v>
      </c>
      <c r="K15" s="349">
        <v>117.5</v>
      </c>
      <c r="L15" s="349">
        <v>118.3</v>
      </c>
      <c r="M15" s="349">
        <v>118.3</v>
      </c>
      <c r="N15" s="349">
        <v>118.1</v>
      </c>
      <c r="O15" s="349"/>
      <c r="P15" s="340">
        <f t="shared" si="0"/>
        <v>115.2833333333333</v>
      </c>
      <c r="Q15" s="60"/>
      <c r="R15" s="352">
        <f t="shared" si="5"/>
        <v>6.07734806629836</v>
      </c>
      <c r="S15" s="60"/>
      <c r="T15" s="60"/>
      <c r="U15" s="349">
        <f t="shared" si="1"/>
        <v>110.46666666666665</v>
      </c>
      <c r="V15" s="349">
        <f t="shared" si="2"/>
        <v>115</v>
      </c>
      <c r="W15" s="349">
        <f t="shared" si="3"/>
        <v>117.43333333333334</v>
      </c>
      <c r="X15" s="349">
        <f t="shared" si="4"/>
        <v>118.23333333333333</v>
      </c>
    </row>
    <row r="16" spans="1:24" ht="11.25" customHeight="1">
      <c r="A16" s="365" t="s">
        <v>286</v>
      </c>
      <c r="B16" s="365"/>
      <c r="C16" s="366">
        <v>118.3</v>
      </c>
      <c r="D16" s="366">
        <v>118.7</v>
      </c>
      <c r="E16" s="366">
        <v>118.9</v>
      </c>
      <c r="F16" s="366">
        <v>116.6</v>
      </c>
      <c r="G16" s="366">
        <v>117.2</v>
      </c>
      <c r="H16" s="366">
        <v>117.3</v>
      </c>
      <c r="I16" s="366">
        <v>117.1</v>
      </c>
      <c r="J16" s="366">
        <v>119.4</v>
      </c>
      <c r="K16" s="366">
        <v>118.7</v>
      </c>
      <c r="L16" s="366">
        <v>119.3</v>
      </c>
      <c r="M16" s="366">
        <v>120.7</v>
      </c>
      <c r="N16" s="366">
        <v>121.3</v>
      </c>
      <c r="O16" s="366"/>
      <c r="P16" s="367">
        <f t="shared" si="0"/>
        <v>118.625</v>
      </c>
      <c r="Q16" s="368"/>
      <c r="R16" s="352">
        <f t="shared" si="5"/>
        <v>1.736111111111116</v>
      </c>
      <c r="S16" s="368"/>
      <c r="T16" s="60"/>
      <c r="U16" s="349">
        <f t="shared" si="1"/>
        <v>118.63333333333333</v>
      </c>
      <c r="V16" s="349">
        <f t="shared" si="2"/>
        <v>117.03333333333335</v>
      </c>
      <c r="W16" s="349">
        <f t="shared" si="3"/>
        <v>118.39999999999999</v>
      </c>
      <c r="X16" s="349">
        <f t="shared" si="4"/>
        <v>120.43333333333334</v>
      </c>
    </row>
    <row r="17" spans="1:24" ht="11.25" customHeight="1">
      <c r="A17" s="365" t="s">
        <v>320</v>
      </c>
      <c r="B17" s="365"/>
      <c r="C17" s="366">
        <v>120.8</v>
      </c>
      <c r="D17" s="366">
        <v>120.5</v>
      </c>
      <c r="E17" s="366">
        <v>121</v>
      </c>
      <c r="F17" s="366">
        <v>123.6</v>
      </c>
      <c r="G17" s="366">
        <v>126.117</v>
      </c>
      <c r="H17" s="366">
        <v>124.531</v>
      </c>
      <c r="I17" s="366">
        <v>126.769</v>
      </c>
      <c r="J17" s="366">
        <v>129.251</v>
      </c>
      <c r="K17" s="366">
        <v>131.635</v>
      </c>
      <c r="L17" s="366">
        <v>133.013</v>
      </c>
      <c r="M17" s="366">
        <v>134.569</v>
      </c>
      <c r="N17" s="366">
        <v>135.3</v>
      </c>
      <c r="O17" s="366"/>
      <c r="P17" s="367">
        <f t="shared" si="0"/>
        <v>127.25708333333331</v>
      </c>
      <c r="Q17" s="368"/>
      <c r="R17" s="352">
        <f t="shared" si="5"/>
        <v>7.608361774744021</v>
      </c>
      <c r="S17" s="60"/>
      <c r="T17" s="60"/>
      <c r="U17" s="349">
        <f t="shared" si="1"/>
        <v>120.76666666666667</v>
      </c>
      <c r="V17" s="349">
        <f t="shared" si="2"/>
        <v>124.74933333333333</v>
      </c>
      <c r="W17" s="349">
        <f t="shared" si="3"/>
        <v>129.21833333333333</v>
      </c>
      <c r="X17" s="349">
        <f t="shared" si="4"/>
        <v>134.294</v>
      </c>
    </row>
    <row r="18" spans="1:24" ht="11.25" customHeight="1">
      <c r="A18" s="214" t="s">
        <v>326</v>
      </c>
      <c r="B18" s="214"/>
      <c r="C18" s="350">
        <v>136.252</v>
      </c>
      <c r="D18" s="350">
        <v>136.335</v>
      </c>
      <c r="E18" s="350">
        <v>136.943</v>
      </c>
      <c r="F18" s="350">
        <v>139.03</v>
      </c>
      <c r="G18" s="350">
        <v>141.255</v>
      </c>
      <c r="H18" s="350">
        <v>145.457</v>
      </c>
      <c r="I18" s="350">
        <v>141.118</v>
      </c>
      <c r="J18" s="350">
        <v>147.193</v>
      </c>
      <c r="K18" s="350">
        <v>151.788</v>
      </c>
      <c r="L18" s="350">
        <v>159.995</v>
      </c>
      <c r="M18" s="350">
        <v>162.601</v>
      </c>
      <c r="N18" s="350">
        <v>165</v>
      </c>
      <c r="O18" s="350"/>
      <c r="P18" s="351">
        <f t="shared" si="0"/>
        <v>146.91391666666667</v>
      </c>
      <c r="Q18" s="218"/>
      <c r="R18" s="352">
        <f t="shared" si="5"/>
        <v>12.0031399414829</v>
      </c>
      <c r="S18" s="60"/>
      <c r="T18" s="60"/>
      <c r="U18" s="349">
        <f t="shared" si="1"/>
        <v>136.51</v>
      </c>
      <c r="V18" s="349">
        <f t="shared" si="2"/>
        <v>141.914</v>
      </c>
      <c r="W18" s="349">
        <f t="shared" si="3"/>
        <v>146.69966666666667</v>
      </c>
      <c r="X18" s="349">
        <f t="shared" si="4"/>
        <v>162.532</v>
      </c>
    </row>
    <row r="19" spans="1:24" ht="11.25" customHeight="1">
      <c r="A19" s="214" t="s">
        <v>512</v>
      </c>
      <c r="B19" s="214"/>
      <c r="C19" s="350">
        <v>167.994</v>
      </c>
      <c r="D19" s="350">
        <v>172.229</v>
      </c>
      <c r="E19" s="350">
        <v>176.985</v>
      </c>
      <c r="F19" s="350">
        <v>176.32</v>
      </c>
      <c r="G19" s="350">
        <v>176.629</v>
      </c>
      <c r="H19" s="350"/>
      <c r="I19" s="350"/>
      <c r="J19" s="350"/>
      <c r="K19" s="350"/>
      <c r="L19" s="350"/>
      <c r="M19" s="350"/>
      <c r="N19" s="350"/>
      <c r="O19" s="350"/>
      <c r="P19" s="351"/>
      <c r="Q19" s="218"/>
      <c r="R19" s="352">
        <f t="shared" si="5"/>
        <v>25.042653357403278</v>
      </c>
      <c r="S19" s="60"/>
      <c r="T19" s="60"/>
      <c r="U19" s="349">
        <f t="shared" si="1"/>
        <v>172.4026666666667</v>
      </c>
      <c r="V19" s="349">
        <f t="shared" si="2"/>
        <v>176.47449999999998</v>
      </c>
      <c r="W19" s="349"/>
      <c r="X19" s="349"/>
    </row>
    <row r="20" spans="1:21" ht="4.5" customHeight="1">
      <c r="A20" s="52"/>
      <c r="B20" s="52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99"/>
      <c r="Q20" s="54"/>
      <c r="R20" s="183"/>
      <c r="S20" s="99"/>
      <c r="T20" s="54"/>
      <c r="U20" s="99"/>
    </row>
    <row r="21" spans="1:24" ht="12.75" customHeight="1">
      <c r="A21" s="153" t="s">
        <v>319</v>
      </c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01"/>
      <c r="P21" s="101"/>
      <c r="Q21" s="101"/>
      <c r="R21" s="101"/>
      <c r="S21" s="101"/>
      <c r="T21" s="54"/>
      <c r="U21" s="101"/>
      <c r="V21" s="101"/>
      <c r="W21" s="101"/>
      <c r="X21" s="101"/>
    </row>
    <row r="22" spans="1:20" ht="16.5" customHeight="1">
      <c r="A22" s="63" t="s">
        <v>296</v>
      </c>
      <c r="B22" s="63"/>
      <c r="C22" s="58"/>
      <c r="D22" s="58"/>
      <c r="F22" s="58"/>
      <c r="G22" s="58"/>
      <c r="H22" s="58"/>
      <c r="I22" s="58"/>
      <c r="J22" s="62"/>
      <c r="K22" s="62"/>
      <c r="L22" s="62"/>
      <c r="M22" s="54"/>
      <c r="N22" s="62"/>
      <c r="O22" s="62"/>
      <c r="P22" s="54"/>
      <c r="Q22" s="54"/>
      <c r="R22" s="54"/>
      <c r="S22" s="54"/>
      <c r="T22" s="54"/>
    </row>
    <row r="23" spans="1:20" ht="12.75">
      <c r="A23" s="64"/>
      <c r="B23" s="64"/>
      <c r="C23" s="64"/>
      <c r="D23" s="64"/>
      <c r="E23" s="64"/>
      <c r="F23" s="64"/>
      <c r="G23" s="427"/>
      <c r="H23" s="64"/>
      <c r="I23" s="64"/>
      <c r="J23" s="64"/>
      <c r="K23" s="64"/>
      <c r="L23" s="64"/>
      <c r="M23" s="340"/>
      <c r="N23" s="64"/>
      <c r="O23" s="64"/>
      <c r="P23" s="54"/>
      <c r="Q23" s="54"/>
      <c r="R23" s="54"/>
      <c r="S23" s="54"/>
      <c r="T23" s="54"/>
    </row>
    <row r="24" spans="1:20" ht="12.75">
      <c r="A24" s="54"/>
      <c r="B24" s="54"/>
      <c r="C24" s="54"/>
      <c r="D24" s="54"/>
      <c r="E24" s="54"/>
      <c r="F24" s="54"/>
      <c r="G24" s="427"/>
      <c r="H24" s="54"/>
      <c r="I24" s="54"/>
      <c r="J24" s="54"/>
      <c r="K24" s="54"/>
      <c r="L24" s="54"/>
      <c r="M24" s="340"/>
      <c r="N24" s="54"/>
      <c r="O24" s="54"/>
      <c r="P24" s="54"/>
      <c r="Q24" s="54"/>
      <c r="R24" s="54"/>
      <c r="S24" s="54"/>
      <c r="T24" s="54"/>
    </row>
    <row r="25" spans="1:20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</sheetData>
  <printOptions horizontalCentered="1"/>
  <pageMargins left="0.417" right="0.417" top="0.25" bottom="0.6" header="0" footer="0.2"/>
  <pageSetup fitToHeight="1" fitToWidth="1" horizontalDpi="600" verticalDpi="600" orientation="portrait" scale="97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Y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.8515625" style="0" customWidth="1"/>
    <col min="3" max="14" width="5.7109375" style="0" customWidth="1"/>
    <col min="15" max="15" width="1.1484375" style="0" customWidth="1"/>
    <col min="16" max="16" width="6.7109375" style="0" customWidth="1"/>
    <col min="17" max="17" width="1.8515625" style="0" customWidth="1"/>
    <col min="18" max="18" width="5.8515625" style="0" customWidth="1"/>
    <col min="19" max="19" width="2.421875" style="0" customWidth="1"/>
    <col min="20" max="20" width="3.8515625" style="0" customWidth="1"/>
    <col min="21" max="24" width="7.57421875" style="0" customWidth="1"/>
  </cols>
  <sheetData>
    <row r="1" ht="6.75" customHeight="1"/>
    <row r="2" spans="1:18" ht="14.25" customHeight="1">
      <c r="A2" s="168" t="s">
        <v>526</v>
      </c>
      <c r="B2" s="168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4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392" t="s">
        <v>383</v>
      </c>
      <c r="Q3" s="207"/>
      <c r="R3" s="207" t="s">
        <v>230</v>
      </c>
      <c r="S3" s="207"/>
      <c r="T3" s="54"/>
      <c r="U3" s="363" t="s">
        <v>306</v>
      </c>
      <c r="V3" s="363"/>
      <c r="W3" s="363"/>
      <c r="X3" s="363"/>
    </row>
    <row r="4" spans="1:24" ht="11.25" customHeight="1">
      <c r="A4" s="209" t="s">
        <v>49</v>
      </c>
      <c r="B4" s="209"/>
      <c r="C4" s="209" t="s">
        <v>50</v>
      </c>
      <c r="D4" s="209" t="s">
        <v>51</v>
      </c>
      <c r="E4" s="209" t="s">
        <v>52</v>
      </c>
      <c r="F4" s="209" t="s">
        <v>53</v>
      </c>
      <c r="G4" s="209" t="s">
        <v>54</v>
      </c>
      <c r="H4" s="209" t="s">
        <v>55</v>
      </c>
      <c r="I4" s="209" t="s">
        <v>56</v>
      </c>
      <c r="J4" s="209" t="s">
        <v>57</v>
      </c>
      <c r="K4" s="209" t="s">
        <v>58</v>
      </c>
      <c r="L4" s="209" t="s">
        <v>59</v>
      </c>
      <c r="M4" s="209" t="s">
        <v>60</v>
      </c>
      <c r="N4" s="209" t="s">
        <v>61</v>
      </c>
      <c r="O4" s="209"/>
      <c r="P4" s="210" t="s">
        <v>245</v>
      </c>
      <c r="Q4" s="208"/>
      <c r="R4" s="224" t="s">
        <v>205</v>
      </c>
      <c r="S4" s="208"/>
      <c r="T4" s="54"/>
      <c r="U4" s="362" t="s">
        <v>307</v>
      </c>
      <c r="V4" s="362" t="s">
        <v>308</v>
      </c>
      <c r="W4" s="364" t="s">
        <v>309</v>
      </c>
      <c r="X4" s="364" t="s">
        <v>310</v>
      </c>
    </row>
    <row r="5" spans="1:24" ht="9.75" customHeight="1">
      <c r="A5" s="212" t="s">
        <v>62</v>
      </c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25"/>
      <c r="Q5" s="225"/>
      <c r="R5" s="213" t="s">
        <v>576</v>
      </c>
      <c r="S5" s="211"/>
      <c r="T5" s="54"/>
      <c r="U5" s="211"/>
      <c r="V5" s="211"/>
      <c r="W5" s="211"/>
      <c r="X5" s="211"/>
    </row>
    <row r="6" spans="3:24" ht="15" customHeight="1">
      <c r="C6" s="174" t="s">
        <v>317</v>
      </c>
      <c r="D6" s="56"/>
      <c r="E6" s="56"/>
      <c r="F6" s="56"/>
      <c r="G6" s="56"/>
      <c r="H6" s="57"/>
      <c r="I6" s="56"/>
      <c r="J6" s="56"/>
      <c r="K6" s="56"/>
      <c r="L6" s="56"/>
      <c r="M6" s="56"/>
      <c r="N6" s="56"/>
      <c r="O6" s="56"/>
      <c r="P6" s="54"/>
      <c r="Q6" s="54"/>
      <c r="R6" s="182" t="s">
        <v>318</v>
      </c>
      <c r="S6" s="54"/>
      <c r="T6" s="54"/>
      <c r="U6" s="174" t="s">
        <v>317</v>
      </c>
      <c r="V6" s="56"/>
      <c r="W6" s="56"/>
      <c r="X6" s="56"/>
    </row>
    <row r="7" spans="1:24" ht="8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4"/>
      <c r="Q7" s="54"/>
      <c r="R7" s="54"/>
      <c r="S7" s="54"/>
      <c r="T7" s="54"/>
      <c r="U7" s="58"/>
      <c r="V7" s="58"/>
      <c r="W7" s="58"/>
      <c r="X7" s="58"/>
    </row>
    <row r="8" spans="1:24" ht="11.25" customHeight="1">
      <c r="A8" s="52" t="s">
        <v>314</v>
      </c>
      <c r="B8" s="58"/>
      <c r="C8" s="349">
        <v>68.4</v>
      </c>
      <c r="D8" s="349">
        <v>68.3</v>
      </c>
      <c r="E8" s="349">
        <v>67.3</v>
      </c>
      <c r="F8" s="349">
        <v>66.5</v>
      </c>
      <c r="G8" s="349">
        <v>65.6</v>
      </c>
      <c r="H8" s="349">
        <v>66.1</v>
      </c>
      <c r="I8" s="349">
        <v>66.9</v>
      </c>
      <c r="J8" s="349">
        <v>68.2</v>
      </c>
      <c r="K8" s="349">
        <v>67.1</v>
      </c>
      <c r="L8" s="349">
        <v>70.3</v>
      </c>
      <c r="M8" s="349">
        <v>71.6</v>
      </c>
      <c r="N8" s="349">
        <v>71.2</v>
      </c>
      <c r="O8" s="58"/>
      <c r="P8" s="340">
        <f>AVERAGE(C8:N8)</f>
        <v>68.12500000000001</v>
      </c>
      <c r="Q8" s="54"/>
      <c r="R8" s="120" t="s">
        <v>72</v>
      </c>
      <c r="S8" s="54"/>
      <c r="T8" s="54"/>
      <c r="U8" s="349">
        <f>AVERAGE(C8:E8)</f>
        <v>68</v>
      </c>
      <c r="V8" s="349">
        <f>AVERAGE(F8:H8)</f>
        <v>66.06666666666666</v>
      </c>
      <c r="W8" s="349">
        <f>AVERAGE(I8:K8)</f>
        <v>67.4</v>
      </c>
      <c r="X8" s="349">
        <f>AVERAGE(L8:N8)</f>
        <v>71.03333333333332</v>
      </c>
    </row>
    <row r="9" spans="1:24" ht="11.25" customHeight="1">
      <c r="A9" s="52" t="s">
        <v>315</v>
      </c>
      <c r="B9" s="58"/>
      <c r="C9" s="349">
        <v>72.2</v>
      </c>
      <c r="D9" s="349">
        <v>71.7</v>
      </c>
      <c r="E9" s="349">
        <v>70.8</v>
      </c>
      <c r="F9" s="349">
        <v>71.4</v>
      </c>
      <c r="G9" s="349">
        <v>71.7</v>
      </c>
      <c r="H9" s="349">
        <v>72.1</v>
      </c>
      <c r="I9" s="349">
        <v>72.8</v>
      </c>
      <c r="J9" s="349">
        <v>73.6</v>
      </c>
      <c r="K9" s="349">
        <v>72.6</v>
      </c>
      <c r="L9" s="349">
        <v>71.1</v>
      </c>
      <c r="M9" s="349">
        <v>72.8</v>
      </c>
      <c r="N9" s="349">
        <v>72.9</v>
      </c>
      <c r="O9" s="58"/>
      <c r="P9" s="340">
        <f>AVERAGE(C9:N9)</f>
        <v>72.14166666666667</v>
      </c>
      <c r="Q9" s="54"/>
      <c r="R9" s="352">
        <f>(G9/G8-1)*100</f>
        <v>9.29878048780488</v>
      </c>
      <c r="S9" s="54"/>
      <c r="T9" s="54"/>
      <c r="U9" s="349">
        <f>AVERAGE(C9:E9)</f>
        <v>71.56666666666666</v>
      </c>
      <c r="V9" s="349">
        <f>AVERAGE(F9:H9)</f>
        <v>71.73333333333333</v>
      </c>
      <c r="W9" s="349">
        <f>AVERAGE(I9:K9)</f>
        <v>72.99999999999999</v>
      </c>
      <c r="X9" s="349">
        <f>AVERAGE(L9:N9)</f>
        <v>72.26666666666667</v>
      </c>
    </row>
    <row r="10" spans="1:24" ht="11.25" customHeight="1">
      <c r="A10" s="52" t="s">
        <v>316</v>
      </c>
      <c r="B10" s="58"/>
      <c r="C10" s="349">
        <v>73.1</v>
      </c>
      <c r="D10" s="349">
        <v>71.6</v>
      </c>
      <c r="E10" s="349">
        <v>69.9</v>
      </c>
      <c r="F10" s="349">
        <v>70</v>
      </c>
      <c r="G10" s="349">
        <v>69.5</v>
      </c>
      <c r="H10" s="349">
        <v>69.2</v>
      </c>
      <c r="I10" s="349">
        <v>68.9</v>
      </c>
      <c r="J10" s="349">
        <v>68.6</v>
      </c>
      <c r="K10" s="349">
        <v>69.1</v>
      </c>
      <c r="L10" s="349">
        <v>69.8</v>
      </c>
      <c r="M10" s="349">
        <v>69.8</v>
      </c>
      <c r="N10" s="349">
        <v>68.9</v>
      </c>
      <c r="O10" s="58"/>
      <c r="P10" s="340">
        <f>AVERAGE(C10:N10)</f>
        <v>69.86666666666666</v>
      </c>
      <c r="Q10" s="54"/>
      <c r="R10" s="352">
        <f>(G10/G9-1)*100</f>
        <v>-3.0683403068340387</v>
      </c>
      <c r="S10" s="54"/>
      <c r="T10" s="54"/>
      <c r="U10" s="349">
        <f>AVERAGE(C10:E10)</f>
        <v>71.53333333333333</v>
      </c>
      <c r="V10" s="349">
        <f>AVERAGE(F10:H10)</f>
        <v>69.56666666666666</v>
      </c>
      <c r="W10" s="349">
        <f>AVERAGE(I10:K10)</f>
        <v>68.86666666666666</v>
      </c>
      <c r="X10" s="349">
        <f>AVERAGE(L10:N10)</f>
        <v>69.5</v>
      </c>
    </row>
    <row r="11" spans="1:24" ht="11.25" customHeight="1">
      <c r="A11" s="52" t="s">
        <v>311</v>
      </c>
      <c r="B11" s="58"/>
      <c r="C11" s="349">
        <v>68.4</v>
      </c>
      <c r="D11" s="349">
        <v>69.1</v>
      </c>
      <c r="E11" s="349">
        <v>67.9</v>
      </c>
      <c r="F11" s="349">
        <v>68.8</v>
      </c>
      <c r="G11" s="349">
        <v>68.9</v>
      </c>
      <c r="H11" s="349">
        <v>69.6</v>
      </c>
      <c r="I11" s="349">
        <v>69.7</v>
      </c>
      <c r="J11" s="349">
        <v>69.5</v>
      </c>
      <c r="K11" s="349">
        <v>70</v>
      </c>
      <c r="L11" s="349">
        <v>70.7</v>
      </c>
      <c r="M11" s="349">
        <v>70</v>
      </c>
      <c r="N11" s="349">
        <v>70.3</v>
      </c>
      <c r="O11" s="58"/>
      <c r="P11" s="340">
        <f>AVERAGE(C11:N11)</f>
        <v>69.40833333333335</v>
      </c>
      <c r="Q11" s="54"/>
      <c r="R11" s="352">
        <f>(G11/G10-1)*100</f>
        <v>-0.8633093525179825</v>
      </c>
      <c r="S11" s="54"/>
      <c r="T11" s="54"/>
      <c r="U11" s="349">
        <f>AVERAGE(C11:E11)</f>
        <v>68.46666666666667</v>
      </c>
      <c r="V11" s="349">
        <f>AVERAGE(F11:H11)</f>
        <v>69.1</v>
      </c>
      <c r="W11" s="349">
        <f>AVERAGE(I11:K11)</f>
        <v>69.73333333333333</v>
      </c>
      <c r="X11" s="349">
        <f>AVERAGE(L11:N11)</f>
        <v>70.33333333333333</v>
      </c>
    </row>
    <row r="12" spans="1:24" ht="11.25" customHeight="1">
      <c r="A12" s="52" t="s">
        <v>312</v>
      </c>
      <c r="B12" s="58"/>
      <c r="C12" s="349">
        <v>68.9</v>
      </c>
      <c r="D12" s="349">
        <v>68.9</v>
      </c>
      <c r="E12" s="349">
        <v>70.4</v>
      </c>
      <c r="F12" s="349">
        <v>68.8</v>
      </c>
      <c r="G12" s="349">
        <v>69.1</v>
      </c>
      <c r="H12" s="349">
        <v>68.3</v>
      </c>
      <c r="I12" s="349">
        <v>69.5</v>
      </c>
      <c r="J12" s="349">
        <v>68.8</v>
      </c>
      <c r="K12" s="349">
        <v>68.7</v>
      </c>
      <c r="L12" s="349">
        <v>68.1</v>
      </c>
      <c r="M12" s="349">
        <v>68.8</v>
      </c>
      <c r="N12" s="349">
        <v>68.1</v>
      </c>
      <c r="O12" s="349"/>
      <c r="P12" s="340">
        <f>AVERAGE(C12:N12)</f>
        <v>68.86666666666667</v>
      </c>
      <c r="Q12" s="54"/>
      <c r="R12" s="352">
        <f>(G12/G11-1)*100</f>
        <v>0.2902757619738683</v>
      </c>
      <c r="S12" s="54"/>
      <c r="T12" s="54"/>
      <c r="U12" s="349">
        <f>AVERAGE(C12:E12)</f>
        <v>69.4</v>
      </c>
      <c r="V12" s="349">
        <f>AVERAGE(F12:H12)</f>
        <v>68.73333333333333</v>
      </c>
      <c r="W12" s="349">
        <f>AVERAGE(I12:K12)</f>
        <v>69</v>
      </c>
      <c r="X12" s="349">
        <f>AVERAGE(L12:N12)</f>
        <v>68.33333333333333</v>
      </c>
    </row>
    <row r="13" spans="1:24" ht="5.25" customHeight="1">
      <c r="A13" s="52"/>
      <c r="B13" s="58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0"/>
      <c r="Q13" s="54"/>
      <c r="R13" s="352"/>
      <c r="S13" s="54"/>
      <c r="T13" s="54"/>
      <c r="U13" s="349"/>
      <c r="V13" s="349"/>
      <c r="W13" s="349"/>
      <c r="X13" s="349"/>
    </row>
    <row r="14" spans="1:24" ht="11.25" customHeight="1">
      <c r="A14" s="52" t="s">
        <v>112</v>
      </c>
      <c r="B14" s="52"/>
      <c r="C14" s="349">
        <v>68.5</v>
      </c>
      <c r="D14" s="349">
        <v>69</v>
      </c>
      <c r="E14" s="349">
        <v>69</v>
      </c>
      <c r="F14" s="349">
        <v>68.4</v>
      </c>
      <c r="G14" s="349">
        <v>67.7</v>
      </c>
      <c r="H14" s="349">
        <v>68.6</v>
      </c>
      <c r="I14" s="349">
        <v>67.6</v>
      </c>
      <c r="J14" s="349">
        <v>68.1</v>
      </c>
      <c r="K14" s="349">
        <v>67.9</v>
      </c>
      <c r="L14" s="349">
        <v>68.5</v>
      </c>
      <c r="M14" s="349">
        <v>68.6</v>
      </c>
      <c r="N14" s="349">
        <v>68.7</v>
      </c>
      <c r="O14" s="349"/>
      <c r="P14" s="340">
        <f aca="true" t="shared" si="0" ref="P14:P21">AVERAGE(C14:N14)</f>
        <v>68.38333333333334</v>
      </c>
      <c r="Q14" s="60"/>
      <c r="R14" s="352">
        <f>(G14/G12-1)*100</f>
        <v>-2.0260492040520828</v>
      </c>
      <c r="S14" s="60"/>
      <c r="T14" s="60"/>
      <c r="U14" s="349">
        <f aca="true" t="shared" si="1" ref="U14:U22">AVERAGE(C14:E14)</f>
        <v>68.83333333333333</v>
      </c>
      <c r="V14" s="349">
        <f aca="true" t="shared" si="2" ref="V14:V22">AVERAGE(F14:H14)</f>
        <v>68.23333333333333</v>
      </c>
      <c r="W14" s="349">
        <f aca="true" t="shared" si="3" ref="W14:W21">AVERAGE(I14:K14)</f>
        <v>67.86666666666666</v>
      </c>
      <c r="X14" s="349">
        <f aca="true" t="shared" si="4" ref="X14:X21">AVERAGE(L14:N14)</f>
        <v>68.60000000000001</v>
      </c>
    </row>
    <row r="15" spans="1:24" ht="11.25" customHeight="1">
      <c r="A15" s="52" t="s">
        <v>179</v>
      </c>
      <c r="B15" s="52"/>
      <c r="C15" s="349">
        <v>68.8</v>
      </c>
      <c r="D15" s="349">
        <v>68.9</v>
      </c>
      <c r="E15" s="349">
        <v>69.9</v>
      </c>
      <c r="F15" s="349">
        <v>71.3</v>
      </c>
      <c r="G15" s="349">
        <v>69.7</v>
      </c>
      <c r="H15" s="349">
        <v>71.8</v>
      </c>
      <c r="I15" s="349">
        <v>73</v>
      </c>
      <c r="J15" s="349">
        <v>73.8</v>
      </c>
      <c r="K15" s="349">
        <v>71.3</v>
      </c>
      <c r="L15" s="349">
        <v>72.6</v>
      </c>
      <c r="M15" s="349">
        <v>70.7</v>
      </c>
      <c r="N15" s="349">
        <v>72.4</v>
      </c>
      <c r="O15" s="349"/>
      <c r="P15" s="340">
        <f t="shared" si="0"/>
        <v>71.18333333333332</v>
      </c>
      <c r="Q15" s="60"/>
      <c r="R15" s="352">
        <f aca="true" t="shared" si="5" ref="R15:R22">(G15/G14-1)*100</f>
        <v>2.954209748892178</v>
      </c>
      <c r="S15" s="60"/>
      <c r="T15" s="60"/>
      <c r="U15" s="349">
        <f t="shared" si="1"/>
        <v>69.2</v>
      </c>
      <c r="V15" s="349">
        <f t="shared" si="2"/>
        <v>70.93333333333334</v>
      </c>
      <c r="W15" s="349">
        <f t="shared" si="3"/>
        <v>72.7</v>
      </c>
      <c r="X15" s="349">
        <f t="shared" si="4"/>
        <v>71.9</v>
      </c>
    </row>
    <row r="16" spans="1:24" ht="11.25" customHeight="1">
      <c r="A16" s="52" t="s">
        <v>232</v>
      </c>
      <c r="B16" s="52"/>
      <c r="C16" s="349">
        <v>74.2</v>
      </c>
      <c r="D16" s="349">
        <v>74.1</v>
      </c>
      <c r="E16" s="349">
        <v>75.7</v>
      </c>
      <c r="F16" s="349">
        <v>74.7</v>
      </c>
      <c r="G16" s="349">
        <v>74.2</v>
      </c>
      <c r="H16" s="349">
        <v>75.6</v>
      </c>
      <c r="I16" s="349">
        <v>76.5</v>
      </c>
      <c r="J16" s="349">
        <v>76.2</v>
      </c>
      <c r="K16" s="349">
        <v>75.8</v>
      </c>
      <c r="L16" s="349">
        <v>75.7</v>
      </c>
      <c r="M16" s="349">
        <v>76.3</v>
      </c>
      <c r="N16" s="349">
        <v>75.4</v>
      </c>
      <c r="O16" s="349"/>
      <c r="P16" s="340">
        <f t="shared" si="0"/>
        <v>75.36666666666666</v>
      </c>
      <c r="Q16" s="60"/>
      <c r="R16" s="352">
        <f t="shared" si="5"/>
        <v>6.456241032998555</v>
      </c>
      <c r="S16" s="60"/>
      <c r="T16" s="60"/>
      <c r="U16" s="349">
        <f t="shared" si="1"/>
        <v>74.66666666666667</v>
      </c>
      <c r="V16" s="349">
        <f t="shared" si="2"/>
        <v>74.83333333333333</v>
      </c>
      <c r="W16" s="349">
        <f t="shared" si="3"/>
        <v>76.16666666666667</v>
      </c>
      <c r="X16" s="349">
        <f t="shared" si="4"/>
        <v>75.8</v>
      </c>
    </row>
    <row r="17" spans="1:24" ht="11.25" customHeight="1">
      <c r="A17" s="52" t="s">
        <v>243</v>
      </c>
      <c r="B17" s="52"/>
      <c r="C17" s="349">
        <v>75.7</v>
      </c>
      <c r="D17" s="349">
        <v>77.2</v>
      </c>
      <c r="E17" s="349">
        <v>76.7</v>
      </c>
      <c r="F17" s="349">
        <v>76.8</v>
      </c>
      <c r="G17" s="349">
        <v>76.9</v>
      </c>
      <c r="H17" s="349">
        <v>76.9</v>
      </c>
      <c r="I17" s="349">
        <v>77</v>
      </c>
      <c r="J17" s="349">
        <v>77.2</v>
      </c>
      <c r="K17" s="349">
        <v>74.1</v>
      </c>
      <c r="L17" s="349">
        <v>74.7</v>
      </c>
      <c r="M17" s="349">
        <v>78.1</v>
      </c>
      <c r="N17" s="349">
        <v>77.8</v>
      </c>
      <c r="O17" s="349"/>
      <c r="P17" s="340">
        <f t="shared" si="0"/>
        <v>76.59166666666668</v>
      </c>
      <c r="Q17" s="60"/>
      <c r="R17" s="352">
        <f t="shared" si="5"/>
        <v>3.63881401617252</v>
      </c>
      <c r="S17" s="60"/>
      <c r="T17" s="60"/>
      <c r="U17" s="349">
        <f t="shared" si="1"/>
        <v>76.53333333333335</v>
      </c>
      <c r="V17" s="349">
        <f t="shared" si="2"/>
        <v>76.86666666666666</v>
      </c>
      <c r="W17" s="349">
        <f t="shared" si="3"/>
        <v>76.1</v>
      </c>
      <c r="X17" s="349">
        <f t="shared" si="4"/>
        <v>76.86666666666667</v>
      </c>
    </row>
    <row r="18" spans="1:24" ht="11.25" customHeight="1">
      <c r="A18" s="52" t="s">
        <v>273</v>
      </c>
      <c r="B18" s="52"/>
      <c r="C18" s="349">
        <v>76.6</v>
      </c>
      <c r="D18" s="349">
        <v>77.4</v>
      </c>
      <c r="E18" s="349">
        <v>77.5</v>
      </c>
      <c r="F18" s="349">
        <v>76.7</v>
      </c>
      <c r="G18" s="349">
        <v>78.6</v>
      </c>
      <c r="H18" s="349">
        <v>80.3</v>
      </c>
      <c r="I18" s="349">
        <v>80.6</v>
      </c>
      <c r="J18" s="349">
        <v>81.6</v>
      </c>
      <c r="K18" s="349">
        <v>79.5</v>
      </c>
      <c r="L18" s="349">
        <v>81.1</v>
      </c>
      <c r="M18" s="349">
        <v>79.9</v>
      </c>
      <c r="N18" s="349">
        <v>80.2</v>
      </c>
      <c r="O18" s="349"/>
      <c r="P18" s="340">
        <f t="shared" si="0"/>
        <v>79.16666666666667</v>
      </c>
      <c r="Q18" s="60"/>
      <c r="R18" s="352">
        <f t="shared" si="5"/>
        <v>2.2106631989596837</v>
      </c>
      <c r="S18" s="60"/>
      <c r="T18" s="60"/>
      <c r="U18" s="349">
        <f t="shared" si="1"/>
        <v>77.16666666666667</v>
      </c>
      <c r="V18" s="349">
        <f t="shared" si="2"/>
        <v>78.53333333333335</v>
      </c>
      <c r="W18" s="349">
        <f t="shared" si="3"/>
        <v>80.56666666666666</v>
      </c>
      <c r="X18" s="349">
        <f t="shared" si="4"/>
        <v>80.39999999999999</v>
      </c>
    </row>
    <row r="19" spans="1:24" ht="11.25" customHeight="1">
      <c r="A19" s="365" t="s">
        <v>286</v>
      </c>
      <c r="B19" s="365"/>
      <c r="C19" s="349">
        <v>80</v>
      </c>
      <c r="D19" s="349">
        <v>80.8</v>
      </c>
      <c r="E19" s="349">
        <v>80.3</v>
      </c>
      <c r="F19" s="349">
        <v>79.5</v>
      </c>
      <c r="G19" s="349">
        <v>79.4</v>
      </c>
      <c r="H19" s="349">
        <v>79.2</v>
      </c>
      <c r="I19" s="349">
        <v>78.4</v>
      </c>
      <c r="J19" s="349">
        <v>79.9</v>
      </c>
      <c r="K19" s="349">
        <v>82.8</v>
      </c>
      <c r="L19" s="349">
        <v>83.9</v>
      </c>
      <c r="M19" s="349">
        <v>83.4</v>
      </c>
      <c r="N19" s="349">
        <v>83.8</v>
      </c>
      <c r="O19" s="366"/>
      <c r="P19" s="367">
        <f t="shared" si="0"/>
        <v>80.94999999999999</v>
      </c>
      <c r="Q19" s="368"/>
      <c r="R19" s="352">
        <f t="shared" si="5"/>
        <v>1.0178117048346147</v>
      </c>
      <c r="S19" s="368"/>
      <c r="T19" s="60"/>
      <c r="U19" s="349">
        <f t="shared" si="1"/>
        <v>80.36666666666667</v>
      </c>
      <c r="V19" s="349">
        <f t="shared" si="2"/>
        <v>79.36666666666667</v>
      </c>
      <c r="W19" s="349">
        <f t="shared" si="3"/>
        <v>80.36666666666667</v>
      </c>
      <c r="X19" s="349">
        <f t="shared" si="4"/>
        <v>83.7</v>
      </c>
    </row>
    <row r="20" spans="1:25" ht="11.25" customHeight="1">
      <c r="A20" s="365" t="s">
        <v>320</v>
      </c>
      <c r="B20" s="365"/>
      <c r="C20" s="366">
        <v>84.8</v>
      </c>
      <c r="D20" s="366">
        <v>84.9</v>
      </c>
      <c r="E20" s="366">
        <v>83.8</v>
      </c>
      <c r="F20" s="366">
        <v>84.2</v>
      </c>
      <c r="G20" s="366">
        <v>86.6</v>
      </c>
      <c r="H20" s="366">
        <v>85.4</v>
      </c>
      <c r="I20" s="366">
        <v>87.1</v>
      </c>
      <c r="J20" s="366">
        <v>90.5</v>
      </c>
      <c r="K20" s="366">
        <v>94.5</v>
      </c>
      <c r="L20" s="366">
        <v>95.9</v>
      </c>
      <c r="M20" s="366">
        <v>96.8</v>
      </c>
      <c r="N20" s="366">
        <v>96.9</v>
      </c>
      <c r="O20" s="366"/>
      <c r="P20" s="367">
        <f t="shared" si="0"/>
        <v>89.28333333333332</v>
      </c>
      <c r="Q20" s="368"/>
      <c r="R20" s="352">
        <f t="shared" si="5"/>
        <v>9.068010075566747</v>
      </c>
      <c r="S20" s="368"/>
      <c r="T20" s="368"/>
      <c r="U20" s="366">
        <f t="shared" si="1"/>
        <v>84.5</v>
      </c>
      <c r="V20" s="366">
        <f t="shared" si="2"/>
        <v>85.40000000000002</v>
      </c>
      <c r="W20" s="366">
        <f t="shared" si="3"/>
        <v>90.7</v>
      </c>
      <c r="X20" s="366">
        <f t="shared" si="4"/>
        <v>96.53333333333335</v>
      </c>
      <c r="Y20" s="455"/>
    </row>
    <row r="21" spans="1:24" ht="11.25" customHeight="1">
      <c r="A21" s="214" t="s">
        <v>326</v>
      </c>
      <c r="B21" s="214"/>
      <c r="C21" s="350">
        <v>98.8</v>
      </c>
      <c r="D21" s="350">
        <v>97.4</v>
      </c>
      <c r="E21" s="350">
        <v>99.6</v>
      </c>
      <c r="F21" s="350">
        <v>100.5</v>
      </c>
      <c r="G21" s="350">
        <v>101.4</v>
      </c>
      <c r="H21" s="350">
        <v>107.2</v>
      </c>
      <c r="I21" s="350">
        <v>105.9</v>
      </c>
      <c r="J21" s="350">
        <v>108.8</v>
      </c>
      <c r="K21" s="350">
        <v>116.7</v>
      </c>
      <c r="L21" s="350">
        <v>120.6</v>
      </c>
      <c r="M21" s="350">
        <v>122.6</v>
      </c>
      <c r="N21" s="350">
        <v>125.1</v>
      </c>
      <c r="O21" s="350"/>
      <c r="P21" s="351">
        <f t="shared" si="0"/>
        <v>108.71666666666664</v>
      </c>
      <c r="Q21" s="218"/>
      <c r="R21" s="352">
        <f t="shared" si="5"/>
        <v>17.09006928406467</v>
      </c>
      <c r="S21" s="368"/>
      <c r="T21" s="368"/>
      <c r="U21" s="350">
        <f t="shared" si="1"/>
        <v>98.59999999999998</v>
      </c>
      <c r="V21" s="350">
        <f t="shared" si="2"/>
        <v>103.03333333333335</v>
      </c>
      <c r="W21" s="350">
        <f t="shared" si="3"/>
        <v>110.46666666666665</v>
      </c>
      <c r="X21" s="350">
        <f t="shared" si="4"/>
        <v>122.76666666666665</v>
      </c>
    </row>
    <row r="22" spans="1:24" ht="11.25" customHeight="1">
      <c r="A22" s="214" t="s">
        <v>512</v>
      </c>
      <c r="B22" s="214"/>
      <c r="C22" s="350">
        <v>128.4</v>
      </c>
      <c r="D22" s="350">
        <v>134.2</v>
      </c>
      <c r="E22" s="350">
        <v>140.2</v>
      </c>
      <c r="F22" s="350">
        <v>139.7</v>
      </c>
      <c r="G22" s="350">
        <v>140.4</v>
      </c>
      <c r="H22" s="350"/>
      <c r="I22" s="350"/>
      <c r="J22" s="350"/>
      <c r="K22" s="350"/>
      <c r="L22" s="350"/>
      <c r="M22" s="350"/>
      <c r="N22" s="350"/>
      <c r="O22" s="350"/>
      <c r="P22" s="351"/>
      <c r="Q22" s="218"/>
      <c r="R22" s="352">
        <f t="shared" si="5"/>
        <v>38.46153846153846</v>
      </c>
      <c r="S22" s="368"/>
      <c r="T22" s="368"/>
      <c r="U22" s="350">
        <f t="shared" si="1"/>
        <v>134.26666666666668</v>
      </c>
      <c r="V22" s="350">
        <f t="shared" si="2"/>
        <v>140.05</v>
      </c>
      <c r="W22" s="350"/>
      <c r="X22" s="350"/>
    </row>
    <row r="23" spans="1:21" ht="4.5" customHeight="1">
      <c r="A23" s="52"/>
      <c r="B23" s="5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9"/>
      <c r="Q23" s="54"/>
      <c r="R23" s="183"/>
      <c r="S23" s="99"/>
      <c r="T23" s="54"/>
      <c r="U23" s="99"/>
    </row>
    <row r="24" spans="1:24" ht="12.75" customHeight="1">
      <c r="A24" s="153" t="s">
        <v>319</v>
      </c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01"/>
      <c r="P24" s="101"/>
      <c r="Q24" s="101"/>
      <c r="R24" s="101"/>
      <c r="S24" s="101"/>
      <c r="T24" s="54"/>
      <c r="U24" s="101"/>
      <c r="V24" s="101"/>
      <c r="W24" s="101"/>
      <c r="X24" s="101"/>
    </row>
    <row r="25" spans="1:20" ht="16.5" customHeight="1">
      <c r="A25" s="63" t="s">
        <v>296</v>
      </c>
      <c r="B25" s="63"/>
      <c r="C25" s="58"/>
      <c r="D25" s="58"/>
      <c r="F25" s="58"/>
      <c r="G25" s="58"/>
      <c r="H25" s="58"/>
      <c r="I25" s="58"/>
      <c r="J25" s="62"/>
      <c r="K25" s="62"/>
      <c r="L25" s="62"/>
      <c r="N25" s="62"/>
      <c r="O25" s="62"/>
      <c r="P25" s="54"/>
      <c r="Q25" s="54"/>
      <c r="R25" s="54"/>
      <c r="S25" s="54"/>
      <c r="T25" s="54"/>
    </row>
    <row r="26" spans="1:20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N26" s="64"/>
      <c r="O26" s="64"/>
      <c r="P26" s="54"/>
      <c r="Q26" s="54"/>
      <c r="R26" s="54"/>
      <c r="S26" s="54"/>
      <c r="T26" s="54"/>
    </row>
    <row r="27" spans="1:20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N27" s="54"/>
      <c r="O27" s="54"/>
      <c r="P27" s="54"/>
      <c r="Q27" s="54"/>
      <c r="R27" s="54"/>
      <c r="S27" s="54"/>
      <c r="T27" s="54"/>
    </row>
  </sheetData>
  <printOptions horizontalCentered="1"/>
  <pageMargins left="0.417" right="0.417" top="0.25" bottom="0.6" header="0" footer="0.2"/>
  <pageSetup fitToHeight="1" fitToWidth="1" horizontalDpi="600" verticalDpi="600" orientation="portrait" r:id="rId1"/>
  <headerFooter alignWithMargins="0">
    <oddFooter>&amp;C&amp;"Arial,Italic"&amp;9Vegetables and Melons Outlook&amp;"Arial,Regular"/VGS-331/February 25, 2009
Economic Research Service, USDA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1"/>
    <pageSetUpPr fitToPage="1"/>
  </sheetPr>
  <dimension ref="A2:R34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10.28125" style="106" customWidth="1"/>
    <col min="2" max="2" width="8.00390625" style="106" customWidth="1"/>
    <col min="3" max="3" width="2.140625" style="106" customWidth="1"/>
    <col min="4" max="12" width="7.00390625" style="106" customWidth="1"/>
    <col min="13" max="14" width="7.28125" style="106" customWidth="1"/>
    <col min="15" max="15" width="1.8515625" style="106" customWidth="1"/>
    <col min="16" max="16" width="9.7109375" style="106" customWidth="1"/>
    <col min="17" max="17" width="2.7109375" style="106" customWidth="1"/>
    <col min="18" max="16384" width="9.7109375" style="106" customWidth="1"/>
  </cols>
  <sheetData>
    <row r="2" spans="1:17" ht="12">
      <c r="A2" s="171" t="s">
        <v>537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17" ht="12">
      <c r="A3" s="231"/>
      <c r="B3" s="234" t="s">
        <v>373</v>
      </c>
      <c r="C3" s="232"/>
      <c r="D3" s="233"/>
      <c r="E3" s="233"/>
      <c r="F3" s="233"/>
      <c r="G3" s="232"/>
      <c r="H3" s="234"/>
      <c r="I3" s="234"/>
      <c r="J3" s="234"/>
      <c r="K3" s="234"/>
      <c r="L3" s="234"/>
      <c r="M3" s="234"/>
      <c r="N3" s="234"/>
      <c r="O3" s="234"/>
      <c r="P3" s="232" t="s">
        <v>20</v>
      </c>
      <c r="Q3" s="105"/>
    </row>
    <row r="4" spans="1:17" ht="10.5" customHeight="1">
      <c r="A4" s="235" t="s">
        <v>121</v>
      </c>
      <c r="B4" s="236" t="s">
        <v>374</v>
      </c>
      <c r="C4" s="236"/>
      <c r="D4" s="390" t="s">
        <v>375</v>
      </c>
      <c r="E4" s="236" t="s">
        <v>376</v>
      </c>
      <c r="F4" s="236" t="s">
        <v>377</v>
      </c>
      <c r="G4" s="236" t="s">
        <v>378</v>
      </c>
      <c r="H4" s="236" t="s">
        <v>379</v>
      </c>
      <c r="I4" s="236" t="s">
        <v>380</v>
      </c>
      <c r="J4" s="236" t="s">
        <v>371</v>
      </c>
      <c r="K4" s="236" t="s">
        <v>372</v>
      </c>
      <c r="L4" s="236" t="s">
        <v>304</v>
      </c>
      <c r="M4" s="236" t="s">
        <v>522</v>
      </c>
      <c r="N4" s="236" t="s">
        <v>535</v>
      </c>
      <c r="O4" s="236"/>
      <c r="P4" s="236" t="s">
        <v>536</v>
      </c>
      <c r="Q4" s="105"/>
    </row>
    <row r="5" spans="1:17" ht="12">
      <c r="A5" s="107"/>
      <c r="B5" s="479" t="s">
        <v>122</v>
      </c>
      <c r="C5" s="108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480" t="s">
        <v>17</v>
      </c>
      <c r="Q5" s="105"/>
    </row>
    <row r="6" spans="1:17" ht="6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231"/>
      <c r="Q6" s="105"/>
    </row>
    <row r="7" spans="1:18" ht="10.5" customHeight="1">
      <c r="A7" s="111" t="s">
        <v>4</v>
      </c>
      <c r="B7" s="388">
        <v>624</v>
      </c>
      <c r="C7" s="388"/>
      <c r="D7" s="388">
        <v>630</v>
      </c>
      <c r="E7" s="388">
        <v>610</v>
      </c>
      <c r="F7" s="388">
        <v>440</v>
      </c>
      <c r="G7" s="388">
        <v>790</v>
      </c>
      <c r="H7" s="388">
        <v>540</v>
      </c>
      <c r="I7" s="388">
        <v>560</v>
      </c>
      <c r="J7" s="388">
        <v>620</v>
      </c>
      <c r="K7" s="388">
        <v>670</v>
      </c>
      <c r="L7" s="388">
        <v>690</v>
      </c>
      <c r="M7" s="388">
        <v>660</v>
      </c>
      <c r="N7" s="388">
        <f>(AVERAGE(K7:M7)/AVERAGE($K$22:$M$22))*$N$22+14.2</f>
        <v>709.9719796779473</v>
      </c>
      <c r="O7" s="388"/>
      <c r="P7" s="237">
        <f>+((N7/M7)-1)*100</f>
        <v>7.571512072416264</v>
      </c>
      <c r="Q7" s="105"/>
      <c r="R7" s="492"/>
    </row>
    <row r="8" spans="1:18" ht="10.5" customHeight="1">
      <c r="A8" s="111" t="s">
        <v>5</v>
      </c>
      <c r="B8" s="388">
        <v>347</v>
      </c>
      <c r="C8" s="388"/>
      <c r="D8" s="388">
        <v>350</v>
      </c>
      <c r="E8" s="388">
        <v>285</v>
      </c>
      <c r="F8" s="388">
        <v>215</v>
      </c>
      <c r="G8" s="388">
        <v>270</v>
      </c>
      <c r="H8" s="388">
        <v>170</v>
      </c>
      <c r="I8" s="388">
        <v>190</v>
      </c>
      <c r="J8" s="388">
        <v>235</v>
      </c>
      <c r="K8" s="388">
        <v>225</v>
      </c>
      <c r="L8" s="388">
        <v>200</v>
      </c>
      <c r="M8" s="388">
        <v>200</v>
      </c>
      <c r="N8" s="388">
        <f>(AVERAGE(K8:M8)/AVERAGE($K$22:$M$22))*$N$22+1.7</f>
        <v>216.97598381124604</v>
      </c>
      <c r="O8" s="388"/>
      <c r="P8" s="237">
        <f>+((N8/M8)-1)*100</f>
        <v>8.487991905623016</v>
      </c>
      <c r="Q8" s="105"/>
      <c r="R8" s="492"/>
    </row>
    <row r="9" spans="1:18" ht="10.5" customHeight="1">
      <c r="A9" s="111" t="s">
        <v>6</v>
      </c>
      <c r="B9" s="388">
        <v>203</v>
      </c>
      <c r="C9" s="388"/>
      <c r="D9" s="388">
        <v>210</v>
      </c>
      <c r="E9" s="388">
        <v>165</v>
      </c>
      <c r="F9" s="388">
        <v>160</v>
      </c>
      <c r="G9" s="388">
        <v>185</v>
      </c>
      <c r="H9" s="388">
        <v>155</v>
      </c>
      <c r="I9" s="388">
        <v>120</v>
      </c>
      <c r="J9" s="388">
        <v>175</v>
      </c>
      <c r="K9" s="388">
        <v>140</v>
      </c>
      <c r="L9" s="388">
        <v>110</v>
      </c>
      <c r="M9" s="388">
        <v>135</v>
      </c>
      <c r="N9" s="388">
        <f>(AVERAGE(K9:M9)/AVERAGE($K$22:$M$22))*$N$22-6.6</f>
        <v>126.01000602772757</v>
      </c>
      <c r="O9" s="388"/>
      <c r="P9" s="237">
        <f>+((N9/M9)-1)*100</f>
        <v>-6.659254794275871</v>
      </c>
      <c r="Q9" s="105"/>
      <c r="R9" s="492"/>
    </row>
    <row r="10" spans="1:18" ht="10.5" customHeight="1">
      <c r="A10" s="111" t="s">
        <v>9</v>
      </c>
      <c r="B10" s="388">
        <v>170</v>
      </c>
      <c r="C10" s="388"/>
      <c r="D10" s="388">
        <v>205</v>
      </c>
      <c r="E10" s="388">
        <v>165</v>
      </c>
      <c r="F10" s="388">
        <v>115</v>
      </c>
      <c r="G10" s="388">
        <v>170</v>
      </c>
      <c r="H10" s="388">
        <v>115</v>
      </c>
      <c r="I10" s="388">
        <v>115</v>
      </c>
      <c r="J10" s="388">
        <v>145</v>
      </c>
      <c r="K10" s="388">
        <v>145</v>
      </c>
      <c r="L10" s="388">
        <v>150</v>
      </c>
      <c r="M10" s="388">
        <v>150</v>
      </c>
      <c r="N10" s="388">
        <f>(AVERAGE(K10:M10)/AVERAGE($K$22:$M$22))*$N$22+6.7</f>
        <v>159.9765004736072</v>
      </c>
      <c r="O10" s="388"/>
      <c r="P10" s="237">
        <f>+((N10/M10)-1)*100</f>
        <v>6.651000315738131</v>
      </c>
      <c r="Q10" s="105"/>
      <c r="R10" s="492"/>
    </row>
    <row r="11" spans="1:18" ht="10.5" customHeight="1">
      <c r="A11" s="111" t="s">
        <v>7</v>
      </c>
      <c r="B11" s="388">
        <v>169</v>
      </c>
      <c r="C11" s="388"/>
      <c r="D11" s="388">
        <v>155</v>
      </c>
      <c r="E11" s="388">
        <v>120</v>
      </c>
      <c r="F11" s="388">
        <v>115</v>
      </c>
      <c r="G11" s="388">
        <v>92</v>
      </c>
      <c r="H11" s="388">
        <v>80</v>
      </c>
      <c r="I11" s="388">
        <v>75</v>
      </c>
      <c r="J11" s="388">
        <v>90</v>
      </c>
      <c r="K11" s="388">
        <v>63</v>
      </c>
      <c r="L11" s="388">
        <v>48</v>
      </c>
      <c r="M11" s="388">
        <v>48</v>
      </c>
      <c r="N11" s="388">
        <f>(AVERAGE(K11:M11)/AVERAGE($K$22:$M$22))*$N$22+0.2</f>
        <v>54.966210281581</v>
      </c>
      <c r="O11" s="388"/>
      <c r="P11" s="237">
        <f>+((N11/M11)-1)*100</f>
        <v>14.51293808662708</v>
      </c>
      <c r="Q11" s="105"/>
      <c r="R11" s="492"/>
    </row>
    <row r="12" spans="1:17" ht="7.5" customHeight="1">
      <c r="A12" s="111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237"/>
      <c r="Q12" s="105"/>
    </row>
    <row r="13" spans="1:18" ht="10.5" customHeight="1">
      <c r="A13" s="111" t="s">
        <v>8</v>
      </c>
      <c r="B13" s="388">
        <v>130.8</v>
      </c>
      <c r="C13" s="388"/>
      <c r="D13" s="388">
        <v>135</v>
      </c>
      <c r="E13" s="388">
        <v>115</v>
      </c>
      <c r="F13" s="388">
        <v>88</v>
      </c>
      <c r="G13" s="388">
        <v>92</v>
      </c>
      <c r="H13" s="388">
        <v>77</v>
      </c>
      <c r="I13" s="388">
        <v>60</v>
      </c>
      <c r="J13" s="388">
        <v>66</v>
      </c>
      <c r="K13" s="388">
        <v>67</v>
      </c>
      <c r="L13" s="388">
        <v>59</v>
      </c>
      <c r="M13" s="388">
        <v>52</v>
      </c>
      <c r="N13" s="388">
        <f>(AVERAGE(K13:M13)/AVERAGE($K$22:$M$22))*$N$22-7.3</f>
        <v>54.01060018944288</v>
      </c>
      <c r="O13" s="388"/>
      <c r="P13" s="237">
        <f>+((N13/M13)-1)*100</f>
        <v>3.8665388258517064</v>
      </c>
      <c r="Q13" s="105"/>
      <c r="R13" s="492"/>
    </row>
    <row r="14" spans="1:18" ht="10.5" customHeight="1">
      <c r="A14" s="111" t="s">
        <v>10</v>
      </c>
      <c r="B14" s="388">
        <v>110</v>
      </c>
      <c r="C14" s="388"/>
      <c r="D14" s="388">
        <v>105</v>
      </c>
      <c r="E14" s="388">
        <v>90</v>
      </c>
      <c r="F14" s="388">
        <v>75</v>
      </c>
      <c r="G14" s="388">
        <v>95</v>
      </c>
      <c r="H14" s="388">
        <v>75</v>
      </c>
      <c r="I14" s="388">
        <v>80</v>
      </c>
      <c r="J14" s="388">
        <v>100</v>
      </c>
      <c r="K14" s="388">
        <v>105</v>
      </c>
      <c r="L14" s="388">
        <v>90</v>
      </c>
      <c r="M14" s="388">
        <v>80</v>
      </c>
      <c r="N14" s="388">
        <f>(AVERAGE(K14:M14)/AVERAGE($K$22:$M$22))*$N$22-2.7</f>
        <v>92.02143287694827</v>
      </c>
      <c r="O14" s="388"/>
      <c r="P14" s="237">
        <f>+((N14/M14)-1)*100</f>
        <v>15.026791096185343</v>
      </c>
      <c r="Q14" s="105"/>
      <c r="R14" s="492"/>
    </row>
    <row r="15" spans="1:18" ht="10.5" customHeight="1">
      <c r="A15" s="111" t="s">
        <v>117</v>
      </c>
      <c r="B15" s="388">
        <v>35.2</v>
      </c>
      <c r="C15" s="388"/>
      <c r="D15" s="388">
        <v>40</v>
      </c>
      <c r="E15" s="388">
        <v>36</v>
      </c>
      <c r="F15" s="388">
        <v>27</v>
      </c>
      <c r="G15" s="388">
        <v>32</v>
      </c>
      <c r="H15" s="388">
        <v>30</v>
      </c>
      <c r="I15" s="388">
        <v>25</v>
      </c>
      <c r="J15" s="388">
        <v>34</v>
      </c>
      <c r="K15" s="388">
        <v>29</v>
      </c>
      <c r="L15" s="388">
        <v>25</v>
      </c>
      <c r="M15" s="388">
        <v>31.5</v>
      </c>
      <c r="N15" s="388">
        <f>(AVERAGE(K15:M15)/AVERAGE($K$22:$M$22))*$N$22+5.6</f>
        <v>35.04975458537846</v>
      </c>
      <c r="O15" s="388"/>
      <c r="P15" s="237">
        <f>+((N15/M15)-1)*100</f>
        <v>11.269062175804635</v>
      </c>
      <c r="Q15" s="105"/>
      <c r="R15" s="492"/>
    </row>
    <row r="16" spans="1:18" ht="10.5" customHeight="1">
      <c r="A16" s="111" t="s">
        <v>116</v>
      </c>
      <c r="B16" s="388">
        <v>39.2</v>
      </c>
      <c r="C16" s="388"/>
      <c r="D16" s="388">
        <v>36</v>
      </c>
      <c r="E16" s="388">
        <v>32</v>
      </c>
      <c r="F16" s="388">
        <v>34</v>
      </c>
      <c r="G16" s="388">
        <v>44.5</v>
      </c>
      <c r="H16" s="388">
        <v>27.5</v>
      </c>
      <c r="I16" s="388">
        <v>30</v>
      </c>
      <c r="J16" s="388">
        <v>49</v>
      </c>
      <c r="K16" s="388">
        <v>61</v>
      </c>
      <c r="L16" s="388">
        <v>60</v>
      </c>
      <c r="M16" s="388">
        <v>50</v>
      </c>
      <c r="N16" s="388">
        <f>(AVERAGE(K16:M16)/AVERAGE($K$22:$M$22))*$N$22-1.9</f>
        <v>56.999509170756916</v>
      </c>
      <c r="O16" s="388"/>
      <c r="P16" s="237">
        <f>+((N16/M16)-1)*100</f>
        <v>13.999018341513825</v>
      </c>
      <c r="Q16" s="105"/>
      <c r="R16" s="492"/>
    </row>
    <row r="17" spans="1:18" ht="10.5" customHeight="1">
      <c r="A17" s="111" t="s">
        <v>118</v>
      </c>
      <c r="B17" s="388">
        <f>AVERAGE(30,25,13,15,15)</f>
        <v>19.6</v>
      </c>
      <c r="C17" s="388"/>
      <c r="D17" s="388">
        <v>50</v>
      </c>
      <c r="E17" s="388">
        <v>20</v>
      </c>
      <c r="F17" s="388">
        <v>30</v>
      </c>
      <c r="G17" s="388">
        <v>37.5</v>
      </c>
      <c r="H17" s="388">
        <v>50</v>
      </c>
      <c r="I17" s="388">
        <v>20</v>
      </c>
      <c r="J17" s="388">
        <v>17</v>
      </c>
      <c r="K17" s="388">
        <v>20</v>
      </c>
      <c r="L17" s="389">
        <v>17</v>
      </c>
      <c r="M17" s="389">
        <v>24</v>
      </c>
      <c r="N17" s="388">
        <f>(AVERAGE(K17:M17)/AVERAGE($K$22:$M$22))*$N$22+1</f>
        <v>22.01093601997761</v>
      </c>
      <c r="O17" s="389"/>
      <c r="P17" s="237">
        <f>+((N17/M17)-1)*100</f>
        <v>-8.287766583426626</v>
      </c>
      <c r="Q17" s="105"/>
      <c r="R17" s="492"/>
    </row>
    <row r="18" spans="1:17" ht="6.75" customHeight="1">
      <c r="A18" s="111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237"/>
      <c r="Q18" s="105"/>
    </row>
    <row r="19" spans="1:18" ht="10.5" customHeight="1">
      <c r="A19" s="111" t="s">
        <v>111</v>
      </c>
      <c r="B19" s="388">
        <f>AVERAGE(39,34,30,44,31)</f>
        <v>35.6</v>
      </c>
      <c r="C19" s="388"/>
      <c r="D19" s="388">
        <v>31</v>
      </c>
      <c r="E19" s="388">
        <v>25</v>
      </c>
      <c r="F19" s="388">
        <v>23</v>
      </c>
      <c r="G19" s="388">
        <v>25</v>
      </c>
      <c r="H19" s="388">
        <v>25</v>
      </c>
      <c r="I19" s="388">
        <v>24</v>
      </c>
      <c r="J19" s="388">
        <v>25</v>
      </c>
      <c r="K19" s="388">
        <v>19</v>
      </c>
      <c r="L19" s="388">
        <v>17</v>
      </c>
      <c r="M19" s="388">
        <v>17</v>
      </c>
      <c r="N19" s="388">
        <f>(AVERAGE(K19:M19)/AVERAGE($K$22:$M$22))*$N$22+0.7</f>
        <v>18.955403427193662</v>
      </c>
      <c r="O19" s="388"/>
      <c r="P19" s="237">
        <f>+((N19/M19)-1)*100</f>
        <v>11.502373101139195</v>
      </c>
      <c r="Q19" s="105"/>
      <c r="R19" s="492"/>
    </row>
    <row r="20" spans="1:18" ht="10.5" customHeight="1">
      <c r="A20" s="111" t="s">
        <v>123</v>
      </c>
      <c r="B20" s="388">
        <f aca="true" t="shared" si="0" ref="B20:N20">+B22-SUM(B7:B19)</f>
        <v>76.80000000000018</v>
      </c>
      <c r="C20" s="388"/>
      <c r="D20" s="388">
        <f t="shared" si="0"/>
        <v>80.5</v>
      </c>
      <c r="E20" s="388">
        <f t="shared" si="0"/>
        <v>104.70000000000005</v>
      </c>
      <c r="F20" s="388">
        <f t="shared" si="0"/>
        <v>115.40000000000009</v>
      </c>
      <c r="G20" s="388">
        <f t="shared" si="0"/>
        <v>96.70000000000005</v>
      </c>
      <c r="H20" s="388">
        <f t="shared" si="0"/>
        <v>61.59999999999991</v>
      </c>
      <c r="I20" s="388">
        <f t="shared" si="0"/>
        <v>55.299999999999955</v>
      </c>
      <c r="J20" s="388">
        <f t="shared" si="0"/>
        <v>74</v>
      </c>
      <c r="K20" s="388">
        <f t="shared" si="0"/>
        <v>78.79999999999995</v>
      </c>
      <c r="L20" s="388">
        <f t="shared" si="0"/>
        <v>61.40000000000009</v>
      </c>
      <c r="M20" s="388">
        <f t="shared" si="0"/>
        <v>47.5</v>
      </c>
      <c r="N20" s="388">
        <f t="shared" si="0"/>
        <v>53.05168345819311</v>
      </c>
      <c r="O20" s="388"/>
      <c r="P20" s="237">
        <f>+((N20/M20)-1)*100</f>
        <v>11.687754648827609</v>
      </c>
      <c r="Q20" s="105"/>
      <c r="R20" s="492"/>
    </row>
    <row r="21" spans="1:17" ht="5.25" customHeight="1">
      <c r="A21" s="107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237"/>
      <c r="Q21" s="105"/>
    </row>
    <row r="22" spans="1:18" ht="10.5" customHeight="1">
      <c r="A22" s="456" t="s">
        <v>124</v>
      </c>
      <c r="B22" s="457">
        <v>1960.2</v>
      </c>
      <c r="C22" s="457"/>
      <c r="D22" s="457">
        <v>2027.5</v>
      </c>
      <c r="E22" s="457">
        <v>1767.7</v>
      </c>
      <c r="F22" s="457">
        <v>1437.4</v>
      </c>
      <c r="G22" s="457">
        <v>1929.7</v>
      </c>
      <c r="H22" s="457">
        <v>1406.1</v>
      </c>
      <c r="I22" s="457">
        <v>1354.3</v>
      </c>
      <c r="J22" s="457">
        <v>1630</v>
      </c>
      <c r="K22" s="457">
        <v>1622.8</v>
      </c>
      <c r="L22" s="457">
        <v>1527.4</v>
      </c>
      <c r="M22" s="457">
        <v>1495</v>
      </c>
      <c r="N22" s="457">
        <v>1600</v>
      </c>
      <c r="O22" s="457"/>
      <c r="P22" s="237">
        <f>+((N22/M22)-1)*100</f>
        <v>7.0234113712374535</v>
      </c>
      <c r="Q22" s="105"/>
      <c r="R22" s="492"/>
    </row>
    <row r="23" spans="1:17" ht="5.25" customHeight="1">
      <c r="A23" s="98" t="s">
        <v>15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49"/>
      <c r="Q23" s="105"/>
    </row>
    <row r="24" spans="1:17" ht="11.25" customHeight="1">
      <c r="A24" s="98" t="s">
        <v>539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5"/>
    </row>
    <row r="25" spans="1:17" ht="9" customHeight="1">
      <c r="A25" s="112" t="s">
        <v>178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5"/>
    </row>
    <row r="26" spans="1:17" ht="8.25" customHeight="1">
      <c r="A26" s="112" t="s">
        <v>249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5"/>
    </row>
    <row r="27" spans="1:16" ht="14.25" customHeight="1">
      <c r="A27" s="98" t="s">
        <v>287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30" ht="12.75">
      <c r="A30" s="357" t="s">
        <v>391</v>
      </c>
    </row>
    <row r="32" ht="12.75">
      <c r="A32" s="357" t="s">
        <v>248</v>
      </c>
    </row>
    <row r="34" ht="12.75">
      <c r="A34" s="357" t="s">
        <v>562</v>
      </c>
    </row>
  </sheetData>
  <hyperlinks>
    <hyperlink ref="A32" r:id="rId1" display="Link to NASS Acreage report"/>
    <hyperlink ref="A30" r:id="rId2" display="Link to NASS Prospective Plantings Report"/>
    <hyperlink ref="A34" r:id="rId3" display="Link to NASS Crop Production Report"/>
  </hyperlinks>
  <printOptions horizontalCentered="1"/>
  <pageMargins left="0.417" right="0.417" top="0.25" bottom="0.6" header="0" footer="0.2"/>
  <pageSetup fitToHeight="1" fitToWidth="1" horizontalDpi="600" verticalDpi="600" orientation="portrait" scale="89" r:id="rId4"/>
  <headerFooter alignWithMargins="0">
    <oddFooter>&amp;C&amp;"Arial,Italic"&amp;9Vegetables and Melons Outlook&amp;"Arial,Regular"/VGS-331/February 25, 2009
Economic Research Service, USDA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51"/>
    <pageSetUpPr fitToPage="1"/>
  </sheetPr>
  <dimension ref="A2:AE34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11.140625" style="3" customWidth="1"/>
    <col min="2" max="2" width="7.7109375" style="3" customWidth="1"/>
    <col min="3" max="3" width="1.421875" style="3" customWidth="1"/>
    <col min="4" max="14" width="7.140625" style="3" customWidth="1"/>
    <col min="15" max="15" width="1.7109375" style="3" customWidth="1"/>
    <col min="16" max="16" width="8.7109375" style="3" customWidth="1"/>
    <col min="17" max="17" width="4.8515625" style="3" customWidth="1"/>
    <col min="18" max="18" width="3.8515625" style="3" customWidth="1"/>
    <col min="19" max="19" width="10.8515625" style="3" customWidth="1"/>
    <col min="20" max="20" width="7.57421875" style="3" customWidth="1"/>
    <col min="21" max="29" width="7.00390625" style="3" customWidth="1"/>
    <col min="30" max="30" width="6.00390625" style="3" customWidth="1"/>
    <col min="31" max="31" width="6.57421875" style="3" customWidth="1"/>
    <col min="32" max="16384" width="9.7109375" style="3" customWidth="1"/>
  </cols>
  <sheetData>
    <row r="2" spans="1:31" ht="12.75" customHeight="1">
      <c r="A2" s="179" t="s">
        <v>542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180" t="s">
        <v>231</v>
      </c>
      <c r="T2" s="155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2.75" customHeight="1">
      <c r="A3" s="238"/>
      <c r="B3" s="234" t="s">
        <v>369</v>
      </c>
      <c r="C3" s="232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 t="s">
        <v>0</v>
      </c>
      <c r="Q3" s="2"/>
      <c r="R3" s="2"/>
      <c r="S3" s="245"/>
      <c r="T3" s="246" t="s">
        <v>211</v>
      </c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12.75" customHeight="1">
      <c r="A4" s="240" t="s">
        <v>1</v>
      </c>
      <c r="B4" s="236" t="s">
        <v>370</v>
      </c>
      <c r="C4" s="240"/>
      <c r="D4" s="241" t="s">
        <v>312</v>
      </c>
      <c r="E4" s="241" t="s">
        <v>112</v>
      </c>
      <c r="F4" s="241" t="s">
        <v>179</v>
      </c>
      <c r="G4" s="241" t="s">
        <v>232</v>
      </c>
      <c r="H4" s="241" t="s">
        <v>243</v>
      </c>
      <c r="I4" s="241" t="s">
        <v>273</v>
      </c>
      <c r="J4" s="241" t="s">
        <v>371</v>
      </c>
      <c r="K4" s="241" t="s">
        <v>372</v>
      </c>
      <c r="L4" s="241" t="s">
        <v>326</v>
      </c>
      <c r="M4" s="241" t="s">
        <v>541</v>
      </c>
      <c r="N4" s="241" t="s">
        <v>540</v>
      </c>
      <c r="O4" s="241"/>
      <c r="P4" s="241" t="s">
        <v>543</v>
      </c>
      <c r="Q4" s="2"/>
      <c r="R4" s="2"/>
      <c r="S4" s="248" t="s">
        <v>1</v>
      </c>
      <c r="T4" s="249" t="s">
        <v>212</v>
      </c>
      <c r="U4" s="249">
        <v>1999</v>
      </c>
      <c r="V4" s="250">
        <v>2000</v>
      </c>
      <c r="W4" s="250">
        <v>2001</v>
      </c>
      <c r="X4" s="250">
        <v>2002</v>
      </c>
      <c r="Y4" s="250">
        <v>2003</v>
      </c>
      <c r="Z4" s="250">
        <v>2004</v>
      </c>
      <c r="AA4" s="250">
        <v>2005</v>
      </c>
      <c r="AB4" s="249" t="s">
        <v>270</v>
      </c>
      <c r="AC4" s="249" t="s">
        <v>304</v>
      </c>
      <c r="AD4" s="249" t="s">
        <v>522</v>
      </c>
      <c r="AE4" s="249" t="s">
        <v>523</v>
      </c>
    </row>
    <row r="5" spans="1:31" ht="15.75" customHeight="1">
      <c r="A5" s="4"/>
      <c r="B5" s="481" t="s">
        <v>2</v>
      </c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82" t="s">
        <v>3</v>
      </c>
      <c r="Q5" s="2"/>
      <c r="R5" s="2"/>
      <c r="S5" s="4"/>
      <c r="T5" s="386" t="s">
        <v>183</v>
      </c>
      <c r="U5" s="387"/>
      <c r="V5" s="386"/>
      <c r="W5" s="387"/>
      <c r="X5" s="387"/>
      <c r="Y5" s="387"/>
      <c r="Z5" s="387"/>
      <c r="AA5" s="387"/>
      <c r="AB5" s="387"/>
      <c r="AC5" s="387"/>
      <c r="AD5" s="387"/>
      <c r="AE5" s="387"/>
    </row>
    <row r="6" spans="1:27" ht="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43"/>
      <c r="Q6" s="2"/>
      <c r="R6" s="2"/>
      <c r="S6" s="10"/>
      <c r="T6" s="22"/>
      <c r="U6" s="22"/>
      <c r="V6" s="22"/>
      <c r="W6" s="22"/>
      <c r="X6" s="22"/>
      <c r="Y6" s="22"/>
      <c r="Z6" s="22"/>
      <c r="AA6" s="22"/>
    </row>
    <row r="7" spans="1:31" ht="10.5" customHeight="1">
      <c r="A7" s="11" t="s">
        <v>4</v>
      </c>
      <c r="B7" s="385">
        <v>571</v>
      </c>
      <c r="C7" s="385"/>
      <c r="D7" s="385">
        <v>570</v>
      </c>
      <c r="E7" s="385">
        <v>525</v>
      </c>
      <c r="F7" s="385">
        <v>400</v>
      </c>
      <c r="G7" s="385">
        <v>690</v>
      </c>
      <c r="H7" s="385">
        <v>520</v>
      </c>
      <c r="I7" s="385">
        <v>475</v>
      </c>
      <c r="J7" s="385">
        <v>565</v>
      </c>
      <c r="K7" s="385">
        <v>640</v>
      </c>
      <c r="L7" s="385">
        <v>665</v>
      </c>
      <c r="M7" s="385">
        <v>640</v>
      </c>
      <c r="N7" s="385">
        <f>+DBean7!N7*(DBean8!AE7*0.01)</f>
        <v>683.6294080108084</v>
      </c>
      <c r="O7" s="385"/>
      <c r="P7" s="244">
        <f>((N7/M7)-1)*100</f>
        <v>6.817095001688811</v>
      </c>
      <c r="Q7" s="2"/>
      <c r="R7" s="2"/>
      <c r="S7" s="11" t="s">
        <v>4</v>
      </c>
      <c r="T7" s="177">
        <f>(+B7/DBean7!B7)*100</f>
        <v>91.50641025641025</v>
      </c>
      <c r="U7" s="177">
        <f>(+D7/DBean7!D7)*100</f>
        <v>90.47619047619048</v>
      </c>
      <c r="V7" s="177">
        <f>(+E7/DBean7!E7)*100</f>
        <v>86.0655737704918</v>
      </c>
      <c r="W7" s="177">
        <f>(+F7/DBean7!F7)*100</f>
        <v>90.9090909090909</v>
      </c>
      <c r="X7" s="177">
        <f>(+G7/DBean7!G7)*100</f>
        <v>87.34177215189874</v>
      </c>
      <c r="Y7" s="177">
        <f>(+H7/DBean7!H7)*100</f>
        <v>96.29629629629629</v>
      </c>
      <c r="Z7" s="177">
        <f>(+I7/DBean7!I7)*100</f>
        <v>84.82142857142857</v>
      </c>
      <c r="AA7" s="177">
        <f>(+J7/DBean7!J7)*100</f>
        <v>91.12903225806451</v>
      </c>
      <c r="AB7" s="177">
        <f>(+K7/DBean7!K7)*100</f>
        <v>95.52238805970148</v>
      </c>
      <c r="AC7" s="177">
        <f>(+L7/DBean7!L7)*100</f>
        <v>96.37681159420289</v>
      </c>
      <c r="AD7" s="177">
        <f>(+M7/DBean7!M7)*100</f>
        <v>96.96969696969697</v>
      </c>
      <c r="AE7" s="177">
        <f>AVERAGE(AB7:AD7)</f>
        <v>96.28963220786711</v>
      </c>
    </row>
    <row r="8" spans="1:31" ht="10.5" customHeight="1">
      <c r="A8" s="11" t="s">
        <v>5</v>
      </c>
      <c r="B8" s="385">
        <v>333</v>
      </c>
      <c r="C8" s="385"/>
      <c r="D8" s="385">
        <v>350</v>
      </c>
      <c r="E8" s="385">
        <v>275</v>
      </c>
      <c r="F8" s="385">
        <v>130</v>
      </c>
      <c r="G8" s="385">
        <v>265</v>
      </c>
      <c r="H8" s="385">
        <v>165</v>
      </c>
      <c r="I8" s="385">
        <v>185</v>
      </c>
      <c r="J8" s="385">
        <v>230</v>
      </c>
      <c r="K8" s="385">
        <v>215</v>
      </c>
      <c r="L8" s="385">
        <v>195</v>
      </c>
      <c r="M8" s="385">
        <v>195</v>
      </c>
      <c r="N8" s="385">
        <f>+DBean7!N8*(DBean8!AE8*0.01)</f>
        <v>210.14525839496605</v>
      </c>
      <c r="O8" s="385"/>
      <c r="P8" s="244">
        <f>((N8/M8)-1)*100</f>
        <v>7.766799176905659</v>
      </c>
      <c r="Q8" s="2"/>
      <c r="R8" s="2"/>
      <c r="S8" s="11" t="s">
        <v>5</v>
      </c>
      <c r="T8" s="177">
        <f>(+B8/DBean7!B8)*100</f>
        <v>95.96541786743515</v>
      </c>
      <c r="U8" s="177">
        <f>(+D8/DBean7!D8)*100</f>
        <v>100</v>
      </c>
      <c r="V8" s="177">
        <f>(+E8/DBean7!E8)*100</f>
        <v>96.49122807017544</v>
      </c>
      <c r="W8" s="177">
        <f>(+F8/DBean7!F8)*100</f>
        <v>60.46511627906976</v>
      </c>
      <c r="X8" s="177">
        <f>(+G8/DBean7!G8)*100</f>
        <v>98.14814814814815</v>
      </c>
      <c r="Y8" s="177">
        <f>(+H8/DBean7!H8)*100</f>
        <v>97.05882352941177</v>
      </c>
      <c r="Z8" s="177">
        <f>(+I8/DBean7!I8)*100</f>
        <v>97.36842105263158</v>
      </c>
      <c r="AA8" s="177">
        <f>(+J8/DBean7!J8)*100</f>
        <v>97.87234042553192</v>
      </c>
      <c r="AB8" s="177">
        <f>(+K8/DBean7!K8)*100</f>
        <v>95.55555555555556</v>
      </c>
      <c r="AC8" s="177">
        <f>(+L8/DBean7!L8)*100</f>
        <v>97.5</v>
      </c>
      <c r="AD8" s="177">
        <f>(+M8/DBean7!M8)*100</f>
        <v>97.5</v>
      </c>
      <c r="AE8" s="177">
        <f>AVERAGE(AB8:AD8)</f>
        <v>96.85185185185185</v>
      </c>
    </row>
    <row r="9" spans="1:31" ht="10.5" customHeight="1">
      <c r="A9" s="11" t="s">
        <v>6</v>
      </c>
      <c r="B9" s="385">
        <v>191.6</v>
      </c>
      <c r="C9" s="385"/>
      <c r="D9" s="385">
        <v>187</v>
      </c>
      <c r="E9" s="385">
        <v>156</v>
      </c>
      <c r="F9" s="385">
        <v>148</v>
      </c>
      <c r="G9" s="385">
        <v>165</v>
      </c>
      <c r="H9" s="385">
        <v>148</v>
      </c>
      <c r="I9" s="385">
        <v>110</v>
      </c>
      <c r="J9" s="385">
        <v>172</v>
      </c>
      <c r="K9" s="385">
        <v>124</v>
      </c>
      <c r="L9" s="385">
        <v>107</v>
      </c>
      <c r="M9" s="385">
        <v>126</v>
      </c>
      <c r="N9" s="385">
        <f>+DBean7!N9*(DBean8!AE9*0.01)</f>
        <v>117.2638569802042</v>
      </c>
      <c r="O9" s="385"/>
      <c r="P9" s="244">
        <f>((N9/M9)-1)*100</f>
        <v>-6.9334468411077825</v>
      </c>
      <c r="Q9" s="2"/>
      <c r="R9" s="2"/>
      <c r="S9" s="11" t="s">
        <v>6</v>
      </c>
      <c r="T9" s="177">
        <f>(+B9/DBean7!B9)*100</f>
        <v>94.38423645320196</v>
      </c>
      <c r="U9" s="177">
        <f>(+D9/DBean7!D9)*100</f>
        <v>89.04761904761904</v>
      </c>
      <c r="V9" s="177">
        <f>(+E9/DBean7!E9)*100</f>
        <v>94.54545454545455</v>
      </c>
      <c r="W9" s="177">
        <f>(+F9/DBean7!F9)*100</f>
        <v>92.5</v>
      </c>
      <c r="X9" s="177">
        <f>(+G9/DBean7!G9)*100</f>
        <v>89.1891891891892</v>
      </c>
      <c r="Y9" s="177">
        <f>(+H9/DBean7!H9)*100</f>
        <v>95.48387096774194</v>
      </c>
      <c r="Z9" s="177">
        <f>(+I9/DBean7!I9)*100</f>
        <v>91.66666666666666</v>
      </c>
      <c r="AA9" s="177">
        <f>(+J9/DBean7!J9)*100</f>
        <v>98.28571428571429</v>
      </c>
      <c r="AB9" s="177">
        <f>(+K9/DBean7!K9)*100</f>
        <v>88.57142857142857</v>
      </c>
      <c r="AC9" s="177">
        <f>(+L9/DBean7!L9)*100</f>
        <v>97.27272727272728</v>
      </c>
      <c r="AD9" s="177">
        <f>(+M9/DBean7!M9)*100</f>
        <v>93.33333333333333</v>
      </c>
      <c r="AE9" s="177">
        <f>AVERAGE(AB9:AD9)</f>
        <v>93.05916305916305</v>
      </c>
    </row>
    <row r="10" spans="1:31" ht="10.5" customHeight="1">
      <c r="A10" s="11" t="s">
        <v>9</v>
      </c>
      <c r="B10" s="385">
        <v>153.32</v>
      </c>
      <c r="C10" s="385"/>
      <c r="D10" s="385">
        <v>165</v>
      </c>
      <c r="E10" s="385">
        <v>150</v>
      </c>
      <c r="F10" s="385">
        <v>105</v>
      </c>
      <c r="G10" s="385">
        <v>155</v>
      </c>
      <c r="H10" s="385">
        <v>110</v>
      </c>
      <c r="I10" s="385">
        <v>100</v>
      </c>
      <c r="J10" s="385">
        <v>135</v>
      </c>
      <c r="K10" s="385">
        <v>135</v>
      </c>
      <c r="L10" s="385">
        <v>145</v>
      </c>
      <c r="M10" s="385">
        <v>145</v>
      </c>
      <c r="N10" s="385">
        <f>+DBean7!N10*(DBean8!AE10*0.01)</f>
        <v>152.74384642920657</v>
      </c>
      <c r="O10" s="385"/>
      <c r="P10" s="244">
        <f>((N10/M10)-1)*100</f>
        <v>5.340583744280392</v>
      </c>
      <c r="Q10" s="2"/>
      <c r="R10" s="2"/>
      <c r="S10" s="11" t="s">
        <v>9</v>
      </c>
      <c r="T10" s="177">
        <f>(+B10/DBean7!B10)*100</f>
        <v>90.18823529411765</v>
      </c>
      <c r="U10" s="177">
        <f>(+D10/DBean7!D10)*100</f>
        <v>80.48780487804879</v>
      </c>
      <c r="V10" s="177">
        <f>(+E10/DBean7!E10)*100</f>
        <v>90.9090909090909</v>
      </c>
      <c r="W10" s="177">
        <f>(+F10/DBean7!F10)*100</f>
        <v>91.30434782608695</v>
      </c>
      <c r="X10" s="177">
        <f>(+G10/DBean7!G10)*100</f>
        <v>91.17647058823529</v>
      </c>
      <c r="Y10" s="177">
        <f>(+H10/DBean7!H10)*100</f>
        <v>95.65217391304348</v>
      </c>
      <c r="Z10" s="177">
        <f>(+I10/DBean7!I10)*100</f>
        <v>86.95652173913044</v>
      </c>
      <c r="AA10" s="177">
        <f>(+J10/DBean7!J10)*100</f>
        <v>93.10344827586206</v>
      </c>
      <c r="AB10" s="177">
        <f>(+K10/DBean7!K10)*100</f>
        <v>93.10344827586206</v>
      </c>
      <c r="AC10" s="177">
        <f>(+L10/DBean7!L10)*100</f>
        <v>96.66666666666667</v>
      </c>
      <c r="AD10" s="177">
        <f>(+M10/DBean7!M10)*100</f>
        <v>96.66666666666667</v>
      </c>
      <c r="AE10" s="177">
        <f>AVERAGE(AB10:AD10)</f>
        <v>95.47892720306514</v>
      </c>
    </row>
    <row r="11" spans="1:31" ht="10.5" customHeight="1">
      <c r="A11" s="11" t="s">
        <v>10</v>
      </c>
      <c r="B11" s="385">
        <v>108</v>
      </c>
      <c r="C11" s="385"/>
      <c r="D11" s="385">
        <v>103</v>
      </c>
      <c r="E11" s="385">
        <v>88</v>
      </c>
      <c r="F11" s="385">
        <v>73</v>
      </c>
      <c r="G11" s="385">
        <v>93</v>
      </c>
      <c r="H11" s="385">
        <v>73</v>
      </c>
      <c r="I11" s="385">
        <v>78</v>
      </c>
      <c r="J11" s="385">
        <v>98</v>
      </c>
      <c r="K11" s="385">
        <v>103</v>
      </c>
      <c r="L11" s="385">
        <v>89</v>
      </c>
      <c r="M11" s="385">
        <v>79</v>
      </c>
      <c r="N11" s="385">
        <f>+DBean7!N14*(DBean8!AE11*0.01)</f>
        <v>90.71292705230913</v>
      </c>
      <c r="O11" s="385"/>
      <c r="P11" s="244">
        <f>((N11/M11)-1)*100</f>
        <v>14.826489939631804</v>
      </c>
      <c r="Q11" s="2"/>
      <c r="R11" s="2"/>
      <c r="S11" s="11" t="s">
        <v>10</v>
      </c>
      <c r="T11" s="177">
        <f>(+B11/DBean7!B14)*100</f>
        <v>98.18181818181819</v>
      </c>
      <c r="U11" s="177">
        <f>(+D11/DBean7!D14)*100</f>
        <v>98.09523809523809</v>
      </c>
      <c r="V11" s="177">
        <f>(+E11/DBean7!E14)*100</f>
        <v>97.77777777777777</v>
      </c>
      <c r="W11" s="177">
        <f>(+F11/DBean7!F14)*100</f>
        <v>97.33333333333334</v>
      </c>
      <c r="X11" s="177">
        <f>(+G11/DBean7!G14)*100</f>
        <v>97.89473684210527</v>
      </c>
      <c r="Y11" s="177">
        <f>(+H11/DBean7!H14)*100</f>
        <v>97.33333333333334</v>
      </c>
      <c r="Z11" s="177">
        <f>(+I11/DBean7!I14)*100</f>
        <v>97.5</v>
      </c>
      <c r="AA11" s="177">
        <f>(+J11/DBean7!J14)*100</f>
        <v>98</v>
      </c>
      <c r="AB11" s="177">
        <f>(+K11/DBean7!K14)*100</f>
        <v>98.09523809523809</v>
      </c>
      <c r="AC11" s="177">
        <f>(+L11/DBean7!L14)*100</f>
        <v>98.88888888888889</v>
      </c>
      <c r="AD11" s="177">
        <f>(+M11/DBean7!M14)*100</f>
        <v>98.75</v>
      </c>
      <c r="AE11" s="177">
        <f>AVERAGE(AB11:AD11)</f>
        <v>98.57804232804233</v>
      </c>
    </row>
    <row r="12" spans="1:31" ht="6" customHeight="1">
      <c r="A12" s="11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244"/>
      <c r="Q12" s="2"/>
      <c r="R12" s="2"/>
      <c r="S12" s="1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</row>
    <row r="13" spans="1:31" ht="10.5" customHeight="1">
      <c r="A13" s="11" t="s">
        <v>8</v>
      </c>
      <c r="B13" s="385">
        <v>125.6</v>
      </c>
      <c r="C13" s="385"/>
      <c r="D13" s="385">
        <v>132</v>
      </c>
      <c r="E13" s="385">
        <v>112</v>
      </c>
      <c r="F13" s="385">
        <v>85</v>
      </c>
      <c r="G13" s="385">
        <v>89</v>
      </c>
      <c r="H13" s="385">
        <v>75</v>
      </c>
      <c r="I13" s="385">
        <v>57</v>
      </c>
      <c r="J13" s="385">
        <v>65</v>
      </c>
      <c r="K13" s="385">
        <v>65</v>
      </c>
      <c r="L13" s="385">
        <v>58</v>
      </c>
      <c r="M13" s="385">
        <v>51.9</v>
      </c>
      <c r="N13" s="385">
        <f>+DBean7!N13*(DBean8!AE13*0.01)</f>
        <v>53.133414468637966</v>
      </c>
      <c r="O13" s="385"/>
      <c r="P13" s="244">
        <f>((N13/M13)-1)*100</f>
        <v>2.376521134177212</v>
      </c>
      <c r="Q13" s="2"/>
      <c r="R13" s="2"/>
      <c r="S13" s="11" t="s">
        <v>8</v>
      </c>
      <c r="T13" s="177">
        <f>(+B13/DBean7!B13)*100</f>
        <v>96.02446483180427</v>
      </c>
      <c r="U13" s="177">
        <f>(+D13/DBean7!D13)*100</f>
        <v>97.77777777777777</v>
      </c>
      <c r="V13" s="177">
        <f>(+E13/DBean7!E13)*100</f>
        <v>97.3913043478261</v>
      </c>
      <c r="W13" s="177">
        <f>(+F13/DBean7!F13)*100</f>
        <v>96.5909090909091</v>
      </c>
      <c r="X13" s="177">
        <f>(+G13/DBean7!G13)*100</f>
        <v>96.73913043478261</v>
      </c>
      <c r="Y13" s="177">
        <f>(+H13/DBean7!H13)*100</f>
        <v>97.40259740259741</v>
      </c>
      <c r="Z13" s="177">
        <f>(+I13/DBean7!I13)*100</f>
        <v>95</v>
      </c>
      <c r="AA13" s="177">
        <f>(+J13/DBean7!J13)*100</f>
        <v>98.48484848484848</v>
      </c>
      <c r="AB13" s="177">
        <f>(+K13/DBean7!K13)*100</f>
        <v>97.01492537313433</v>
      </c>
      <c r="AC13" s="177">
        <f>(+L13/DBean7!L13)*100</f>
        <v>98.30508474576271</v>
      </c>
      <c r="AD13" s="177">
        <f>(+M13/DBean7!M13)*100</f>
        <v>99.8076923076923</v>
      </c>
      <c r="AE13" s="177">
        <f>AVERAGE(AB13:AD13)</f>
        <v>98.37590080886311</v>
      </c>
    </row>
    <row r="14" spans="1:31" ht="10.5" customHeight="1">
      <c r="A14" s="11" t="s">
        <v>7</v>
      </c>
      <c r="B14" s="385">
        <v>152</v>
      </c>
      <c r="C14" s="385"/>
      <c r="D14" s="385">
        <v>145</v>
      </c>
      <c r="E14" s="385">
        <v>110</v>
      </c>
      <c r="F14" s="385">
        <v>105</v>
      </c>
      <c r="G14" s="385">
        <v>70</v>
      </c>
      <c r="H14" s="385">
        <v>73</v>
      </c>
      <c r="I14" s="385">
        <v>67</v>
      </c>
      <c r="J14" s="385">
        <v>80</v>
      </c>
      <c r="K14" s="385">
        <v>54</v>
      </c>
      <c r="L14" s="385">
        <v>46</v>
      </c>
      <c r="M14" s="385">
        <v>44</v>
      </c>
      <c r="N14" s="385">
        <f>+DBean7!N11*(DBean8!AE14*0.01)</f>
        <v>50.05851293501126</v>
      </c>
      <c r="O14" s="385"/>
      <c r="P14" s="244">
        <f>((N14/M14)-1)*100</f>
        <v>13.769347579571045</v>
      </c>
      <c r="Q14" s="2"/>
      <c r="R14" s="2"/>
      <c r="S14" s="11" t="s">
        <v>7</v>
      </c>
      <c r="T14" s="177">
        <f>(+B14/DBean7!B11)*100</f>
        <v>89.94082840236686</v>
      </c>
      <c r="U14" s="177">
        <f>(+D14/DBean7!D11)*100</f>
        <v>93.54838709677419</v>
      </c>
      <c r="V14" s="177">
        <f>(+E14/DBean7!E11)*100</f>
        <v>91.66666666666666</v>
      </c>
      <c r="W14" s="177">
        <f>(+F14/DBean7!F11)*100</f>
        <v>91.30434782608695</v>
      </c>
      <c r="X14" s="177">
        <f>(+G14/DBean7!G11)*100</f>
        <v>76.08695652173914</v>
      </c>
      <c r="Y14" s="177">
        <f>(+H14/DBean7!H11)*100</f>
        <v>91.25</v>
      </c>
      <c r="Z14" s="177">
        <f>(+I14/DBean7!I11)*100</f>
        <v>89.33333333333333</v>
      </c>
      <c r="AA14" s="177">
        <f>(+J14/DBean7!J11)*100</f>
        <v>88.88888888888889</v>
      </c>
      <c r="AB14" s="177">
        <f>(+K14/DBean7!K11)*100</f>
        <v>85.71428571428571</v>
      </c>
      <c r="AC14" s="177">
        <f>(+L14/DBean7!L11)*100</f>
        <v>95.83333333333334</v>
      </c>
      <c r="AD14" s="177">
        <f>(+M14/DBean7!M11)*100</f>
        <v>91.66666666666666</v>
      </c>
      <c r="AE14" s="177">
        <f>AVERAGE(AB14:AD14)</f>
        <v>91.07142857142856</v>
      </c>
    </row>
    <row r="15" spans="1:31" ht="10.5" customHeight="1">
      <c r="A15" s="11" t="s">
        <v>116</v>
      </c>
      <c r="B15" s="385">
        <v>38.8</v>
      </c>
      <c r="C15" s="385"/>
      <c r="D15" s="385">
        <v>36</v>
      </c>
      <c r="E15" s="385">
        <v>32</v>
      </c>
      <c r="F15" s="385">
        <v>34</v>
      </c>
      <c r="G15" s="385">
        <v>44.5</v>
      </c>
      <c r="H15" s="385">
        <v>27.5</v>
      </c>
      <c r="I15" s="385">
        <v>29</v>
      </c>
      <c r="J15" s="385">
        <v>48</v>
      </c>
      <c r="K15" s="385">
        <v>60.5</v>
      </c>
      <c r="L15" s="385">
        <v>60</v>
      </c>
      <c r="M15" s="385">
        <v>50</v>
      </c>
      <c r="N15" s="385">
        <f>+DBean7!N16*(DBean8!AE15*0.01)</f>
        <v>56.84377280690239</v>
      </c>
      <c r="O15" s="385"/>
      <c r="P15" s="244">
        <f>((N15/M15)-1)*100</f>
        <v>13.687545613804787</v>
      </c>
      <c r="Q15" s="2"/>
      <c r="R15" s="2"/>
      <c r="S15" s="11" t="s">
        <v>116</v>
      </c>
      <c r="T15" s="177">
        <f>(+B15/DBean7!B16)*100</f>
        <v>98.97959183673468</v>
      </c>
      <c r="U15" s="177">
        <f>(+D15/DBean7!D16)*100</f>
        <v>100</v>
      </c>
      <c r="V15" s="177">
        <f>(+E15/DBean7!E16)*100</f>
        <v>100</v>
      </c>
      <c r="W15" s="177">
        <f>(+F15/DBean7!F16)*100</f>
        <v>100</v>
      </c>
      <c r="X15" s="177">
        <f>(+G15/DBean7!G16)*100</f>
        <v>100</v>
      </c>
      <c r="Y15" s="177">
        <f>(+H15/DBean7!H16)*100</f>
        <v>100</v>
      </c>
      <c r="Z15" s="177">
        <f>(+I15/DBean7!I16)*100</f>
        <v>96.66666666666667</v>
      </c>
      <c r="AA15" s="177">
        <f>(+J15/DBean7!J16)*100</f>
        <v>97.95918367346938</v>
      </c>
      <c r="AB15" s="177">
        <f>(+K15/DBean7!K16)*100</f>
        <v>99.18032786885246</v>
      </c>
      <c r="AC15" s="177">
        <f>(+L15/DBean7!L16)*100</f>
        <v>100</v>
      </c>
      <c r="AD15" s="177">
        <f>(+M15/DBean7!M16)*100</f>
        <v>100</v>
      </c>
      <c r="AE15" s="177">
        <f>AVERAGE(AB15:AD15)</f>
        <v>99.72677595628416</v>
      </c>
    </row>
    <row r="16" spans="1:31" ht="10.5" customHeight="1">
      <c r="A16" s="11" t="s">
        <v>118</v>
      </c>
      <c r="B16" s="385">
        <v>17.3</v>
      </c>
      <c r="C16" s="385"/>
      <c r="D16" s="385">
        <v>47</v>
      </c>
      <c r="E16" s="385">
        <v>16.6</v>
      </c>
      <c r="F16" s="385">
        <v>26.4</v>
      </c>
      <c r="G16" s="385">
        <v>32.5</v>
      </c>
      <c r="H16" s="385">
        <v>44</v>
      </c>
      <c r="I16" s="385">
        <v>17.5</v>
      </c>
      <c r="J16" s="385">
        <v>15.3</v>
      </c>
      <c r="K16" s="385">
        <v>18</v>
      </c>
      <c r="L16" s="385">
        <v>16.2</v>
      </c>
      <c r="M16" s="385">
        <v>21.8</v>
      </c>
      <c r="N16" s="385">
        <f>+DBean7!N17*(DBean8!AE16*0.01)</f>
        <v>20.259412189629717</v>
      </c>
      <c r="O16" s="385"/>
      <c r="P16" s="244">
        <f>((N16/M16)-1)*100</f>
        <v>-7.0669165613315705</v>
      </c>
      <c r="Q16" s="2"/>
      <c r="R16" s="2"/>
      <c r="S16" s="11" t="s">
        <v>118</v>
      </c>
      <c r="T16" s="177">
        <f>(+B16/DBean7!B17)*100</f>
        <v>88.26530612244898</v>
      </c>
      <c r="U16" s="177">
        <f>(+D16/DBean7!D17)*100</f>
        <v>94</v>
      </c>
      <c r="V16" s="177">
        <f>(+E16/DBean7!E17)*100</f>
        <v>83</v>
      </c>
      <c r="W16" s="177">
        <f>(+F16/DBean7!F17)*100</f>
        <v>88</v>
      </c>
      <c r="X16" s="177">
        <f>(+G16/DBean7!G17)*100</f>
        <v>86.66666666666667</v>
      </c>
      <c r="Y16" s="177">
        <f>(+H16/DBean7!H17)*100</f>
        <v>88</v>
      </c>
      <c r="Z16" s="177">
        <f>(+I16/DBean7!I17)*100</f>
        <v>87.5</v>
      </c>
      <c r="AA16" s="177">
        <f>(+J16/DBean7!J17)*100</f>
        <v>90</v>
      </c>
      <c r="AB16" s="177">
        <f>(+K16/DBean7!K17)*100</f>
        <v>90</v>
      </c>
      <c r="AC16" s="177">
        <f>(+L16/DBean7!L17)*100</f>
        <v>95.29411764705881</v>
      </c>
      <c r="AD16" s="177">
        <f>(+M16/DBean7!M17)*100</f>
        <v>90.83333333333333</v>
      </c>
      <c r="AE16" s="177">
        <f>AVERAGE(AB16:AD16)</f>
        <v>92.04248366013071</v>
      </c>
    </row>
    <row r="17" spans="1:31" ht="10.5" customHeight="1">
      <c r="A17" s="11" t="s">
        <v>117</v>
      </c>
      <c r="B17" s="385">
        <v>33.2</v>
      </c>
      <c r="C17" s="385"/>
      <c r="D17" s="385">
        <v>39</v>
      </c>
      <c r="E17" s="385">
        <v>34</v>
      </c>
      <c r="F17" s="385">
        <v>24</v>
      </c>
      <c r="G17" s="385">
        <v>29</v>
      </c>
      <c r="H17" s="385">
        <v>29</v>
      </c>
      <c r="I17" s="385">
        <v>24</v>
      </c>
      <c r="J17" s="385">
        <v>33</v>
      </c>
      <c r="K17" s="385">
        <v>27.5</v>
      </c>
      <c r="L17" s="385">
        <v>24</v>
      </c>
      <c r="M17" s="385">
        <v>30.5</v>
      </c>
      <c r="N17" s="385">
        <f>+DBean7!N15*(DBean8!AE17*0.01)</f>
        <v>33.607221536779726</v>
      </c>
      <c r="O17" s="385"/>
      <c r="P17" s="244">
        <f>((N17/M17)-1)*100</f>
        <v>10.187611595999101</v>
      </c>
      <c r="Q17" s="2"/>
      <c r="R17" s="2"/>
      <c r="S17" s="11" t="s">
        <v>117</v>
      </c>
      <c r="T17" s="177">
        <f>(+B17/DBean7!B15)*100</f>
        <v>94.31818181818183</v>
      </c>
      <c r="U17" s="177">
        <f>(+D17/DBean7!D15)*100</f>
        <v>97.5</v>
      </c>
      <c r="V17" s="177">
        <f>(+E17/DBean7!E15)*100</f>
        <v>94.44444444444444</v>
      </c>
      <c r="W17" s="177">
        <f>(+F17/DBean7!F15)*100</f>
        <v>88.88888888888889</v>
      </c>
      <c r="X17" s="177">
        <f>(+G17/DBean7!G15)*100</f>
        <v>90.625</v>
      </c>
      <c r="Y17" s="177">
        <f>(+H17/DBean7!H15)*100</f>
        <v>96.66666666666667</v>
      </c>
      <c r="Z17" s="177">
        <f>(+I17/DBean7!I15)*100</f>
        <v>96</v>
      </c>
      <c r="AA17" s="177">
        <f>(+J17/DBean7!J15)*100</f>
        <v>97.05882352941177</v>
      </c>
      <c r="AB17" s="177">
        <f>(+K17/DBean7!K15)*100</f>
        <v>94.82758620689656</v>
      </c>
      <c r="AC17" s="177">
        <f>(+L17/DBean7!L15)*100</f>
        <v>96</v>
      </c>
      <c r="AD17" s="177">
        <f>(+M17/DBean7!M15)*100</f>
        <v>96.82539682539682</v>
      </c>
      <c r="AE17" s="177">
        <f>AVERAGE(AB17:AD17)</f>
        <v>95.88432767743113</v>
      </c>
    </row>
    <row r="18" spans="1:31" ht="5.25" customHeight="1">
      <c r="A18" s="11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244"/>
      <c r="Q18" s="2"/>
      <c r="R18" s="2"/>
      <c r="S18" s="11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</row>
    <row r="19" spans="1:31" ht="10.5" customHeight="1">
      <c r="A19" s="11" t="s">
        <v>111</v>
      </c>
      <c r="B19" s="385">
        <v>34.8</v>
      </c>
      <c r="C19" s="385"/>
      <c r="D19" s="385">
        <v>30.2</v>
      </c>
      <c r="E19" s="385">
        <v>24.5</v>
      </c>
      <c r="F19" s="385">
        <v>22.3</v>
      </c>
      <c r="G19" s="385">
        <v>24.5</v>
      </c>
      <c r="H19" s="385">
        <v>24</v>
      </c>
      <c r="I19" s="385">
        <v>23.5</v>
      </c>
      <c r="J19" s="385">
        <v>23</v>
      </c>
      <c r="K19" s="385">
        <v>18</v>
      </c>
      <c r="L19" s="385">
        <v>16.5</v>
      </c>
      <c r="M19" s="385">
        <v>16.8</v>
      </c>
      <c r="N19" s="385">
        <f>+DBean7!N19*(DBean8!AE19*0.01)</f>
        <v>18.36268028597182</v>
      </c>
      <c r="O19" s="385"/>
      <c r="P19" s="244">
        <f>((N19/M19)-1)*100</f>
        <v>9.301668368879866</v>
      </c>
      <c r="Q19" s="2"/>
      <c r="R19" s="2"/>
      <c r="S19" s="11" t="s">
        <v>111</v>
      </c>
      <c r="T19" s="177">
        <f>(+B19/DBean7!B19)*100</f>
        <v>97.75280898876403</v>
      </c>
      <c r="U19" s="177">
        <f>(+D19/DBean7!D19)*100</f>
        <v>97.41935483870967</v>
      </c>
      <c r="V19" s="177">
        <f>(+E19/DBean7!E19)*100</f>
        <v>98</v>
      </c>
      <c r="W19" s="177">
        <f>(+F19/DBean7!F19)*100</f>
        <v>96.95652173913044</v>
      </c>
      <c r="X19" s="177">
        <f>(+G19/DBean7!G19)*100</f>
        <v>98</v>
      </c>
      <c r="Y19" s="177">
        <f>(+H19/DBean7!H19)*100</f>
        <v>96</v>
      </c>
      <c r="Z19" s="177">
        <f>(+I19/DBean7!I19)*100</f>
        <v>97.91666666666666</v>
      </c>
      <c r="AA19" s="177">
        <f>(+J19/DBean7!J19)*100</f>
        <v>92</v>
      </c>
      <c r="AB19" s="177">
        <f>(+K19/DBean7!K19)*100</f>
        <v>94.73684210526315</v>
      </c>
      <c r="AC19" s="177">
        <f>(+L19/DBean7!L19)*100</f>
        <v>97.05882352941177</v>
      </c>
      <c r="AD19" s="177">
        <f>(+M19/DBean7!M19)*100</f>
        <v>98.82352941176471</v>
      </c>
      <c r="AE19" s="177">
        <f>AVERAGE(AB19:AD19)</f>
        <v>96.87306501547988</v>
      </c>
    </row>
    <row r="20" spans="1:31" ht="10.5" customHeight="1">
      <c r="A20" s="11" t="s">
        <v>11</v>
      </c>
      <c r="B20" s="385">
        <f aca="true" t="shared" si="0" ref="B20:N20">+B22-SUM(B7:B19)</f>
        <v>67.02000000000044</v>
      </c>
      <c r="C20" s="385"/>
      <c r="D20" s="385">
        <f t="shared" si="0"/>
        <v>76.79999999999995</v>
      </c>
      <c r="E20" s="385">
        <f t="shared" si="0"/>
        <v>93.40000000000009</v>
      </c>
      <c r="F20" s="385">
        <f t="shared" si="0"/>
        <v>97.29999999999995</v>
      </c>
      <c r="G20" s="385">
        <f t="shared" si="0"/>
        <v>81.40000000000009</v>
      </c>
      <c r="H20" s="385">
        <f t="shared" si="0"/>
        <v>58.40000000000009</v>
      </c>
      <c r="I20" s="385">
        <f t="shared" si="0"/>
        <v>53.299999999999955</v>
      </c>
      <c r="J20" s="385">
        <f t="shared" si="0"/>
        <v>69.29999999999995</v>
      </c>
      <c r="K20" s="385">
        <f t="shared" si="0"/>
        <v>71.59999999999991</v>
      </c>
      <c r="L20" s="385">
        <f t="shared" si="0"/>
        <v>57.5</v>
      </c>
      <c r="M20" s="385">
        <f t="shared" si="0"/>
        <v>45.200000000000045</v>
      </c>
      <c r="N20" s="385">
        <f t="shared" si="0"/>
        <v>48.67057274958779</v>
      </c>
      <c r="O20" s="385"/>
      <c r="P20" s="244">
        <f>((N20/M20)-1)*100</f>
        <v>7.678258295548113</v>
      </c>
      <c r="Q20" s="2"/>
      <c r="R20" s="2"/>
      <c r="S20" s="11" t="s">
        <v>11</v>
      </c>
      <c r="T20" s="177">
        <f>(+B20/DBean7!B20)*100</f>
        <v>87.26562500000036</v>
      </c>
      <c r="U20" s="177">
        <f>(+D20/DBean7!D20)*100</f>
        <v>95.40372670807447</v>
      </c>
      <c r="V20" s="177">
        <f>(+E20/DBean7!E20)*100</f>
        <v>89.20725883476605</v>
      </c>
      <c r="W20" s="177">
        <f>(+F20/DBean7!F20)*100</f>
        <v>84.31542461005189</v>
      </c>
      <c r="X20" s="177">
        <f>(+G20/DBean7!G20)*100</f>
        <v>84.17786970010347</v>
      </c>
      <c r="Y20" s="177">
        <f>(+H20/DBean7!H20)*100</f>
        <v>94.80519480519509</v>
      </c>
      <c r="Z20" s="177">
        <f>(+I20/DBean7!I20)*100</f>
        <v>96.38336347197107</v>
      </c>
      <c r="AA20" s="177">
        <f>(+J20/DBean7!J20)*100</f>
        <v>93.64864864864859</v>
      </c>
      <c r="AB20" s="177">
        <f>(+K20/DBean7!K20)*100</f>
        <v>90.86294416243649</v>
      </c>
      <c r="AC20" s="177">
        <f>(+L20/DBean7!L20)*100</f>
        <v>93.64820846905523</v>
      </c>
      <c r="AD20" s="177">
        <f>(+M20/DBean7!M20)*100</f>
        <v>95.1578947368422</v>
      </c>
      <c r="AE20" s="177">
        <f>AVERAGE(AB20:AD20)</f>
        <v>93.22301578944463</v>
      </c>
    </row>
    <row r="21" spans="1:31" ht="4.5" customHeight="1">
      <c r="A21" s="10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244"/>
      <c r="Q21" s="2"/>
      <c r="R21" s="2"/>
      <c r="S21" s="10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</row>
    <row r="22" spans="1:31" ht="10.5" customHeight="1">
      <c r="A22" s="253" t="s">
        <v>12</v>
      </c>
      <c r="B22" s="458">
        <v>1825.64</v>
      </c>
      <c r="C22" s="458"/>
      <c r="D22" s="458">
        <v>1881</v>
      </c>
      <c r="E22" s="458">
        <v>1616.5</v>
      </c>
      <c r="F22" s="458">
        <v>1250</v>
      </c>
      <c r="G22" s="458">
        <v>1738.9</v>
      </c>
      <c r="H22" s="458">
        <v>1346.9</v>
      </c>
      <c r="I22" s="459">
        <v>1219.3</v>
      </c>
      <c r="J22" s="459">
        <v>1533.6</v>
      </c>
      <c r="K22" s="459">
        <v>1531.6</v>
      </c>
      <c r="L22" s="459">
        <v>1479.2</v>
      </c>
      <c r="M22" s="460">
        <v>1445.2</v>
      </c>
      <c r="N22" s="459">
        <f>+DBean7!N22*(DBean8!AE22*0.01)</f>
        <v>1535.4308838400154</v>
      </c>
      <c r="O22" s="461"/>
      <c r="P22" s="244">
        <f>((N22/M22)-1)*100</f>
        <v>6.243487672295567</v>
      </c>
      <c r="Q22" s="14"/>
      <c r="R22" s="14"/>
      <c r="S22" s="13" t="s">
        <v>12</v>
      </c>
      <c r="T22" s="177">
        <f>(+B22/DBean7!B22)*100</f>
        <v>93.13539434751557</v>
      </c>
      <c r="U22" s="177">
        <f>(+D22/DBean7!D22)*100</f>
        <v>92.77435265104809</v>
      </c>
      <c r="V22" s="177">
        <f>(+E22/DBean7!E22)*100</f>
        <v>91.44651241726537</v>
      </c>
      <c r="W22" s="177">
        <f>(+F22/DBean7!F22)*100</f>
        <v>86.96257130930847</v>
      </c>
      <c r="X22" s="177">
        <f>(+G22/DBean7!G22)*100</f>
        <v>90.11245271285692</v>
      </c>
      <c r="Y22" s="177">
        <f>(+H22/DBean7!H22)*100</f>
        <v>95.78977313135624</v>
      </c>
      <c r="Z22" s="177">
        <f>(+I22/DBean7!I22)*100</f>
        <v>90.03175071992912</v>
      </c>
      <c r="AA22" s="177">
        <f>(+J22/DBean7!J22)*100</f>
        <v>94.08588957055214</v>
      </c>
      <c r="AB22" s="177">
        <f>(+K22/DBean7!K22)*100</f>
        <v>94.3800838057678</v>
      </c>
      <c r="AC22" s="177">
        <f>(+L22/DBean7!L22)*100</f>
        <v>96.84431059316485</v>
      </c>
      <c r="AD22" s="177">
        <f>(+M22/DBean7!M22)*100</f>
        <v>96.66889632107024</v>
      </c>
      <c r="AE22" s="177">
        <f>AVERAGE(AB22:AD22)</f>
        <v>95.96443024000097</v>
      </c>
    </row>
    <row r="23" spans="1:31" ht="12.75" customHeight="1">
      <c r="A23" s="98" t="s">
        <v>538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33"/>
      <c r="Q23" s="17"/>
      <c r="R23" s="17"/>
      <c r="S23" s="98" t="s">
        <v>268</v>
      </c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</row>
    <row r="24" spans="1:27" ht="9.75" customHeight="1">
      <c r="A24" s="98" t="s">
        <v>250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6"/>
      <c r="Q24" s="17"/>
      <c r="R24" s="17"/>
      <c r="S24" s="15" t="s">
        <v>13</v>
      </c>
      <c r="AA24" s="342"/>
    </row>
    <row r="25" ht="6" customHeight="1">
      <c r="A25" s="15"/>
    </row>
    <row r="26" ht="12.75">
      <c r="A26" s="98" t="s">
        <v>287</v>
      </c>
    </row>
    <row r="30" ht="12.75">
      <c r="A30" s="188" t="s">
        <v>238</v>
      </c>
    </row>
    <row r="32" spans="1:18" ht="12.75">
      <c r="A32" s="357" t="s">
        <v>562</v>
      </c>
      <c r="B32" s="18"/>
      <c r="C32" s="18"/>
      <c r="D32" s="18"/>
      <c r="E32" s="18"/>
      <c r="P32" s="18"/>
      <c r="Q32" s="18"/>
      <c r="R32" s="18"/>
    </row>
    <row r="33" ht="12.75">
      <c r="A33" s="106"/>
    </row>
    <row r="34" ht="12.75">
      <c r="A34" s="106"/>
    </row>
  </sheetData>
  <hyperlinks>
    <hyperlink ref="A30" r:id="rId1" display="Link to the NASS Acreage report."/>
    <hyperlink ref="A32" r:id="rId2" display="Link to NASS Crop Production Report"/>
  </hyperlinks>
  <printOptions horizontalCentered="1"/>
  <pageMargins left="0.417" right="0.417" top="0.25" bottom="0.6" header="0" footer="0.2"/>
  <pageSetup fitToHeight="1" fitToWidth="1" horizontalDpi="600" verticalDpi="600" orientation="portrait" scale="91" r:id="rId3"/>
  <headerFooter alignWithMargins="0">
    <oddFooter>&amp;C&amp;"Arial,Italic"&amp;9Vegetables and Melons Outlook&amp;"Arial,Regular"/VGS-331/February 25, 2009
Economic Research Service, USDA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51"/>
    <pageSetUpPr fitToPage="1"/>
  </sheetPr>
  <dimension ref="A2:S38"/>
  <sheetViews>
    <sheetView showGridLines="0" workbookViewId="0" topLeftCell="A1">
      <selection activeCell="C7" sqref="C7"/>
    </sheetView>
  </sheetViews>
  <sheetFormatPr defaultColWidth="9.7109375" defaultRowHeight="12.75"/>
  <cols>
    <col min="1" max="1" width="9.8515625" style="3" customWidth="1"/>
    <col min="2" max="2" width="7.421875" style="3" customWidth="1"/>
    <col min="3" max="3" width="1.7109375" style="3" customWidth="1"/>
    <col min="4" max="12" width="6.7109375" style="3" customWidth="1"/>
    <col min="13" max="14" width="7.140625" style="3" customWidth="1"/>
    <col min="15" max="15" width="1.28515625" style="3" customWidth="1"/>
    <col min="16" max="16" width="10.28125" style="3" customWidth="1"/>
    <col min="17" max="17" width="3.140625" style="3" customWidth="1"/>
    <col min="18" max="18" width="10.421875" style="3" customWidth="1"/>
    <col min="19" max="16384" width="9.7109375" style="3" customWidth="1"/>
  </cols>
  <sheetData>
    <row r="2" spans="1:16" ht="12.75" customHeight="1">
      <c r="A2" s="179" t="s">
        <v>544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>
      <c r="A3" s="251"/>
      <c r="B3" s="234" t="s">
        <v>369</v>
      </c>
      <c r="C3" s="234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 t="s">
        <v>0</v>
      </c>
    </row>
    <row r="4" spans="1:16" ht="12.75" customHeight="1">
      <c r="A4" s="252" t="s">
        <v>1</v>
      </c>
      <c r="B4" s="236" t="s">
        <v>370</v>
      </c>
      <c r="C4" s="252"/>
      <c r="D4" s="241" t="s">
        <v>312</v>
      </c>
      <c r="E4" s="241" t="s">
        <v>112</v>
      </c>
      <c r="F4" s="241" t="s">
        <v>179</v>
      </c>
      <c r="G4" s="241" t="s">
        <v>232</v>
      </c>
      <c r="H4" s="241" t="s">
        <v>243</v>
      </c>
      <c r="I4" s="241" t="s">
        <v>273</v>
      </c>
      <c r="J4" s="241" t="s">
        <v>286</v>
      </c>
      <c r="K4" s="241" t="s">
        <v>381</v>
      </c>
      <c r="L4" s="241" t="s">
        <v>387</v>
      </c>
      <c r="M4" s="241" t="s">
        <v>541</v>
      </c>
      <c r="N4" s="241" t="s">
        <v>540</v>
      </c>
      <c r="O4" s="241"/>
      <c r="P4" s="241" t="s">
        <v>543</v>
      </c>
    </row>
    <row r="5" spans="1:16" ht="12.75" customHeight="1">
      <c r="A5" s="20"/>
      <c r="B5" s="481" t="s">
        <v>14</v>
      </c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83" t="s">
        <v>3</v>
      </c>
    </row>
    <row r="6" spans="1:16" ht="4.5" customHeight="1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1"/>
    </row>
    <row r="7" spans="1:19" ht="10.5" customHeight="1">
      <c r="A7" s="11" t="s">
        <v>4</v>
      </c>
      <c r="B7" s="381">
        <v>7546.6</v>
      </c>
      <c r="C7" s="381"/>
      <c r="D7" s="381">
        <v>8265</v>
      </c>
      <c r="E7" s="381">
        <v>7613</v>
      </c>
      <c r="F7" s="381">
        <v>6200</v>
      </c>
      <c r="G7" s="381">
        <v>10626</v>
      </c>
      <c r="H7" s="381">
        <v>7800</v>
      </c>
      <c r="I7" s="381">
        <v>4750</v>
      </c>
      <c r="J7" s="381">
        <v>8588</v>
      </c>
      <c r="K7" s="381">
        <v>7680</v>
      </c>
      <c r="L7" s="381">
        <v>10773</v>
      </c>
      <c r="M7" s="381">
        <v>10048</v>
      </c>
      <c r="N7" s="381">
        <f>+DBean8!N7*DBean10!N16*0.01</f>
        <v>10003.777003891497</v>
      </c>
      <c r="O7" s="381"/>
      <c r="P7" s="12">
        <f>((N7/M7)-1)*100</f>
        <v>-0.440117397576667</v>
      </c>
      <c r="R7" s="186"/>
      <c r="S7" s="186"/>
    </row>
    <row r="8" spans="1:18" ht="10.5" customHeight="1">
      <c r="A8" s="11" t="s">
        <v>5</v>
      </c>
      <c r="B8" s="381">
        <v>5123.2</v>
      </c>
      <c r="C8" s="381"/>
      <c r="D8" s="381">
        <v>7350</v>
      </c>
      <c r="E8" s="381">
        <v>4125</v>
      </c>
      <c r="F8" s="381">
        <v>780</v>
      </c>
      <c r="G8" s="381">
        <v>4903</v>
      </c>
      <c r="H8" s="381">
        <v>2475</v>
      </c>
      <c r="I8" s="381">
        <v>3145</v>
      </c>
      <c r="J8" s="381">
        <v>3910</v>
      </c>
      <c r="K8" s="381">
        <v>4085</v>
      </c>
      <c r="L8" s="381">
        <v>3120</v>
      </c>
      <c r="M8" s="381">
        <v>3607</v>
      </c>
      <c r="N8" s="381">
        <f>+DBean8!N8*DBean10!N14*0.01</f>
        <v>3747.590441376895</v>
      </c>
      <c r="O8" s="381"/>
      <c r="P8" s="12">
        <f>((N8/M8)-1)*100</f>
        <v>3.8977111554448163</v>
      </c>
      <c r="R8" s="186"/>
    </row>
    <row r="9" spans="1:18" ht="10.5" customHeight="1">
      <c r="A9" s="11" t="s">
        <v>6</v>
      </c>
      <c r="B9" s="381">
        <v>3647.8</v>
      </c>
      <c r="C9" s="381"/>
      <c r="D9" s="381">
        <v>3740</v>
      </c>
      <c r="E9" s="381">
        <v>3230</v>
      </c>
      <c r="F9" s="381">
        <v>3185</v>
      </c>
      <c r="G9" s="381">
        <v>3465</v>
      </c>
      <c r="H9" s="381">
        <v>3151</v>
      </c>
      <c r="I9" s="381">
        <v>2376</v>
      </c>
      <c r="J9" s="381">
        <v>3870</v>
      </c>
      <c r="K9" s="381">
        <v>2728</v>
      </c>
      <c r="L9" s="381">
        <v>2418</v>
      </c>
      <c r="M9" s="381">
        <v>2885</v>
      </c>
      <c r="N9" s="381">
        <f>+DBean8!N9*DBean10!N13*0.01</f>
        <v>2638.4367820545945</v>
      </c>
      <c r="O9" s="381"/>
      <c r="P9" s="12">
        <f>((N9/M9)-1)*100</f>
        <v>-8.546385370724629</v>
      </c>
      <c r="R9" s="186"/>
    </row>
    <row r="10" spans="1:18" ht="10.5" customHeight="1">
      <c r="A10" s="11" t="s">
        <v>9</v>
      </c>
      <c r="B10" s="381">
        <v>2329.6</v>
      </c>
      <c r="C10" s="381"/>
      <c r="D10" s="381">
        <v>2558</v>
      </c>
      <c r="E10" s="381">
        <v>2400</v>
      </c>
      <c r="F10" s="381">
        <v>1575</v>
      </c>
      <c r="G10" s="381">
        <v>2666</v>
      </c>
      <c r="H10" s="381">
        <v>1870</v>
      </c>
      <c r="I10" s="381">
        <v>1150</v>
      </c>
      <c r="J10" s="381">
        <v>2430</v>
      </c>
      <c r="K10" s="381">
        <v>2228</v>
      </c>
      <c r="L10" s="381">
        <v>2610</v>
      </c>
      <c r="M10" s="381">
        <v>2828</v>
      </c>
      <c r="N10" s="381">
        <f>+DBean8!N10*DBean10!N15*0.01</f>
        <v>2749.389235725718</v>
      </c>
      <c r="O10" s="381"/>
      <c r="P10" s="12">
        <f>((N10/M10)-1)*100</f>
        <v>-2.779729995554514</v>
      </c>
      <c r="R10" s="186"/>
    </row>
    <row r="11" spans="1:18" ht="10.5" customHeight="1">
      <c r="A11" s="11" t="s">
        <v>10</v>
      </c>
      <c r="B11" s="381">
        <v>2205.2</v>
      </c>
      <c r="C11" s="381"/>
      <c r="D11" s="381">
        <v>2112</v>
      </c>
      <c r="E11" s="381">
        <v>1716</v>
      </c>
      <c r="F11" s="381">
        <v>1424</v>
      </c>
      <c r="G11" s="381">
        <v>1907</v>
      </c>
      <c r="H11" s="381">
        <v>1497</v>
      </c>
      <c r="I11" s="381">
        <v>1638</v>
      </c>
      <c r="J11" s="381">
        <v>1862</v>
      </c>
      <c r="K11" s="381">
        <v>1906</v>
      </c>
      <c r="L11" s="381">
        <v>1602</v>
      </c>
      <c r="M11" s="381">
        <v>1462</v>
      </c>
      <c r="N11" s="381">
        <f>+DBean8!N11*DBean10!N9*0.01</f>
        <v>1663.070329292334</v>
      </c>
      <c r="O11" s="381"/>
      <c r="P11" s="12">
        <f>((N11/M11)-1)*100</f>
        <v>13.75310049879166</v>
      </c>
      <c r="R11" s="186"/>
    </row>
    <row r="12" spans="1:18" ht="5.25" customHeight="1">
      <c r="A12" s="11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12"/>
      <c r="R12" s="186"/>
    </row>
    <row r="13" spans="1:18" ht="10.5" customHeight="1">
      <c r="A13" s="11" t="s">
        <v>8</v>
      </c>
      <c r="B13" s="381">
        <v>2478</v>
      </c>
      <c r="C13" s="381"/>
      <c r="D13" s="381">
        <v>2455</v>
      </c>
      <c r="E13" s="381">
        <v>2059</v>
      </c>
      <c r="F13" s="381">
        <v>1496</v>
      </c>
      <c r="G13" s="381">
        <v>1762</v>
      </c>
      <c r="H13" s="381">
        <v>1380</v>
      </c>
      <c r="I13" s="381">
        <v>1152</v>
      </c>
      <c r="J13" s="381">
        <v>1385</v>
      </c>
      <c r="K13" s="381">
        <v>1209</v>
      </c>
      <c r="L13" s="381">
        <v>1212</v>
      </c>
      <c r="M13" s="381">
        <v>960</v>
      </c>
      <c r="N13" s="381">
        <f>+DBean8!N13*DBean10!N10*0.01</f>
        <v>1027.246013060334</v>
      </c>
      <c r="O13" s="381"/>
      <c r="P13" s="12">
        <f>((N13/M13)-1)*100</f>
        <v>7.004793027118117</v>
      </c>
      <c r="R13" s="186"/>
    </row>
    <row r="14" spans="1:19" ht="10.5" customHeight="1">
      <c r="A14" s="11" t="s">
        <v>7</v>
      </c>
      <c r="B14" s="381">
        <v>2619.2</v>
      </c>
      <c r="C14" s="381"/>
      <c r="D14" s="381">
        <v>2755</v>
      </c>
      <c r="E14" s="381">
        <v>1980</v>
      </c>
      <c r="F14" s="381">
        <v>1785</v>
      </c>
      <c r="G14" s="381">
        <v>1519</v>
      </c>
      <c r="H14" s="381">
        <v>1168</v>
      </c>
      <c r="I14" s="381">
        <v>1039</v>
      </c>
      <c r="J14" s="381">
        <v>1320</v>
      </c>
      <c r="K14" s="381">
        <v>1026</v>
      </c>
      <c r="L14" s="381">
        <v>736</v>
      </c>
      <c r="M14" s="381">
        <v>660</v>
      </c>
      <c r="N14" s="381">
        <f>+DBean8!N14*DBean10!N11*0.01</f>
        <v>834.3085489168543</v>
      </c>
      <c r="O14" s="381"/>
      <c r="P14" s="12">
        <f>((N14/M14)-1)*100</f>
        <v>26.410386199523384</v>
      </c>
      <c r="R14" s="186"/>
      <c r="S14" s="186"/>
    </row>
    <row r="15" spans="1:18" ht="10.5" customHeight="1">
      <c r="A15" s="11" t="s">
        <v>116</v>
      </c>
      <c r="B15" s="381">
        <v>838</v>
      </c>
      <c r="C15" s="381"/>
      <c r="D15" s="381">
        <v>750</v>
      </c>
      <c r="E15" s="381">
        <v>640</v>
      </c>
      <c r="F15" s="381">
        <v>578</v>
      </c>
      <c r="G15" s="381">
        <v>830</v>
      </c>
      <c r="H15" s="381">
        <v>525</v>
      </c>
      <c r="I15" s="381">
        <v>609</v>
      </c>
      <c r="J15" s="381">
        <v>792</v>
      </c>
      <c r="K15" s="381">
        <v>968</v>
      </c>
      <c r="L15" s="381">
        <v>1020</v>
      </c>
      <c r="M15" s="381">
        <v>885</v>
      </c>
      <c r="N15" s="381">
        <f>+DBean8!N15*DBean10!N8*0.01</f>
        <v>960.6597604366505</v>
      </c>
      <c r="O15" s="381"/>
      <c r="P15" s="12">
        <f>((N15/M15)-1)*100</f>
        <v>8.549125473067853</v>
      </c>
      <c r="R15" s="186"/>
    </row>
    <row r="16" spans="1:16" ht="10.5" customHeight="1">
      <c r="A16" s="11" t="s">
        <v>117</v>
      </c>
      <c r="B16" s="381">
        <v>691</v>
      </c>
      <c r="C16" s="381"/>
      <c r="D16" s="381">
        <v>788</v>
      </c>
      <c r="E16" s="381">
        <v>762</v>
      </c>
      <c r="F16" s="381">
        <v>514</v>
      </c>
      <c r="G16" s="381">
        <v>624</v>
      </c>
      <c r="H16" s="381">
        <v>645</v>
      </c>
      <c r="I16" s="381">
        <v>541</v>
      </c>
      <c r="J16" s="381">
        <v>776</v>
      </c>
      <c r="K16" s="381">
        <v>590</v>
      </c>
      <c r="L16" s="381">
        <v>555</v>
      </c>
      <c r="M16" s="381">
        <v>705</v>
      </c>
      <c r="N16" s="381">
        <f>+DBean8!N17*DBean10!N7*0.01</f>
        <v>758.4029660133291</v>
      </c>
      <c r="O16" s="381"/>
      <c r="P16" s="12">
        <f>((N16/M16)-1)*100</f>
        <v>7.574888796216883</v>
      </c>
    </row>
    <row r="17" spans="1:16" ht="10.5" customHeight="1">
      <c r="A17" s="11" t="s">
        <v>118</v>
      </c>
      <c r="B17" s="381">
        <v>161</v>
      </c>
      <c r="C17" s="381"/>
      <c r="D17" s="381">
        <v>701</v>
      </c>
      <c r="E17" s="381">
        <v>158</v>
      </c>
      <c r="F17" s="381">
        <v>348</v>
      </c>
      <c r="G17" s="381">
        <v>315</v>
      </c>
      <c r="H17" s="381">
        <v>513</v>
      </c>
      <c r="I17" s="381">
        <v>140</v>
      </c>
      <c r="J17" s="381">
        <v>233</v>
      </c>
      <c r="K17" s="381">
        <v>238</v>
      </c>
      <c r="L17" s="381">
        <v>243</v>
      </c>
      <c r="M17" s="381">
        <v>283</v>
      </c>
      <c r="N17" s="381">
        <f>+DBean8!N16*DBean10!N19*0.01</f>
        <v>278.22926073758146</v>
      </c>
      <c r="O17" s="381"/>
      <c r="P17" s="12">
        <f>((N17/M17)-1)*100</f>
        <v>-1.6857735909606153</v>
      </c>
    </row>
    <row r="18" spans="1:16" ht="5.25" customHeight="1">
      <c r="A18" s="1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12"/>
    </row>
    <row r="19" spans="1:16" ht="10.5" customHeight="1">
      <c r="A19" s="11" t="s">
        <v>111</v>
      </c>
      <c r="B19" s="381">
        <v>521</v>
      </c>
      <c r="C19" s="381"/>
      <c r="D19" s="381">
        <v>414</v>
      </c>
      <c r="E19" s="381">
        <v>358</v>
      </c>
      <c r="F19" s="381">
        <v>194</v>
      </c>
      <c r="G19" s="381">
        <v>333</v>
      </c>
      <c r="H19" s="381">
        <v>446</v>
      </c>
      <c r="I19" s="381">
        <v>247</v>
      </c>
      <c r="J19" s="381">
        <v>282</v>
      </c>
      <c r="K19" s="381">
        <v>261</v>
      </c>
      <c r="L19" s="381">
        <v>248</v>
      </c>
      <c r="M19" s="381">
        <v>324</v>
      </c>
      <c r="N19" s="381">
        <f>+DBean8!N19*DBean10!N17*0.01</f>
        <v>298.69959931847495</v>
      </c>
      <c r="O19" s="381"/>
      <c r="P19" s="12">
        <f>((N19/M19)-1)*100</f>
        <v>-7.808765642446003</v>
      </c>
    </row>
    <row r="20" spans="1:16" ht="10.5" customHeight="1">
      <c r="A20" s="11" t="s">
        <v>11</v>
      </c>
      <c r="B20" s="381">
        <f aca="true" t="shared" si="0" ref="B20:N20">+B22-SUM(B7:B19)</f>
        <v>1307.2000000000007</v>
      </c>
      <c r="C20" s="381"/>
      <c r="D20" s="381">
        <f t="shared" si="0"/>
        <v>1258</v>
      </c>
      <c r="E20" s="381">
        <f t="shared" si="0"/>
        <v>1502</v>
      </c>
      <c r="F20" s="381">
        <f t="shared" si="0"/>
        <v>1531</v>
      </c>
      <c r="G20" s="381">
        <f t="shared" si="0"/>
        <v>1362</v>
      </c>
      <c r="H20" s="381">
        <f t="shared" si="0"/>
        <v>1022</v>
      </c>
      <c r="I20" s="381">
        <f t="shared" si="0"/>
        <v>1001</v>
      </c>
      <c r="J20" s="381">
        <f t="shared" si="0"/>
        <v>1324</v>
      </c>
      <c r="K20" s="381">
        <f t="shared" si="0"/>
        <v>1236</v>
      </c>
      <c r="L20" s="381">
        <f t="shared" si="0"/>
        <v>1049</v>
      </c>
      <c r="M20" s="381">
        <f t="shared" si="0"/>
        <v>911</v>
      </c>
      <c r="N20" s="381">
        <f t="shared" si="0"/>
        <v>1014.5625108026652</v>
      </c>
      <c r="O20" s="381"/>
      <c r="P20" s="12">
        <f>((N20/M20)-1)*100</f>
        <v>11.36800338119266</v>
      </c>
    </row>
    <row r="21" spans="1:16" ht="4.5" customHeight="1">
      <c r="A21" s="10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12"/>
    </row>
    <row r="22" spans="1:18" ht="10.5" customHeight="1">
      <c r="A22" s="253" t="s">
        <v>12</v>
      </c>
      <c r="B22" s="382">
        <v>29467.8</v>
      </c>
      <c r="C22" s="382"/>
      <c r="D22" s="382">
        <v>33146</v>
      </c>
      <c r="E22" s="382">
        <v>26543</v>
      </c>
      <c r="F22" s="382">
        <v>19610</v>
      </c>
      <c r="G22" s="382">
        <v>30312</v>
      </c>
      <c r="H22" s="382">
        <v>22492</v>
      </c>
      <c r="I22" s="382">
        <v>17788</v>
      </c>
      <c r="J22" s="382">
        <v>26772</v>
      </c>
      <c r="K22" s="382">
        <v>24155</v>
      </c>
      <c r="L22" s="382">
        <v>25586</v>
      </c>
      <c r="M22" s="429">
        <v>25558</v>
      </c>
      <c r="N22" s="429">
        <f>+DBean8!N22*DBean10!N21*0.01</f>
        <v>25974.37245162693</v>
      </c>
      <c r="O22" s="391"/>
      <c r="P22" s="254">
        <f>((N22/M22)-1)*100</f>
        <v>1.6291276767623764</v>
      </c>
      <c r="R22" s="186"/>
    </row>
    <row r="23" spans="1:16" ht="12.75" customHeight="1">
      <c r="A23" s="98" t="s">
        <v>538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32"/>
    </row>
    <row r="24" spans="1:16" ht="9.75" customHeight="1">
      <c r="A24" s="98" t="s">
        <v>237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6"/>
    </row>
    <row r="25" spans="1:16" ht="16.5" customHeight="1">
      <c r="A25" s="98" t="s">
        <v>287</v>
      </c>
      <c r="B25" s="22"/>
      <c r="C25" s="22"/>
      <c r="D25" s="22"/>
      <c r="E25" s="22"/>
      <c r="F25" s="22"/>
      <c r="G25" s="22"/>
      <c r="H25" s="22"/>
      <c r="I25" s="185"/>
      <c r="J25" s="185"/>
      <c r="K25" s="185"/>
      <c r="L25" s="185"/>
      <c r="M25" s="185"/>
      <c r="N25" s="185"/>
      <c r="O25" s="185"/>
      <c r="P25" s="23"/>
    </row>
    <row r="26" ht="21.75" customHeight="1"/>
    <row r="28" ht="12.75">
      <c r="A28" s="188" t="s">
        <v>239</v>
      </c>
    </row>
    <row r="31" ht="12.75">
      <c r="R31" s="19"/>
    </row>
    <row r="33" ht="12.75">
      <c r="A33" s="24"/>
    </row>
    <row r="34" ht="12.75">
      <c r="A34" s="24"/>
    </row>
    <row r="35" ht="12.75">
      <c r="A35" s="24"/>
    </row>
    <row r="36" ht="12.75">
      <c r="A36" s="24"/>
    </row>
    <row r="37" ht="12.75">
      <c r="A37" s="24"/>
    </row>
    <row r="38" ht="12.75">
      <c r="A38" s="24"/>
    </row>
  </sheetData>
  <hyperlinks>
    <hyperlink ref="A28" r:id="rId1" display="Link to the NASS Crop Production report."/>
  </hyperlinks>
  <printOptions horizontalCentered="1"/>
  <pageMargins left="0.417" right="0.417" top="0.25" bottom="0.6" header="0" footer="0.2"/>
  <pageSetup fitToHeight="1" fitToWidth="1" horizontalDpi="600" verticalDpi="600" orientation="portrait" scale="94" r:id="rId2"/>
  <headerFooter alignWithMargins="0">
    <oddFooter>&amp;C&amp;"Arial,Italic"&amp;9Vegetables and Melons Outlook&amp;"Arial,Regular"/VGS-331/February 25, 2009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Gary Lucier</Manager>
  <Company>USDA/Economic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and Melons Outlook--Dry bean appendix tables</dc:title>
  <dc:subject>Agricultural Economics</dc:subject>
  <dc:creator>Gary Lucier</dc:creator>
  <cp:keywords>VGS-331, Dry beans, navy, pinto, kidney, lima, Great Northern, garbanzo, small red, pink, acres, prices, PPI, production, exports, per capita use, cash receipts, economics, ERS, USDA, United States</cp:keywords>
  <dc:description>Updated 02/25/09.
</dc:description>
  <cp:lastModifiedBy>glucier</cp:lastModifiedBy>
  <cp:lastPrinted>2009-02-23T17:52:09Z</cp:lastPrinted>
  <dcterms:created xsi:type="dcterms:W3CDTF">2001-08-09T19:05:33Z</dcterms:created>
  <dcterms:modified xsi:type="dcterms:W3CDTF">2009-02-24T14:54:52Z</dcterms:modified>
  <cp:category>Dry beans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phone number">
    <vt:lpwstr>202-694-5253</vt:lpwstr>
  </property>
</Properties>
</file>