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Parameters" sheetId="1" r:id="rId1"/>
    <sheet name="z=0 chart" sheetId="2" r:id="rId2"/>
    <sheet name="z=0" sheetId="3" r:id="rId3"/>
    <sheet name="z=11 chart" sheetId="4" r:id="rId4"/>
    <sheet name="z=11" sheetId="5" r:id="rId5"/>
    <sheet name="z=-11 chart" sheetId="6" r:id="rId6"/>
    <sheet name="z=-11 " sheetId="7" r:id="rId7"/>
    <sheet name="ParametersOp1" sheetId="8" r:id="rId8"/>
    <sheet name="ParametersOp2" sheetId="9" r:id="rId9"/>
    <sheet name="ParametersOp3" sheetId="10" r:id="rId10"/>
    <sheet name="Sheet3" sheetId="11" r:id="rId11"/>
  </sheets>
  <definedNames>
    <definedName name="Length">'Parameters'!$B$25</definedName>
    <definedName name="Sigma" localSheetId="7">'ParametersOp1'!$B$24</definedName>
    <definedName name="Sigma" localSheetId="8">'ParametersOp2'!$B$24</definedName>
    <definedName name="Sigma" localSheetId="9">'ParametersOp3'!$B$24</definedName>
    <definedName name="Sigma">'Parameters'!$B$24</definedName>
  </definedNames>
  <calcPr fullCalcOnLoad="1"/>
</workbook>
</file>

<file path=xl/sharedStrings.xml><?xml version="1.0" encoding="utf-8"?>
<sst xmlns="http://schemas.openxmlformats.org/spreadsheetml/2006/main" count="188" uniqueCount="52">
  <si>
    <t>Pixel Layout</t>
  </si>
  <si>
    <t>Barrel</t>
  </si>
  <si>
    <t>Staves</t>
  </si>
  <si>
    <t>Modules</t>
  </si>
  <si>
    <t>Chips</t>
  </si>
  <si>
    <t>Active</t>
  </si>
  <si>
    <t>Tilt</t>
  </si>
  <si>
    <t>Radius(mm)</t>
  </si>
  <si>
    <t>B-layer</t>
  </si>
  <si>
    <t>Layer 1</t>
  </si>
  <si>
    <t>Layer 2</t>
  </si>
  <si>
    <t>Subtotal</t>
  </si>
  <si>
    <t>Disks</t>
  </si>
  <si>
    <t>Z(m)</t>
  </si>
  <si>
    <t xml:space="preserve">Inner </t>
  </si>
  <si>
    <t>Outer</t>
  </si>
  <si>
    <t>Channels</t>
  </si>
  <si>
    <t>Sectors</t>
  </si>
  <si>
    <t>Subtotal(Both Sides)</t>
  </si>
  <si>
    <t>GRAND TOTALS</t>
  </si>
  <si>
    <r>
      <t>Area(m</t>
    </r>
    <r>
      <rPr>
        <u val="single"/>
        <vertAlign val="superscript"/>
        <sz val="14"/>
        <rFont val="Arial"/>
        <family val="2"/>
      </rPr>
      <t>2</t>
    </r>
    <r>
      <rPr>
        <u val="single"/>
        <sz val="14"/>
        <rFont val="Arial"/>
        <family val="2"/>
      </rPr>
      <t>)</t>
    </r>
  </si>
  <si>
    <r>
      <t>Angle(</t>
    </r>
    <r>
      <rPr>
        <u val="single"/>
        <vertAlign val="superscript"/>
        <sz val="14"/>
        <rFont val="Arial"/>
        <family val="2"/>
      </rPr>
      <t>o</t>
    </r>
    <r>
      <rPr>
        <u val="single"/>
        <sz val="14"/>
        <rFont val="Arial"/>
        <family val="2"/>
      </rPr>
      <t>)</t>
    </r>
  </si>
  <si>
    <t>Disk 1</t>
  </si>
  <si>
    <t>Disk 2</t>
  </si>
  <si>
    <t>Disk 3</t>
  </si>
  <si>
    <t>Disk 4</t>
  </si>
  <si>
    <t>Disk 5</t>
  </si>
  <si>
    <t>Rapidity</t>
  </si>
  <si>
    <t>z=0</t>
  </si>
  <si>
    <t>z=+11 cm</t>
  </si>
  <si>
    <t>z=-11 cm</t>
  </si>
  <si>
    <t>B-layer1</t>
  </si>
  <si>
    <t>B-layer2</t>
  </si>
  <si>
    <t>Blayer2</t>
  </si>
  <si>
    <t>Version: August 2000</t>
  </si>
  <si>
    <t>"FIXED" TOTALS</t>
  </si>
  <si>
    <t>"INSERTABLE" TOTALS</t>
  </si>
  <si>
    <t>Sigma</t>
  </si>
  <si>
    <t>Option 3</t>
  </si>
  <si>
    <t>Option 2</t>
  </si>
  <si>
    <t>Option 1</t>
  </si>
  <si>
    <t>Total</t>
  </si>
  <si>
    <t xml:space="preserve">Current </t>
  </si>
  <si>
    <t>Baseline</t>
  </si>
  <si>
    <t>Reduced</t>
  </si>
  <si>
    <t>Layout</t>
  </si>
  <si>
    <t>Two-Hit Layouts</t>
  </si>
  <si>
    <t>"Insertable"</t>
  </si>
  <si>
    <t>Numbers of Modules</t>
  </si>
  <si>
    <t>"Fixed"</t>
  </si>
  <si>
    <t>Length</t>
  </si>
  <si>
    <t>Effective is 121.7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</si>
</sst>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E+00;\䳈"/>
    <numFmt numFmtId="169" formatCode="0.0E+00;\ⶔ"/>
    <numFmt numFmtId="170" formatCode="0.0E+00"/>
  </numFmts>
  <fonts count="9">
    <font>
      <sz val="10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u val="single"/>
      <vertAlign val="superscript"/>
      <sz val="14"/>
      <name val="Arial"/>
      <family val="2"/>
    </font>
    <font>
      <sz val="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Rapidity Coverage(Z=0)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45"/>
          <c:w val="0.8787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'z=0'!$B$1</c:f>
              <c:strCache>
                <c:ptCount val="1"/>
                <c:pt idx="0">
                  <c:v>B-layer1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'z=0'!$A$2:$A$58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'z=0'!$B$2:$B$58</c:f>
              <c:numCach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'z=0'!$C$1</c:f>
              <c:strCache>
                <c:ptCount val="1"/>
                <c:pt idx="0">
                  <c:v>Blayer2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'z=0'!$A$2:$A$58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'z=0'!$C$2:$C$58</c:f>
              <c:numCache>
                <c:ptCount val="5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'z=0'!#REF!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'z=0'!$A$2:$A$58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'z=0'!#REF!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'z=0'!$D$1</c:f>
              <c:strCache>
                <c:ptCount val="1"/>
                <c:pt idx="0">
                  <c:v>Disk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'z=0'!$A$2:$A$58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'z=0'!$D$2:$D$58</c:f>
              <c:numCache>
                <c:ptCount val="57"/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'z=0'!#REF!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'z=0'!$A$2:$A$58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'z=0'!#REF!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'z=0'!$E$1</c:f>
              <c:strCache>
                <c:ptCount val="1"/>
                <c:pt idx="0">
                  <c:v>Disk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'z=0'!$A$2:$A$58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'z=0'!$E$2:$E$58</c:f>
              <c:numCache>
                <c:ptCount val="57"/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'z=0'!#REF!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'z=0'!$A$2:$A$58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'z=0'!#REF!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'z=0'!#REF!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'z=0'!$A$2:$A$58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'z=0'!#REF!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011131"/>
        <c:axId val="34338132"/>
      </c:scatterChart>
      <c:valAx>
        <c:axId val="56011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Rapidity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38132"/>
        <c:crosses val="autoZero"/>
        <c:crossBetween val="midCat"/>
        <c:dispUnits/>
      </c:valAx>
      <c:valAx>
        <c:axId val="34338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0111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Rapidity Coverage(Z=11 cm)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45"/>
          <c:w val="0.8787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'z=11'!$B$1</c:f>
              <c:strCache>
                <c:ptCount val="1"/>
                <c:pt idx="0">
                  <c:v>B-layer1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'z=11'!$A$2:$A$58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'z=11'!$B$2:$B$58</c:f>
              <c:numCach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'z=11'!$C$1</c:f>
              <c:strCache>
                <c:ptCount val="1"/>
                <c:pt idx="0">
                  <c:v>B-layer2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'z=11'!$A$2:$A$58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'z=11'!$C$2:$C$58</c:f>
              <c:numCache>
                <c:ptCount val="5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'z=11'!#REF!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'z=11'!$A$2:$A$58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'z=11'!#REF!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'z=11'!$D$1</c:f>
              <c:strCache>
                <c:ptCount val="1"/>
                <c:pt idx="0">
                  <c:v>Disk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'z=11'!$A$2:$A$58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'z=11'!$D$2:$D$58</c:f>
              <c:numCache>
                <c:ptCount val="57"/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'z=11'!#REF!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'z=11'!$A$2:$A$58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'z=11'!#REF!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'z=11'!$E$1</c:f>
              <c:strCache>
                <c:ptCount val="1"/>
                <c:pt idx="0">
                  <c:v>Disk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'z=11'!$A$2:$A$58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'z=11'!$E$2:$E$58</c:f>
              <c:numCache>
                <c:ptCount val="57"/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'z=11'!#REF!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'z=11'!$A$2:$A$58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'z=11'!#REF!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'z=11'!#REF!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'z=11'!$A$2:$A$58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'z=11'!#REF!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607733"/>
        <c:axId val="29925278"/>
      </c:scatterChart>
      <c:valAx>
        <c:axId val="40607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Rapidity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5278"/>
        <c:crosses val="autoZero"/>
        <c:crossBetween val="midCat"/>
        <c:dispUnits/>
      </c:valAx>
      <c:valAx>
        <c:axId val="29925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6077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Rapidity Coverage(Z=-11 cm)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45"/>
          <c:w val="0.8787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'z=-11 '!$B$1</c:f>
              <c:strCache>
                <c:ptCount val="1"/>
                <c:pt idx="0">
                  <c:v>B-layer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'z=-11 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'z=-11 '!$B$2:$B$58</c:f>
              <c:numCach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'z=-11 '!$C$1</c:f>
              <c:strCache>
                <c:ptCount val="1"/>
                <c:pt idx="0">
                  <c:v>Layer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'z=-11 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'z=-11 '!$C$2:$C$58</c:f>
              <c:numCache>
                <c:ptCount val="5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'z=-11 '!$D$1</c:f>
              <c:strCache>
                <c:ptCount val="1"/>
                <c:pt idx="0">
                  <c:v>Layer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'z=-11 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'z=-11 '!$D$2:$D$58</c:f>
              <c:numCache>
                <c:ptCount val="5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'z=-11 '!$E$1</c:f>
              <c:strCache>
                <c:ptCount val="1"/>
                <c:pt idx="0">
                  <c:v>Disk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'z=-11 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'z=-11 '!$E$2:$E$58</c:f>
              <c:numCache>
                <c:ptCount val="57"/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'z=-11 '!$F$1</c:f>
              <c:strCache>
                <c:ptCount val="1"/>
                <c:pt idx="0">
                  <c:v>Disk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'z=-11 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'z=-11 '!$F$2:$F$58</c:f>
              <c:numCache>
                <c:ptCount val="57"/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'z=-11 '!$G$1</c:f>
              <c:strCache>
                <c:ptCount val="1"/>
                <c:pt idx="0">
                  <c:v>Disk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'z=-11 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'z=-11 '!$G$2:$G$58</c:f>
              <c:numCache>
                <c:ptCount val="57"/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'z=-11 '!$H$1</c:f>
              <c:strCache>
                <c:ptCount val="1"/>
                <c:pt idx="0">
                  <c:v>Disk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'z=-11 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'z=-11 '!$H$2:$H$58</c:f>
              <c:numCache>
                <c:ptCount val="57"/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'z=-11 '!$I$1</c:f>
              <c:strCache>
                <c:ptCount val="1"/>
                <c:pt idx="0">
                  <c:v>Disk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'z=-11 '!$A$2:$A$58</c:f>
              <c:numCach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xVal>
          <c:yVal>
            <c:numRef>
              <c:f>'z=-11 '!$I$2:$I$58</c:f>
              <c:numCache>
                <c:ptCount val="57"/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</c:numCache>
            </c:numRef>
          </c:yVal>
          <c:smooth val="0"/>
        </c:ser>
        <c:axId val="892047"/>
        <c:axId val="8028424"/>
      </c:scatterChart>
      <c:valAx>
        <c:axId val="892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Rapidity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28424"/>
        <c:crosses val="autoZero"/>
        <c:crossBetween val="midCat"/>
        <c:dispUnits/>
      </c:valAx>
      <c:valAx>
        <c:axId val="8028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20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75"/>
          <c:y val="0.15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75" zoomScaleNormal="75" workbookViewId="0" topLeftCell="A1">
      <selection activeCell="A4" sqref="A4:H19"/>
    </sheetView>
  </sheetViews>
  <sheetFormatPr defaultColWidth="9.140625" defaultRowHeight="12.75"/>
  <cols>
    <col min="1" max="1" width="11.140625" style="0" customWidth="1"/>
    <col min="2" max="3" width="16.00390625" style="0" bestFit="1" customWidth="1"/>
    <col min="4" max="4" width="11.57421875" style="0" customWidth="1"/>
    <col min="6" max="6" width="13.28125" style="0" customWidth="1"/>
    <col min="7" max="7" width="12.00390625" style="0" customWidth="1"/>
    <col min="8" max="8" width="11.0039062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1" t="s">
        <v>34</v>
      </c>
      <c r="B2" s="1"/>
      <c r="C2" s="1"/>
      <c r="D2" s="1"/>
      <c r="E2" s="1"/>
      <c r="F2" s="1"/>
      <c r="G2" s="1"/>
      <c r="H2" s="1"/>
    </row>
    <row r="3" spans="1:8" ht="18">
      <c r="A3" s="1"/>
      <c r="B3" s="1"/>
      <c r="C3" s="1"/>
      <c r="D3" s="1"/>
      <c r="E3" s="1"/>
      <c r="F3" s="1"/>
      <c r="G3" s="1"/>
      <c r="H3" s="1"/>
    </row>
    <row r="4" spans="1:8" ht="18">
      <c r="A4" s="1" t="s">
        <v>1</v>
      </c>
      <c r="B4" s="2"/>
      <c r="C4" s="2"/>
      <c r="D4" s="2"/>
      <c r="E4" s="2"/>
      <c r="F4" s="2"/>
      <c r="G4" s="2" t="s">
        <v>5</v>
      </c>
      <c r="H4" s="2" t="s">
        <v>6</v>
      </c>
    </row>
    <row r="5" spans="1:14" ht="21">
      <c r="A5" s="1"/>
      <c r="B5" s="3" t="s">
        <v>7</v>
      </c>
      <c r="C5" s="3" t="s">
        <v>2</v>
      </c>
      <c r="D5" s="3" t="s">
        <v>3</v>
      </c>
      <c r="E5" s="3" t="s">
        <v>4</v>
      </c>
      <c r="F5" s="3" t="s">
        <v>16</v>
      </c>
      <c r="G5" s="3" t="s">
        <v>20</v>
      </c>
      <c r="H5" s="3" t="s">
        <v>21</v>
      </c>
      <c r="I5" s="15" t="s">
        <v>28</v>
      </c>
      <c r="J5" s="15"/>
      <c r="K5" s="15" t="s">
        <v>29</v>
      </c>
      <c r="L5" s="15"/>
      <c r="M5" s="15" t="s">
        <v>30</v>
      </c>
      <c r="N5" s="15"/>
    </row>
    <row r="6" spans="1:14" ht="18">
      <c r="A6" s="9" t="s">
        <v>31</v>
      </c>
      <c r="B6" s="10">
        <v>50.5</v>
      </c>
      <c r="C6" s="9">
        <v>22</v>
      </c>
      <c r="D6" s="9">
        <f>13*C6</f>
        <v>286</v>
      </c>
      <c r="E6" s="9">
        <f>D6*16</f>
        <v>4576</v>
      </c>
      <c r="F6" s="11">
        <f>E6*24*160</f>
        <v>17571840</v>
      </c>
      <c r="G6" s="12">
        <f>F6*0.000315*0.00005</f>
        <v>0.27675648</v>
      </c>
      <c r="H6" s="9">
        <v>-19</v>
      </c>
      <c r="I6">
        <f>-LN(TAN(0.5*ATAN((B6+3.2)/Length)))</f>
        <v>2.707407291013807</v>
      </c>
      <c r="J6">
        <v>0</v>
      </c>
      <c r="K6">
        <f>-LN(TAN(0.5*ATAN((B6+3.2)/(Length-Sigma))))</f>
        <v>2.3836617319968716</v>
      </c>
      <c r="L6">
        <v>0</v>
      </c>
      <c r="M6">
        <f>-LN(TAN(0.5*ATAN(B6/(400.7+110))))</f>
        <v>3.0093917685728058</v>
      </c>
      <c r="N6">
        <v>0</v>
      </c>
    </row>
    <row r="7" spans="1:12" ht="18">
      <c r="A7" s="9" t="s">
        <v>32</v>
      </c>
      <c r="B7" s="10">
        <v>118</v>
      </c>
      <c r="C7" s="9">
        <v>52</v>
      </c>
      <c r="D7" s="9">
        <f>13*C7</f>
        <v>676</v>
      </c>
      <c r="E7" s="9">
        <f>D7*16</f>
        <v>10816</v>
      </c>
      <c r="F7" s="11">
        <f>E7*24*160</f>
        <v>41533440</v>
      </c>
      <c r="G7" s="12">
        <f>F7*0.000315*0.00005</f>
        <v>0.65415168</v>
      </c>
      <c r="H7" s="9">
        <v>-17.5</v>
      </c>
      <c r="I7">
        <f>-LN(TAN(0.5*ATAN((B7+2.8)/Length)))</f>
        <v>1.9142078360944197</v>
      </c>
      <c r="J7">
        <v>0</v>
      </c>
      <c r="K7">
        <f>-LN(TAN(0.5*ATAN((B7+3.2)/(Length-Sigma))))</f>
        <v>1.6024977380954768</v>
      </c>
      <c r="L7">
        <v>0</v>
      </c>
    </row>
    <row r="8" spans="1:14" ht="18">
      <c r="A8" s="1"/>
      <c r="B8" s="4"/>
      <c r="C8" s="1"/>
      <c r="D8" s="9"/>
      <c r="E8" s="1"/>
      <c r="F8" s="5"/>
      <c r="G8" s="6"/>
      <c r="H8" s="1"/>
      <c r="I8">
        <f>-LN(TAN(0.5*ATAN((B8+2.71)/Length)))</f>
        <v>5.689422998212683</v>
      </c>
      <c r="J8">
        <v>0</v>
      </c>
      <c r="K8">
        <f>-LN(TAN(0.5*ATAN((B8+3.2)/(Length-Sigma))))</f>
        <v>5.195415170716631</v>
      </c>
      <c r="L8">
        <v>0</v>
      </c>
      <c r="M8" t="e">
        <f>-LN(TAN(0.5*ATAN(B8/(400.7+110))))</f>
        <v>#NUM!</v>
      </c>
      <c r="N8">
        <v>0</v>
      </c>
    </row>
    <row r="9" spans="1:8" ht="18">
      <c r="A9" s="1" t="s">
        <v>11</v>
      </c>
      <c r="B9" s="1"/>
      <c r="C9" s="1">
        <f>SUM(C6:C8)</f>
        <v>74</v>
      </c>
      <c r="D9" s="1">
        <f>SUM(D6:D8)</f>
        <v>962</v>
      </c>
      <c r="E9" s="1">
        <f>SUM(E6:E8)</f>
        <v>15392</v>
      </c>
      <c r="F9" s="5">
        <f>SUM(F6:F8)</f>
        <v>59105280</v>
      </c>
      <c r="G9" s="6">
        <f>SUM(G6:G8)</f>
        <v>0.93090816</v>
      </c>
      <c r="H9" s="1"/>
    </row>
    <row r="10" spans="1:8" ht="18">
      <c r="A10" s="1"/>
      <c r="B10" s="1"/>
      <c r="C10" s="1"/>
      <c r="D10" s="1"/>
      <c r="E10" s="1"/>
      <c r="F10" s="1"/>
      <c r="G10" s="1"/>
      <c r="H10" s="1"/>
    </row>
    <row r="11" spans="1:8" ht="18">
      <c r="A11" s="1" t="s">
        <v>12</v>
      </c>
      <c r="B11" s="1"/>
      <c r="C11" s="1"/>
      <c r="D11" s="1"/>
      <c r="E11" s="1"/>
      <c r="F11" s="1"/>
      <c r="G11" s="1"/>
      <c r="H11" s="1"/>
    </row>
    <row r="12" spans="1:8" ht="18">
      <c r="A12" s="1"/>
      <c r="B12" s="2" t="s">
        <v>14</v>
      </c>
      <c r="C12" s="2" t="s">
        <v>15</v>
      </c>
      <c r="D12" s="2"/>
      <c r="E12" s="2"/>
      <c r="F12" s="2"/>
      <c r="G12" s="2" t="s">
        <v>5</v>
      </c>
      <c r="H12" s="1"/>
    </row>
    <row r="13" spans="1:14" ht="21">
      <c r="A13" s="3" t="s">
        <v>13</v>
      </c>
      <c r="B13" s="3" t="s">
        <v>7</v>
      </c>
      <c r="C13" s="3" t="s">
        <v>7</v>
      </c>
      <c r="D13" s="3" t="s">
        <v>3</v>
      </c>
      <c r="E13" s="3" t="s">
        <v>4</v>
      </c>
      <c r="F13" s="3" t="s">
        <v>16</v>
      </c>
      <c r="G13" s="3" t="s">
        <v>20</v>
      </c>
      <c r="H13" s="3" t="s">
        <v>17</v>
      </c>
      <c r="I13" s="15" t="s">
        <v>28</v>
      </c>
      <c r="J13" s="15"/>
      <c r="K13" s="15" t="s">
        <v>29</v>
      </c>
      <c r="L13" s="15"/>
      <c r="M13" s="15" t="s">
        <v>30</v>
      </c>
      <c r="N13" s="15"/>
    </row>
    <row r="14" spans="1:14" ht="18">
      <c r="A14" s="7"/>
      <c r="B14" s="4"/>
      <c r="C14" s="1"/>
      <c r="D14" s="1"/>
      <c r="E14" s="1"/>
      <c r="F14" s="5"/>
      <c r="G14" s="6"/>
      <c r="H14" s="1"/>
      <c r="I14" t="e">
        <f>-LN(TAN(0.5*ATAN((C14-0)/A14)))</f>
        <v>#DIV/0!</v>
      </c>
      <c r="J14" t="e">
        <f>-LN(TAN(0.5*ATAN((B14+0)/A14)))</f>
        <v>#DIV/0!</v>
      </c>
      <c r="K14" t="e">
        <f>-LN(TAN(0.5*ATAN((C14-0)/(A14-Sigma))))</f>
        <v>#NUM!</v>
      </c>
      <c r="L14" t="e">
        <f>-LN(TAN(0.5*ATAN((B14+0)/(A14-Sigma))))</f>
        <v>#NUM!</v>
      </c>
      <c r="M14" t="e">
        <f>-LN(TAN(0.5*ATAN(C14/(A14+110))))</f>
        <v>#NUM!</v>
      </c>
      <c r="N14" t="e">
        <f>-LN(TAN(0.5*ATAN(B14/(A14+110))))</f>
        <v>#NUM!</v>
      </c>
    </row>
    <row r="15" spans="1:14" ht="18">
      <c r="A15" s="7">
        <v>495</v>
      </c>
      <c r="B15" s="4">
        <v>110.3</v>
      </c>
      <c r="C15" s="1">
        <v>171.1</v>
      </c>
      <c r="D15" s="1">
        <v>60</v>
      </c>
      <c r="E15" s="1">
        <f>D15*16</f>
        <v>960</v>
      </c>
      <c r="F15" s="5">
        <f>E15*18*160</f>
        <v>2764800</v>
      </c>
      <c r="G15" s="6">
        <f>F15*0.00005*0.0004*162/160</f>
        <v>0.0559872</v>
      </c>
      <c r="H15" s="1">
        <v>10</v>
      </c>
      <c r="I15">
        <f>-LN(TAN(0.5*ATAN((C15-0)/A15)))</f>
        <v>1.784070502457938</v>
      </c>
      <c r="J15">
        <f>-LN(TAN(0.5*ATAN((B15+0)/A15)))</f>
        <v>2.2066891747974613</v>
      </c>
      <c r="K15">
        <f>-LN(TAN(0.5*ATAN((C15-0)/(A15-Sigma))))</f>
        <v>1.5454598502293757</v>
      </c>
      <c r="L15">
        <f>-LN(TAN(0.5*ATAN((B15+0)/(A15-Sigma))))</f>
        <v>1.958096048034677</v>
      </c>
      <c r="M15">
        <f>-LN(TAN(0.5*ATAN(C15/(A15+110))))</f>
        <v>1.9755484235965255</v>
      </c>
      <c r="N15">
        <f>-LN(TAN(0.5*ATAN(B15/(A15+110))))</f>
        <v>2.4033796130783642</v>
      </c>
    </row>
    <row r="16" spans="1:14" ht="18">
      <c r="A16" s="1">
        <v>700</v>
      </c>
      <c r="B16" s="4">
        <v>110.3</v>
      </c>
      <c r="C16" s="1">
        <v>171.1</v>
      </c>
      <c r="D16" s="1">
        <v>60</v>
      </c>
      <c r="E16" s="1">
        <f>D16*16</f>
        <v>960</v>
      </c>
      <c r="F16" s="5">
        <f>E16*18*160</f>
        <v>2764800</v>
      </c>
      <c r="G16" s="6">
        <f>F16*0.00005*0.0004*162/160</f>
        <v>0.0559872</v>
      </c>
      <c r="H16" s="1">
        <v>10</v>
      </c>
      <c r="I16">
        <f>-LN(TAN(0.5*ATAN((C16-0)/A16)))</f>
        <v>2.116591715108924</v>
      </c>
      <c r="J16">
        <f>-LN(TAN(0.5*ATAN((B16+0)/A16)))</f>
        <v>2.5471737687624234</v>
      </c>
      <c r="K16">
        <f>-LN(TAN(0.5*ATAN((C16-0)/(A16-Sigma))))</f>
        <v>1.948152036246426</v>
      </c>
      <c r="L16">
        <f>-LN(TAN(0.5*ATAN((B16+0)/(A16-Sigma))))</f>
        <v>2.375353374844721</v>
      </c>
      <c r="M16">
        <f>-LN(TAN(0.5*ATAN(C16/(A16+110))))</f>
        <v>2.2589061022132926</v>
      </c>
      <c r="N16">
        <f>-LN(TAN(0.5*ATAN(B16/(A16+110))))</f>
        <v>2.691581355199298</v>
      </c>
    </row>
    <row r="17" spans="1:8" ht="18">
      <c r="A17" s="1" t="s">
        <v>18</v>
      </c>
      <c r="B17" s="1"/>
      <c r="C17" s="1"/>
      <c r="D17" s="1">
        <f>2*SUM(D14:D16)</f>
        <v>240</v>
      </c>
      <c r="E17" s="1">
        <f>2*SUM(E14:E16)</f>
        <v>3840</v>
      </c>
      <c r="F17" s="5">
        <f>2*SUM(F14:F16)</f>
        <v>11059200</v>
      </c>
      <c r="G17" s="6">
        <f>2*SUM(G14:G16)</f>
        <v>0.2239488</v>
      </c>
      <c r="H17" s="7">
        <f>2*SUM(H14:H16)</f>
        <v>40</v>
      </c>
    </row>
    <row r="18" spans="1:8" ht="18">
      <c r="A18" s="1"/>
      <c r="B18" s="1"/>
      <c r="C18" s="1"/>
      <c r="D18" s="1"/>
      <c r="E18" s="1"/>
      <c r="F18" s="1"/>
      <c r="G18" s="1"/>
      <c r="H18" s="1"/>
    </row>
    <row r="19" spans="1:8" ht="18">
      <c r="A19" s="1" t="s">
        <v>19</v>
      </c>
      <c r="B19" s="1"/>
      <c r="C19" s="1"/>
      <c r="D19" s="1">
        <f>D9+D17</f>
        <v>1202</v>
      </c>
      <c r="E19" s="1">
        <f>E9+E17</f>
        <v>19232</v>
      </c>
      <c r="F19" s="8">
        <f>F9+F17</f>
        <v>70164480</v>
      </c>
      <c r="G19" s="6">
        <f>G9+G17</f>
        <v>1.15485696</v>
      </c>
      <c r="H19" s="1"/>
    </row>
    <row r="21" spans="1:7" ht="18">
      <c r="A21" s="1" t="s">
        <v>35</v>
      </c>
      <c r="D21" s="1">
        <f>D19-D6-D7</f>
        <v>240</v>
      </c>
      <c r="E21" s="1">
        <f>E19-E6-E7</f>
        <v>3840</v>
      </c>
      <c r="F21" s="13">
        <f>F19-F6-F7</f>
        <v>11059200</v>
      </c>
      <c r="G21" s="6">
        <f>G19-G6-G7</f>
        <v>0.22394880000000006</v>
      </c>
    </row>
    <row r="22" spans="1:7" ht="18">
      <c r="A22" s="9" t="s">
        <v>36</v>
      </c>
      <c r="B22" s="9"/>
      <c r="C22" s="9"/>
      <c r="D22" s="9">
        <f>D19-D21</f>
        <v>962</v>
      </c>
      <c r="E22" s="9">
        <f>E19-E21</f>
        <v>15392</v>
      </c>
      <c r="F22" s="14">
        <f>F19-F21</f>
        <v>59105280</v>
      </c>
      <c r="G22" s="12">
        <f>G19-G21</f>
        <v>0.93090816</v>
      </c>
    </row>
    <row r="24" spans="1:2" ht="12.75">
      <c r="A24" t="s">
        <v>37</v>
      </c>
      <c r="B24">
        <v>112</v>
      </c>
    </row>
    <row r="25" spans="1:2" ht="12.75">
      <c r="A25" t="s">
        <v>50</v>
      </c>
      <c r="B25">
        <v>400.7</v>
      </c>
    </row>
    <row r="27" ht="12.75">
      <c r="A27" t="s">
        <v>51</v>
      </c>
    </row>
  </sheetData>
  <mergeCells count="6">
    <mergeCell ref="M5:N5"/>
    <mergeCell ref="M13:N13"/>
    <mergeCell ref="I13:J13"/>
    <mergeCell ref="K13:L13"/>
    <mergeCell ref="I5:J5"/>
    <mergeCell ref="K5:L5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pane ySplit="510" topLeftCell="BM32" activePane="bottomLeft" state="split"/>
      <selection pane="topLeft" activeCell="F1" sqref="F1:F16384"/>
      <selection pane="bottomLeft" activeCell="E45" sqref="E45"/>
    </sheetView>
  </sheetViews>
  <sheetFormatPr defaultColWidth="9.140625" defaultRowHeight="12.75"/>
  <sheetData>
    <row r="1" spans="1:5" ht="12.75">
      <c r="A1" t="s">
        <v>27</v>
      </c>
      <c r="B1" t="s">
        <v>31</v>
      </c>
      <c r="C1" t="s">
        <v>33</v>
      </c>
      <c r="D1" t="s">
        <v>22</v>
      </c>
      <c r="E1" t="s">
        <v>23</v>
      </c>
    </row>
    <row r="2" spans="1:3" ht="12.75">
      <c r="A2">
        <v>0</v>
      </c>
      <c r="B2">
        <v>1</v>
      </c>
      <c r="C2">
        <v>2</v>
      </c>
    </row>
    <row r="3" spans="1:3" ht="12.75">
      <c r="A3">
        <v>0.05</v>
      </c>
      <c r="B3">
        <v>1</v>
      </c>
      <c r="C3">
        <v>2</v>
      </c>
    </row>
    <row r="4" spans="1:3" ht="12.75">
      <c r="A4">
        <v>0.1</v>
      </c>
      <c r="B4">
        <v>1</v>
      </c>
      <c r="C4">
        <v>2</v>
      </c>
    </row>
    <row r="5" spans="1:3" ht="12.75">
      <c r="A5">
        <v>0.15</v>
      </c>
      <c r="B5">
        <v>1</v>
      </c>
      <c r="C5">
        <v>2</v>
      </c>
    </row>
    <row r="6" spans="1:3" ht="12.75">
      <c r="A6">
        <v>0.2</v>
      </c>
      <c r="B6">
        <v>1</v>
      </c>
      <c r="C6">
        <v>2</v>
      </c>
    </row>
    <row r="7" spans="1:3" ht="12.75">
      <c r="A7">
        <v>0.25</v>
      </c>
      <c r="B7">
        <v>1</v>
      </c>
      <c r="C7">
        <v>2</v>
      </c>
    </row>
    <row r="8" spans="1:3" ht="12.75">
      <c r="A8">
        <v>0.3</v>
      </c>
      <c r="B8">
        <v>1</v>
      </c>
      <c r="C8">
        <v>2</v>
      </c>
    </row>
    <row r="9" spans="1:3" ht="12.75">
      <c r="A9">
        <v>0.35</v>
      </c>
      <c r="B9">
        <v>1</v>
      </c>
      <c r="C9">
        <v>2</v>
      </c>
    </row>
    <row r="10" spans="1:3" ht="12.75">
      <c r="A10">
        <v>0.4</v>
      </c>
      <c r="B10">
        <v>1</v>
      </c>
      <c r="C10">
        <v>2</v>
      </c>
    </row>
    <row r="11" spans="1:3" ht="12.75">
      <c r="A11">
        <v>0.45</v>
      </c>
      <c r="B11">
        <v>1</v>
      </c>
      <c r="C11">
        <v>2</v>
      </c>
    </row>
    <row r="12" spans="1:3" ht="12.75">
      <c r="A12">
        <v>0.5</v>
      </c>
      <c r="B12">
        <v>1</v>
      </c>
      <c r="C12">
        <v>2</v>
      </c>
    </row>
    <row r="13" spans="1:3" ht="12.75">
      <c r="A13">
        <v>0.55</v>
      </c>
      <c r="B13">
        <v>1</v>
      </c>
      <c r="C13">
        <v>2</v>
      </c>
    </row>
    <row r="14" spans="1:3" ht="12.75">
      <c r="A14">
        <v>0.6</v>
      </c>
      <c r="B14">
        <v>1</v>
      </c>
      <c r="C14">
        <v>2</v>
      </c>
    </row>
    <row r="15" spans="1:3" ht="12.75">
      <c r="A15">
        <v>0.65</v>
      </c>
      <c r="B15">
        <v>1</v>
      </c>
      <c r="C15">
        <v>2</v>
      </c>
    </row>
    <row r="16" spans="1:3" ht="12.75">
      <c r="A16">
        <v>0.7</v>
      </c>
      <c r="B16">
        <v>1</v>
      </c>
      <c r="C16">
        <v>2</v>
      </c>
    </row>
    <row r="17" spans="1:3" ht="12.75">
      <c r="A17">
        <v>0.75</v>
      </c>
      <c r="B17">
        <v>1</v>
      </c>
      <c r="C17">
        <v>2</v>
      </c>
    </row>
    <row r="18" spans="1:3" ht="12.75">
      <c r="A18">
        <v>0.8</v>
      </c>
      <c r="B18">
        <v>1</v>
      </c>
      <c r="C18">
        <v>2</v>
      </c>
    </row>
    <row r="19" spans="1:3" ht="12.75">
      <c r="A19">
        <v>0.85</v>
      </c>
      <c r="B19">
        <v>1</v>
      </c>
      <c r="C19">
        <v>2</v>
      </c>
    </row>
    <row r="20" spans="1:3" ht="12.75">
      <c r="A20">
        <v>0.9</v>
      </c>
      <c r="B20">
        <v>1</v>
      </c>
      <c r="C20">
        <v>2</v>
      </c>
    </row>
    <row r="21" spans="1:3" ht="12.75">
      <c r="A21">
        <v>0.95</v>
      </c>
      <c r="B21">
        <v>1</v>
      </c>
      <c r="C21">
        <v>2</v>
      </c>
    </row>
    <row r="22" spans="1:3" ht="12.75">
      <c r="A22">
        <v>1</v>
      </c>
      <c r="B22">
        <v>1</v>
      </c>
      <c r="C22">
        <v>2</v>
      </c>
    </row>
    <row r="23" spans="1:3" ht="12.75">
      <c r="A23">
        <v>1.05</v>
      </c>
      <c r="B23">
        <v>1</v>
      </c>
      <c r="C23">
        <v>2</v>
      </c>
    </row>
    <row r="24" spans="1:3" ht="12.75">
      <c r="A24">
        <v>1.1</v>
      </c>
      <c r="B24">
        <v>1</v>
      </c>
      <c r="C24">
        <v>2</v>
      </c>
    </row>
    <row r="25" spans="1:3" ht="12.75">
      <c r="A25">
        <v>1.15</v>
      </c>
      <c r="B25">
        <v>1</v>
      </c>
      <c r="C25">
        <v>2</v>
      </c>
    </row>
    <row r="26" spans="1:3" ht="12.75">
      <c r="A26">
        <v>1.2</v>
      </c>
      <c r="B26">
        <v>1</v>
      </c>
      <c r="C26">
        <v>2</v>
      </c>
    </row>
    <row r="27" spans="1:3" ht="12.75">
      <c r="A27">
        <v>1.25</v>
      </c>
      <c r="B27">
        <v>1</v>
      </c>
      <c r="C27">
        <v>2</v>
      </c>
    </row>
    <row r="28" spans="1:3" ht="12.75">
      <c r="A28">
        <v>1.3</v>
      </c>
      <c r="B28">
        <v>1</v>
      </c>
      <c r="C28">
        <v>2</v>
      </c>
    </row>
    <row r="29" spans="1:3" ht="12.75">
      <c r="A29">
        <v>1.35</v>
      </c>
      <c r="B29">
        <v>1</v>
      </c>
      <c r="C29">
        <v>2</v>
      </c>
    </row>
    <row r="30" spans="1:3" ht="12.75">
      <c r="A30">
        <v>1.4</v>
      </c>
      <c r="B30">
        <v>1</v>
      </c>
      <c r="C30">
        <v>2</v>
      </c>
    </row>
    <row r="31" spans="1:3" ht="12.75">
      <c r="A31">
        <v>1.45</v>
      </c>
      <c r="B31">
        <v>1</v>
      </c>
      <c r="C31">
        <v>2</v>
      </c>
    </row>
    <row r="32" spans="1:3" ht="12.75">
      <c r="A32">
        <v>1.5</v>
      </c>
      <c r="B32">
        <v>1</v>
      </c>
      <c r="C32">
        <v>2</v>
      </c>
    </row>
    <row r="33" spans="1:3" ht="12.75">
      <c r="A33">
        <v>1.55</v>
      </c>
      <c r="B33">
        <v>1</v>
      </c>
      <c r="C33">
        <v>2</v>
      </c>
    </row>
    <row r="34" spans="1:3" ht="12.75">
      <c r="A34">
        <v>1.6</v>
      </c>
      <c r="B34">
        <v>1</v>
      </c>
      <c r="C34">
        <v>2</v>
      </c>
    </row>
    <row r="35" spans="1:3" ht="12.75">
      <c r="A35">
        <v>1.65</v>
      </c>
      <c r="B35">
        <v>1</v>
      </c>
      <c r="C35">
        <v>2</v>
      </c>
    </row>
    <row r="36" spans="1:3" ht="12.75">
      <c r="A36">
        <v>1.7</v>
      </c>
      <c r="B36">
        <v>1</v>
      </c>
      <c r="C36">
        <v>2</v>
      </c>
    </row>
    <row r="37" spans="1:3" ht="12.75">
      <c r="A37">
        <v>1.75</v>
      </c>
      <c r="B37">
        <v>1</v>
      </c>
      <c r="C37">
        <v>2</v>
      </c>
    </row>
    <row r="38" spans="1:4" ht="12.75">
      <c r="A38">
        <v>1.8</v>
      </c>
      <c r="B38">
        <v>1</v>
      </c>
      <c r="C38">
        <v>2</v>
      </c>
      <c r="D38">
        <v>4</v>
      </c>
    </row>
    <row r="39" spans="1:4" ht="12.75">
      <c r="A39">
        <v>1.85</v>
      </c>
      <c r="B39">
        <v>1</v>
      </c>
      <c r="C39">
        <v>2</v>
      </c>
      <c r="D39">
        <v>4</v>
      </c>
    </row>
    <row r="40" spans="1:4" ht="12.75">
      <c r="A40">
        <v>1.9</v>
      </c>
      <c r="B40">
        <v>1</v>
      </c>
      <c r="C40">
        <v>2</v>
      </c>
      <c r="D40">
        <v>4</v>
      </c>
    </row>
    <row r="41" spans="1:4" ht="12.75">
      <c r="A41">
        <v>1.95</v>
      </c>
      <c r="B41">
        <v>1</v>
      </c>
      <c r="D41">
        <v>4</v>
      </c>
    </row>
    <row r="42" spans="1:4" ht="12.75">
      <c r="A42">
        <v>2</v>
      </c>
      <c r="B42">
        <v>1</v>
      </c>
      <c r="D42">
        <v>4</v>
      </c>
    </row>
    <row r="43" spans="1:4" ht="12.75">
      <c r="A43">
        <v>2.05</v>
      </c>
      <c r="B43">
        <v>1</v>
      </c>
      <c r="D43">
        <v>4</v>
      </c>
    </row>
    <row r="44" spans="1:5" ht="12.75">
      <c r="A44">
        <v>2.1</v>
      </c>
      <c r="B44">
        <v>1</v>
      </c>
      <c r="D44">
        <v>4</v>
      </c>
      <c r="E44">
        <v>6</v>
      </c>
    </row>
    <row r="45" spans="1:5" ht="12.75">
      <c r="A45">
        <v>2.15</v>
      </c>
      <c r="B45">
        <v>1</v>
      </c>
      <c r="D45">
        <v>4</v>
      </c>
      <c r="E45">
        <v>6</v>
      </c>
    </row>
    <row r="46" spans="1:5" ht="12.75">
      <c r="A46">
        <v>2.2</v>
      </c>
      <c r="B46">
        <v>1</v>
      </c>
      <c r="D46">
        <v>4</v>
      </c>
      <c r="E46">
        <v>6</v>
      </c>
    </row>
    <row r="47" spans="1:5" ht="12.75">
      <c r="A47">
        <v>2.25</v>
      </c>
      <c r="B47">
        <v>1</v>
      </c>
      <c r="E47">
        <v>6</v>
      </c>
    </row>
    <row r="48" spans="1:5" ht="12.75">
      <c r="A48">
        <v>2.3</v>
      </c>
      <c r="B48">
        <v>1</v>
      </c>
      <c r="E48">
        <v>6</v>
      </c>
    </row>
    <row r="49" spans="1:5" ht="12.75">
      <c r="A49">
        <v>2.35</v>
      </c>
      <c r="B49">
        <v>1</v>
      </c>
      <c r="E49">
        <v>6</v>
      </c>
    </row>
    <row r="50" spans="1:5" ht="12.75">
      <c r="A50">
        <v>2.4</v>
      </c>
      <c r="B50">
        <v>1</v>
      </c>
      <c r="E50">
        <v>6</v>
      </c>
    </row>
    <row r="51" spans="1:5" ht="12.75">
      <c r="A51">
        <v>2.45</v>
      </c>
      <c r="B51">
        <v>1</v>
      </c>
      <c r="E51">
        <v>6</v>
      </c>
    </row>
    <row r="52" spans="1:5" ht="12.75">
      <c r="A52">
        <v>2.5</v>
      </c>
      <c r="B52">
        <v>1</v>
      </c>
      <c r="E52">
        <v>6</v>
      </c>
    </row>
    <row r="53" spans="1:5" ht="12.75">
      <c r="A53">
        <v>2.55</v>
      </c>
      <c r="B53">
        <v>1</v>
      </c>
      <c r="E53">
        <v>6</v>
      </c>
    </row>
    <row r="54" spans="1:2" ht="12.75">
      <c r="A54">
        <v>2.6</v>
      </c>
      <c r="B54">
        <v>1</v>
      </c>
    </row>
    <row r="55" spans="1:2" ht="12.75">
      <c r="A55">
        <v>2.65</v>
      </c>
      <c r="B55">
        <v>1</v>
      </c>
    </row>
    <row r="56" spans="1:2" ht="12.75">
      <c r="A56">
        <v>2.7</v>
      </c>
      <c r="B56">
        <v>1</v>
      </c>
    </row>
    <row r="57" ht="12.75">
      <c r="A57">
        <v>2.75</v>
      </c>
    </row>
    <row r="58" ht="12.75">
      <c r="A58">
        <v>2.8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pane ySplit="510" topLeftCell="BM29" activePane="bottomLeft" state="split"/>
      <selection pane="topLeft" activeCell="F1" sqref="F1:G16384"/>
      <selection pane="bottomLeft" activeCell="E51" sqref="E51"/>
    </sheetView>
  </sheetViews>
  <sheetFormatPr defaultColWidth="9.140625" defaultRowHeight="12.75"/>
  <sheetData>
    <row r="1" spans="1:5" ht="12.75">
      <c r="A1" t="s">
        <v>27</v>
      </c>
      <c r="B1" t="s">
        <v>31</v>
      </c>
      <c r="C1" t="s">
        <v>32</v>
      </c>
      <c r="D1" t="s">
        <v>22</v>
      </c>
      <c r="E1" t="s">
        <v>24</v>
      </c>
    </row>
    <row r="2" spans="1:3" ht="12.75">
      <c r="A2">
        <v>0</v>
      </c>
      <c r="B2">
        <v>1</v>
      </c>
      <c r="C2">
        <v>2</v>
      </c>
    </row>
    <row r="3" spans="1:3" ht="12.75">
      <c r="A3">
        <v>0.05</v>
      </c>
      <c r="B3">
        <v>1</v>
      </c>
      <c r="C3">
        <v>2</v>
      </c>
    </row>
    <row r="4" spans="1:3" ht="12.75">
      <c r="A4">
        <v>0.1</v>
      </c>
      <c r="B4">
        <v>1</v>
      </c>
      <c r="C4">
        <v>2</v>
      </c>
    </row>
    <row r="5" spans="1:3" ht="12.75">
      <c r="A5">
        <v>0.15</v>
      </c>
      <c r="B5">
        <v>1</v>
      </c>
      <c r="C5">
        <v>2</v>
      </c>
    </row>
    <row r="6" spans="1:3" ht="12.75">
      <c r="A6">
        <v>0.2</v>
      </c>
      <c r="B6">
        <v>1</v>
      </c>
      <c r="C6">
        <v>2</v>
      </c>
    </row>
    <row r="7" spans="1:3" ht="12.75">
      <c r="A7">
        <v>0.25</v>
      </c>
      <c r="B7">
        <v>1</v>
      </c>
      <c r="C7">
        <v>2</v>
      </c>
    </row>
    <row r="8" spans="1:3" ht="12.75">
      <c r="A8">
        <v>0.3</v>
      </c>
      <c r="B8">
        <v>1</v>
      </c>
      <c r="C8">
        <v>2</v>
      </c>
    </row>
    <row r="9" spans="1:3" ht="12.75">
      <c r="A9">
        <v>0.35</v>
      </c>
      <c r="B9">
        <v>1</v>
      </c>
      <c r="C9">
        <v>2</v>
      </c>
    </row>
    <row r="10" spans="1:3" ht="12.75">
      <c r="A10">
        <v>0.4</v>
      </c>
      <c r="B10">
        <v>1</v>
      </c>
      <c r="C10">
        <v>2</v>
      </c>
    </row>
    <row r="11" spans="1:3" ht="12.75">
      <c r="A11">
        <v>0.45</v>
      </c>
      <c r="B11">
        <v>1</v>
      </c>
      <c r="C11">
        <v>2</v>
      </c>
    </row>
    <row r="12" spans="1:3" ht="12.75">
      <c r="A12">
        <v>0.5</v>
      </c>
      <c r="B12">
        <v>1</v>
      </c>
      <c r="C12">
        <v>2</v>
      </c>
    </row>
    <row r="13" spans="1:3" ht="12.75">
      <c r="A13">
        <v>0.55</v>
      </c>
      <c r="B13">
        <v>1</v>
      </c>
      <c r="C13">
        <v>2</v>
      </c>
    </row>
    <row r="14" spans="1:3" ht="12.75">
      <c r="A14">
        <v>0.6</v>
      </c>
      <c r="B14">
        <v>1</v>
      </c>
      <c r="C14">
        <v>2</v>
      </c>
    </row>
    <row r="15" spans="1:3" ht="12.75">
      <c r="A15">
        <v>0.65</v>
      </c>
      <c r="B15">
        <v>1</v>
      </c>
      <c r="C15">
        <v>2</v>
      </c>
    </row>
    <row r="16" spans="1:3" ht="12.75">
      <c r="A16">
        <v>0.7</v>
      </c>
      <c r="B16">
        <v>1</v>
      </c>
      <c r="C16">
        <v>2</v>
      </c>
    </row>
    <row r="17" spans="1:3" ht="12.75">
      <c r="A17">
        <v>0.75</v>
      </c>
      <c r="B17">
        <v>1</v>
      </c>
      <c r="C17">
        <v>2</v>
      </c>
    </row>
    <row r="18" spans="1:3" ht="12.75">
      <c r="A18">
        <v>0.8</v>
      </c>
      <c r="B18">
        <v>1</v>
      </c>
      <c r="C18">
        <v>2</v>
      </c>
    </row>
    <row r="19" spans="1:3" ht="12.75">
      <c r="A19">
        <v>0.85</v>
      </c>
      <c r="B19">
        <v>1</v>
      </c>
      <c r="C19">
        <v>2</v>
      </c>
    </row>
    <row r="20" spans="1:3" ht="12.75">
      <c r="A20">
        <v>0.9</v>
      </c>
      <c r="B20">
        <v>1</v>
      </c>
      <c r="C20">
        <v>2</v>
      </c>
    </row>
    <row r="21" spans="1:3" ht="12.75">
      <c r="A21">
        <v>0.95</v>
      </c>
      <c r="B21">
        <v>1</v>
      </c>
      <c r="C21">
        <v>2</v>
      </c>
    </row>
    <row r="22" spans="1:3" ht="12.75">
      <c r="A22">
        <v>1</v>
      </c>
      <c r="B22">
        <v>1</v>
      </c>
      <c r="C22">
        <v>2</v>
      </c>
    </row>
    <row r="23" spans="1:3" ht="12.75">
      <c r="A23">
        <v>1.05</v>
      </c>
      <c r="B23">
        <v>1</v>
      </c>
      <c r="C23">
        <v>2</v>
      </c>
    </row>
    <row r="24" spans="1:3" ht="12.75">
      <c r="A24">
        <v>1.1</v>
      </c>
      <c r="B24">
        <v>1</v>
      </c>
      <c r="C24">
        <v>2</v>
      </c>
    </row>
    <row r="25" spans="1:3" ht="12.75">
      <c r="A25">
        <v>1.15</v>
      </c>
      <c r="B25">
        <v>1</v>
      </c>
      <c r="C25">
        <v>2</v>
      </c>
    </row>
    <row r="26" spans="1:3" ht="12.75">
      <c r="A26">
        <v>1.2</v>
      </c>
      <c r="B26">
        <v>1</v>
      </c>
      <c r="C26">
        <v>2</v>
      </c>
    </row>
    <row r="27" spans="1:3" ht="12.75">
      <c r="A27">
        <v>1.25</v>
      </c>
      <c r="B27">
        <v>1</v>
      </c>
      <c r="C27">
        <v>2</v>
      </c>
    </row>
    <row r="28" spans="1:3" ht="12.75">
      <c r="A28">
        <v>1.3</v>
      </c>
      <c r="B28">
        <v>1</v>
      </c>
      <c r="C28">
        <v>2</v>
      </c>
    </row>
    <row r="29" spans="1:3" ht="12.75">
      <c r="A29">
        <v>1.35</v>
      </c>
      <c r="B29">
        <v>1</v>
      </c>
      <c r="C29">
        <v>2</v>
      </c>
    </row>
    <row r="30" spans="1:3" ht="12.75">
      <c r="A30">
        <v>1.4</v>
      </c>
      <c r="B30">
        <v>1</v>
      </c>
      <c r="C30">
        <v>2</v>
      </c>
    </row>
    <row r="31" spans="1:3" ht="12.75">
      <c r="A31">
        <v>1.45</v>
      </c>
      <c r="B31">
        <v>1</v>
      </c>
      <c r="C31">
        <v>2</v>
      </c>
    </row>
    <row r="32" spans="1:3" ht="12.75">
      <c r="A32">
        <v>1.5</v>
      </c>
      <c r="B32">
        <v>1</v>
      </c>
      <c r="C32">
        <v>2</v>
      </c>
    </row>
    <row r="33" spans="1:4" ht="12.75">
      <c r="A33">
        <v>1.55</v>
      </c>
      <c r="B33">
        <v>1</v>
      </c>
      <c r="C33">
        <v>2</v>
      </c>
      <c r="D33">
        <v>4</v>
      </c>
    </row>
    <row r="34" spans="1:4" ht="12.75">
      <c r="A34">
        <v>1.6</v>
      </c>
      <c r="B34">
        <v>1</v>
      </c>
      <c r="C34">
        <v>2</v>
      </c>
      <c r="D34">
        <v>4</v>
      </c>
    </row>
    <row r="35" spans="1:4" ht="12.75">
      <c r="A35">
        <v>1.65</v>
      </c>
      <c r="B35">
        <v>1</v>
      </c>
      <c r="C35">
        <v>2</v>
      </c>
      <c r="D35">
        <v>4</v>
      </c>
    </row>
    <row r="36" spans="1:4" ht="12.75">
      <c r="A36">
        <v>1.7</v>
      </c>
      <c r="B36">
        <v>1</v>
      </c>
      <c r="D36">
        <v>4</v>
      </c>
    </row>
    <row r="37" spans="1:4" ht="12.75">
      <c r="A37">
        <v>1.75</v>
      </c>
      <c r="B37">
        <v>1</v>
      </c>
      <c r="D37">
        <v>4</v>
      </c>
    </row>
    <row r="38" spans="1:4" ht="12.75">
      <c r="A38">
        <v>1.8</v>
      </c>
      <c r="B38">
        <v>1</v>
      </c>
      <c r="D38">
        <v>4</v>
      </c>
    </row>
    <row r="39" spans="1:4" ht="12.75">
      <c r="A39">
        <v>1.85</v>
      </c>
      <c r="B39">
        <v>1</v>
      </c>
      <c r="D39">
        <v>4</v>
      </c>
    </row>
    <row r="40" spans="1:4" ht="12.75">
      <c r="A40">
        <v>1.9</v>
      </c>
      <c r="B40">
        <v>1</v>
      </c>
      <c r="D40">
        <v>4</v>
      </c>
    </row>
    <row r="41" spans="1:5" ht="12.75">
      <c r="A41">
        <v>1.95</v>
      </c>
      <c r="B41">
        <v>1</v>
      </c>
      <c r="D41">
        <v>4</v>
      </c>
      <c r="E41">
        <v>6</v>
      </c>
    </row>
    <row r="42" spans="1:5" ht="12.75">
      <c r="A42">
        <v>2</v>
      </c>
      <c r="B42">
        <v>1</v>
      </c>
      <c r="E42">
        <v>6</v>
      </c>
    </row>
    <row r="43" spans="1:5" ht="12.75">
      <c r="A43">
        <v>2.05</v>
      </c>
      <c r="B43">
        <v>1</v>
      </c>
      <c r="E43">
        <v>6</v>
      </c>
    </row>
    <row r="44" spans="1:5" ht="12.75">
      <c r="A44">
        <v>2.1</v>
      </c>
      <c r="B44">
        <v>1</v>
      </c>
      <c r="E44">
        <v>6</v>
      </c>
    </row>
    <row r="45" spans="1:5" ht="12.75">
      <c r="A45">
        <v>2.15</v>
      </c>
      <c r="B45">
        <v>1</v>
      </c>
      <c r="E45">
        <v>6</v>
      </c>
    </row>
    <row r="46" spans="1:5" ht="12.75">
      <c r="A46">
        <v>2.2</v>
      </c>
      <c r="B46">
        <v>1</v>
      </c>
      <c r="E46">
        <v>6</v>
      </c>
    </row>
    <row r="47" spans="1:5" ht="12.75">
      <c r="A47">
        <v>2.25</v>
      </c>
      <c r="B47">
        <v>1</v>
      </c>
      <c r="E47">
        <v>6</v>
      </c>
    </row>
    <row r="48" spans="1:5" ht="12.75">
      <c r="A48">
        <v>2.3</v>
      </c>
      <c r="B48">
        <v>1</v>
      </c>
      <c r="E48">
        <v>6</v>
      </c>
    </row>
    <row r="49" spans="1:5" ht="12.75">
      <c r="A49">
        <v>2.35</v>
      </c>
      <c r="B49">
        <v>1</v>
      </c>
      <c r="E49">
        <v>6</v>
      </c>
    </row>
    <row r="50" spans="1:5" ht="12.75">
      <c r="A50">
        <v>2.4</v>
      </c>
      <c r="B50">
        <v>1</v>
      </c>
      <c r="E50">
        <v>6</v>
      </c>
    </row>
    <row r="51" ht="12.75">
      <c r="A51">
        <v>2.45</v>
      </c>
    </row>
    <row r="52" ht="12.75">
      <c r="A52">
        <v>2.5</v>
      </c>
    </row>
    <row r="53" ht="12.75">
      <c r="A53">
        <v>2.55</v>
      </c>
    </row>
    <row r="54" ht="12.75">
      <c r="A54">
        <v>2.6</v>
      </c>
    </row>
    <row r="55" ht="12.75">
      <c r="A55">
        <v>2.65</v>
      </c>
    </row>
    <row r="56" ht="12.75">
      <c r="A56">
        <v>2.7</v>
      </c>
    </row>
    <row r="57" ht="12.75">
      <c r="A57">
        <v>2.75</v>
      </c>
    </row>
    <row r="58" ht="12.75">
      <c r="A58">
        <v>2.8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ySplit="510" topLeftCell="BM1" activePane="bottomLeft" state="split"/>
      <selection pane="topLeft" activeCell="A1" sqref="A1"/>
      <selection pane="bottomLeft" activeCell="A1" sqref="A1:I58"/>
    </sheetView>
  </sheetViews>
  <sheetFormatPr defaultColWidth="9.140625" defaultRowHeight="12.75"/>
  <sheetData>
    <row r="1" spans="1:9" ht="12.75">
      <c r="A1" t="s">
        <v>27</v>
      </c>
      <c r="B1" t="s">
        <v>8</v>
      </c>
      <c r="C1" t="s">
        <v>9</v>
      </c>
      <c r="D1" t="s">
        <v>10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</row>
    <row r="2" spans="1:4" ht="12.75">
      <c r="A2">
        <v>0</v>
      </c>
      <c r="B2">
        <v>1</v>
      </c>
      <c r="C2">
        <v>2</v>
      </c>
      <c r="D2">
        <v>3</v>
      </c>
    </row>
    <row r="3" spans="1:4" ht="12.75">
      <c r="A3">
        <v>0.05</v>
      </c>
      <c r="B3">
        <v>1</v>
      </c>
      <c r="C3">
        <v>2</v>
      </c>
      <c r="D3">
        <v>3</v>
      </c>
    </row>
    <row r="4" spans="1:4" ht="12.75">
      <c r="A4">
        <v>0.1</v>
      </c>
      <c r="B4">
        <v>1</v>
      </c>
      <c r="C4">
        <v>2</v>
      </c>
      <c r="D4">
        <v>3</v>
      </c>
    </row>
    <row r="5" spans="1:4" ht="12.75">
      <c r="A5">
        <v>0.15</v>
      </c>
      <c r="B5">
        <v>1</v>
      </c>
      <c r="C5">
        <v>2</v>
      </c>
      <c r="D5">
        <v>3</v>
      </c>
    </row>
    <row r="6" spans="1:4" ht="12.75">
      <c r="A6">
        <v>0.2</v>
      </c>
      <c r="B6">
        <v>1</v>
      </c>
      <c r="C6">
        <v>2</v>
      </c>
      <c r="D6">
        <v>3</v>
      </c>
    </row>
    <row r="7" spans="1:4" ht="12.75">
      <c r="A7">
        <v>0.25</v>
      </c>
      <c r="B7">
        <v>1</v>
      </c>
      <c r="C7">
        <v>2</v>
      </c>
      <c r="D7">
        <v>3</v>
      </c>
    </row>
    <row r="8" spans="1:4" ht="12.75">
      <c r="A8">
        <v>0.3</v>
      </c>
      <c r="B8">
        <v>1</v>
      </c>
      <c r="C8">
        <v>2</v>
      </c>
      <c r="D8">
        <v>3</v>
      </c>
    </row>
    <row r="9" spans="1:4" ht="12.75">
      <c r="A9">
        <v>0.35</v>
      </c>
      <c r="B9">
        <v>1</v>
      </c>
      <c r="C9">
        <v>2</v>
      </c>
      <c r="D9">
        <v>3</v>
      </c>
    </row>
    <row r="10" spans="1:4" ht="12.75">
      <c r="A10">
        <v>0.4</v>
      </c>
      <c r="B10">
        <v>1</v>
      </c>
      <c r="C10">
        <v>2</v>
      </c>
      <c r="D10">
        <v>3</v>
      </c>
    </row>
    <row r="11" spans="1:4" ht="12.75">
      <c r="A11">
        <v>0.45</v>
      </c>
      <c r="B11">
        <v>1</v>
      </c>
      <c r="C11">
        <v>2</v>
      </c>
      <c r="D11">
        <v>3</v>
      </c>
    </row>
    <row r="12" spans="1:4" ht="12.75">
      <c r="A12">
        <v>0.5</v>
      </c>
      <c r="B12">
        <v>1</v>
      </c>
      <c r="C12">
        <v>2</v>
      </c>
      <c r="D12">
        <v>3</v>
      </c>
    </row>
    <row r="13" spans="1:4" ht="12.75">
      <c r="A13">
        <v>0.55</v>
      </c>
      <c r="B13">
        <v>1</v>
      </c>
      <c r="C13">
        <v>2</v>
      </c>
      <c r="D13">
        <v>3</v>
      </c>
    </row>
    <row r="14" spans="1:4" ht="12.75">
      <c r="A14">
        <v>0.6</v>
      </c>
      <c r="B14">
        <v>1</v>
      </c>
      <c r="C14">
        <v>2</v>
      </c>
      <c r="D14">
        <v>3</v>
      </c>
    </row>
    <row r="15" spans="1:4" ht="12.75">
      <c r="A15">
        <v>0.65</v>
      </c>
      <c r="B15">
        <v>1</v>
      </c>
      <c r="C15">
        <v>2</v>
      </c>
      <c r="D15">
        <v>3</v>
      </c>
    </row>
    <row r="16" spans="1:4" ht="12.75">
      <c r="A16">
        <v>0.7</v>
      </c>
      <c r="B16">
        <v>1</v>
      </c>
      <c r="C16">
        <v>2</v>
      </c>
      <c r="D16">
        <v>3</v>
      </c>
    </row>
    <row r="17" spans="1:4" ht="12.75">
      <c r="A17">
        <v>0.75</v>
      </c>
      <c r="B17">
        <v>1</v>
      </c>
      <c r="C17">
        <v>2</v>
      </c>
      <c r="D17">
        <v>3</v>
      </c>
    </row>
    <row r="18" spans="1:4" ht="12.75">
      <c r="A18">
        <v>0.8</v>
      </c>
      <c r="B18">
        <v>1</v>
      </c>
      <c r="C18">
        <v>2</v>
      </c>
      <c r="D18">
        <v>3</v>
      </c>
    </row>
    <row r="19" spans="1:4" ht="12.75">
      <c r="A19">
        <v>0.85</v>
      </c>
      <c r="B19">
        <v>1</v>
      </c>
      <c r="C19">
        <v>2</v>
      </c>
      <c r="D19">
        <v>3</v>
      </c>
    </row>
    <row r="20" spans="1:4" ht="12.75">
      <c r="A20">
        <v>0.9</v>
      </c>
      <c r="B20">
        <v>1</v>
      </c>
      <c r="C20">
        <v>2</v>
      </c>
      <c r="D20">
        <v>3</v>
      </c>
    </row>
    <row r="21" spans="1:4" ht="12.75">
      <c r="A21">
        <v>0.95</v>
      </c>
      <c r="B21">
        <v>1</v>
      </c>
      <c r="C21">
        <v>2</v>
      </c>
      <c r="D21">
        <v>3</v>
      </c>
    </row>
    <row r="22" spans="1:4" ht="12.75">
      <c r="A22">
        <v>1</v>
      </c>
      <c r="B22">
        <v>1</v>
      </c>
      <c r="C22">
        <v>2</v>
      </c>
      <c r="D22">
        <v>3</v>
      </c>
    </row>
    <row r="23" spans="1:4" ht="12.75">
      <c r="A23">
        <v>1.05</v>
      </c>
      <c r="B23">
        <v>1</v>
      </c>
      <c r="C23">
        <v>2</v>
      </c>
      <c r="D23">
        <v>3</v>
      </c>
    </row>
    <row r="24" spans="1:4" ht="12.75">
      <c r="A24">
        <v>1.1</v>
      </c>
      <c r="B24">
        <v>1</v>
      </c>
      <c r="C24">
        <v>2</v>
      </c>
      <c r="D24">
        <v>3</v>
      </c>
    </row>
    <row r="25" spans="1:4" ht="12.75">
      <c r="A25">
        <v>1.15</v>
      </c>
      <c r="B25">
        <v>1</v>
      </c>
      <c r="C25">
        <v>2</v>
      </c>
      <c r="D25">
        <v>3</v>
      </c>
    </row>
    <row r="26" spans="1:4" ht="12.75">
      <c r="A26">
        <v>1.2</v>
      </c>
      <c r="B26">
        <v>1</v>
      </c>
      <c r="C26">
        <v>2</v>
      </c>
      <c r="D26">
        <v>3</v>
      </c>
    </row>
    <row r="27" spans="1:4" ht="12.75">
      <c r="A27">
        <v>1.25</v>
      </c>
      <c r="B27">
        <v>1</v>
      </c>
      <c r="C27">
        <v>2</v>
      </c>
      <c r="D27">
        <v>3</v>
      </c>
    </row>
    <row r="28" spans="1:4" ht="12.75">
      <c r="A28">
        <v>1.3</v>
      </c>
      <c r="B28">
        <v>1</v>
      </c>
      <c r="C28">
        <v>2</v>
      </c>
      <c r="D28">
        <v>3</v>
      </c>
    </row>
    <row r="29" spans="1:4" ht="12.75">
      <c r="A29">
        <v>1.35</v>
      </c>
      <c r="B29">
        <v>1</v>
      </c>
      <c r="C29">
        <v>2</v>
      </c>
      <c r="D29">
        <v>3</v>
      </c>
    </row>
    <row r="30" spans="1:4" ht="12.75">
      <c r="A30">
        <v>1.4</v>
      </c>
      <c r="B30">
        <v>1</v>
      </c>
      <c r="C30">
        <v>2</v>
      </c>
      <c r="D30">
        <v>3</v>
      </c>
    </row>
    <row r="31" spans="1:4" ht="12.75">
      <c r="A31">
        <v>1.45</v>
      </c>
      <c r="B31">
        <v>1</v>
      </c>
      <c r="C31">
        <v>2</v>
      </c>
      <c r="D31">
        <v>3</v>
      </c>
    </row>
    <row r="32" spans="1:4" ht="12.75">
      <c r="A32">
        <v>1.5</v>
      </c>
      <c r="B32">
        <v>1</v>
      </c>
      <c r="C32">
        <v>2</v>
      </c>
      <c r="D32">
        <v>3</v>
      </c>
    </row>
    <row r="33" spans="1:4" ht="12.75">
      <c r="A33">
        <v>1.55</v>
      </c>
      <c r="B33">
        <v>1</v>
      </c>
      <c r="C33">
        <v>2</v>
      </c>
      <c r="D33">
        <v>3</v>
      </c>
    </row>
    <row r="34" spans="1:4" ht="12.75">
      <c r="A34">
        <v>1.6</v>
      </c>
      <c r="B34">
        <v>1</v>
      </c>
      <c r="C34">
        <v>2</v>
      </c>
      <c r="D34">
        <v>3</v>
      </c>
    </row>
    <row r="35" spans="1:4" ht="12.75">
      <c r="A35">
        <v>1.65</v>
      </c>
      <c r="B35">
        <v>1</v>
      </c>
      <c r="C35">
        <v>2</v>
      </c>
      <c r="D35">
        <v>3</v>
      </c>
    </row>
    <row r="36" spans="1:4" ht="12.75">
      <c r="A36">
        <v>1.7</v>
      </c>
      <c r="B36">
        <v>1</v>
      </c>
      <c r="C36">
        <v>2</v>
      </c>
      <c r="D36">
        <v>3</v>
      </c>
    </row>
    <row r="37" spans="1:4" ht="12.75">
      <c r="A37">
        <v>1.75</v>
      </c>
      <c r="B37">
        <v>1</v>
      </c>
      <c r="C37">
        <v>2</v>
      </c>
      <c r="D37">
        <v>3</v>
      </c>
    </row>
    <row r="38" spans="1:4" ht="12.75">
      <c r="A38">
        <v>1.8</v>
      </c>
      <c r="B38">
        <v>1</v>
      </c>
      <c r="C38">
        <v>2</v>
      </c>
      <c r="D38">
        <v>3</v>
      </c>
    </row>
    <row r="39" spans="1:4" ht="12.75">
      <c r="A39">
        <v>1.85</v>
      </c>
      <c r="B39">
        <v>1</v>
      </c>
      <c r="C39">
        <v>2</v>
      </c>
      <c r="D39">
        <v>3</v>
      </c>
    </row>
    <row r="40" spans="1:5" ht="12.75">
      <c r="A40">
        <v>1.9</v>
      </c>
      <c r="B40">
        <v>1</v>
      </c>
      <c r="C40">
        <v>2</v>
      </c>
      <c r="D40">
        <v>3</v>
      </c>
      <c r="E40">
        <v>4</v>
      </c>
    </row>
    <row r="41" spans="1:5" ht="12.75">
      <c r="A41">
        <v>1.95</v>
      </c>
      <c r="B41">
        <v>1</v>
      </c>
      <c r="C41">
        <v>2</v>
      </c>
      <c r="D41">
        <v>3</v>
      </c>
      <c r="E41">
        <v>4</v>
      </c>
    </row>
    <row r="42" spans="1:5" ht="12.75">
      <c r="A42">
        <v>2</v>
      </c>
      <c r="B42">
        <v>1</v>
      </c>
      <c r="C42">
        <v>2</v>
      </c>
      <c r="D42">
        <v>3</v>
      </c>
      <c r="E42">
        <v>4</v>
      </c>
    </row>
    <row r="43" spans="1:6" ht="12.75">
      <c r="A43">
        <v>2.05</v>
      </c>
      <c r="B43">
        <v>1</v>
      </c>
      <c r="C43">
        <v>2</v>
      </c>
      <c r="D43">
        <v>3</v>
      </c>
      <c r="E43">
        <v>4</v>
      </c>
      <c r="F43">
        <v>5</v>
      </c>
    </row>
    <row r="44" spans="1:7" ht="12.75">
      <c r="A44">
        <v>2.1</v>
      </c>
      <c r="B44">
        <v>1</v>
      </c>
      <c r="C44">
        <v>2</v>
      </c>
      <c r="D44">
        <v>3</v>
      </c>
      <c r="E44">
        <v>4</v>
      </c>
      <c r="F44">
        <v>5</v>
      </c>
      <c r="G44">
        <v>6</v>
      </c>
    </row>
    <row r="45" spans="1:7" ht="12.75">
      <c r="A45">
        <v>2.15</v>
      </c>
      <c r="B45">
        <v>1</v>
      </c>
      <c r="C45">
        <v>2</v>
      </c>
      <c r="E45">
        <v>4</v>
      </c>
      <c r="F45">
        <v>5</v>
      </c>
      <c r="G45">
        <v>6</v>
      </c>
    </row>
    <row r="46" spans="1:7" ht="12.75">
      <c r="A46">
        <v>2.2</v>
      </c>
      <c r="B46">
        <v>1</v>
      </c>
      <c r="C46">
        <v>2</v>
      </c>
      <c r="E46">
        <v>4</v>
      </c>
      <c r="F46">
        <v>5</v>
      </c>
      <c r="G46">
        <v>6</v>
      </c>
    </row>
    <row r="47" spans="1:7" ht="12.75">
      <c r="A47">
        <v>2.25</v>
      </c>
      <c r="B47">
        <v>1</v>
      </c>
      <c r="C47">
        <v>2</v>
      </c>
      <c r="E47">
        <v>4</v>
      </c>
      <c r="F47">
        <v>5</v>
      </c>
      <c r="G47">
        <v>6</v>
      </c>
    </row>
    <row r="48" spans="1:7" ht="12.75">
      <c r="A48">
        <v>2.3</v>
      </c>
      <c r="B48">
        <v>1</v>
      </c>
      <c r="C48">
        <v>2</v>
      </c>
      <c r="E48">
        <v>4</v>
      </c>
      <c r="F48">
        <v>5</v>
      </c>
      <c r="G48">
        <v>6</v>
      </c>
    </row>
    <row r="49" spans="1:8" ht="12.75">
      <c r="A49">
        <v>2.35</v>
      </c>
      <c r="B49">
        <v>1</v>
      </c>
      <c r="C49">
        <v>2</v>
      </c>
      <c r="F49">
        <v>5</v>
      </c>
      <c r="G49">
        <v>6</v>
      </c>
      <c r="H49">
        <v>7</v>
      </c>
    </row>
    <row r="50" spans="1:9" ht="12.75">
      <c r="A50">
        <v>2.4</v>
      </c>
      <c r="B50">
        <v>1</v>
      </c>
      <c r="F50">
        <v>5</v>
      </c>
      <c r="G50">
        <v>6</v>
      </c>
      <c r="H50">
        <v>7</v>
      </c>
      <c r="I50">
        <v>8</v>
      </c>
    </row>
    <row r="51" spans="1:9" ht="12.75">
      <c r="A51">
        <v>2.45</v>
      </c>
      <c r="B51">
        <v>1</v>
      </c>
      <c r="F51">
        <v>5</v>
      </c>
      <c r="G51">
        <v>6</v>
      </c>
      <c r="H51">
        <v>7</v>
      </c>
      <c r="I51">
        <v>8</v>
      </c>
    </row>
    <row r="52" spans="1:9" ht="12.75">
      <c r="A52">
        <v>2.5</v>
      </c>
      <c r="B52">
        <v>1</v>
      </c>
      <c r="G52">
        <v>6</v>
      </c>
      <c r="H52">
        <v>7</v>
      </c>
      <c r="I52">
        <v>8</v>
      </c>
    </row>
    <row r="53" spans="1:9" ht="12.75">
      <c r="A53">
        <v>2.55</v>
      </c>
      <c r="B53">
        <v>1</v>
      </c>
      <c r="H53">
        <v>7</v>
      </c>
      <c r="I53">
        <v>8</v>
      </c>
    </row>
    <row r="54" spans="1:9" ht="12.75">
      <c r="A54">
        <v>2.6</v>
      </c>
      <c r="B54">
        <v>1</v>
      </c>
      <c r="H54">
        <v>7</v>
      </c>
      <c r="I54">
        <v>8</v>
      </c>
    </row>
    <row r="55" spans="1:9" ht="12.75">
      <c r="A55">
        <v>2.65</v>
      </c>
      <c r="B55">
        <v>1</v>
      </c>
      <c r="H55">
        <v>7</v>
      </c>
      <c r="I55">
        <v>8</v>
      </c>
    </row>
    <row r="56" spans="1:9" ht="12.75">
      <c r="A56">
        <v>2.7</v>
      </c>
      <c r="B56">
        <v>1</v>
      </c>
      <c r="H56">
        <v>7</v>
      </c>
      <c r="I56">
        <v>8</v>
      </c>
    </row>
    <row r="57" spans="1:9" ht="12.75">
      <c r="A57">
        <v>2.75</v>
      </c>
      <c r="B57">
        <v>1</v>
      </c>
      <c r="H57">
        <v>7</v>
      </c>
      <c r="I57">
        <v>8</v>
      </c>
    </row>
    <row r="58" spans="1:9" ht="12.75">
      <c r="A58">
        <v>2.8</v>
      </c>
      <c r="B58">
        <v>1</v>
      </c>
      <c r="H58">
        <v>7</v>
      </c>
      <c r="I58">
        <v>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75" zoomScaleNormal="75" workbookViewId="0" topLeftCell="A1">
      <selection activeCell="A3" sqref="A3:H22"/>
    </sheetView>
  </sheetViews>
  <sheetFormatPr defaultColWidth="9.140625" defaultRowHeight="12.75"/>
  <cols>
    <col min="1" max="1" width="11.140625" style="0" customWidth="1"/>
    <col min="2" max="3" width="16.00390625" style="0" bestFit="1" customWidth="1"/>
    <col min="4" max="4" width="11.57421875" style="0" customWidth="1"/>
    <col min="6" max="6" width="13.28125" style="0" customWidth="1"/>
    <col min="7" max="7" width="12.00390625" style="0" customWidth="1"/>
    <col min="8" max="8" width="11.0039062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1" t="s">
        <v>34</v>
      </c>
      <c r="B2" s="1"/>
      <c r="C2" s="1"/>
      <c r="D2" s="1"/>
      <c r="E2" s="1"/>
      <c r="F2" s="1"/>
      <c r="G2" s="1"/>
      <c r="H2" s="1"/>
    </row>
    <row r="3" spans="1:8" ht="18">
      <c r="A3" s="16" t="s">
        <v>40</v>
      </c>
      <c r="B3" s="16"/>
      <c r="C3" s="16"/>
      <c r="D3" s="16"/>
      <c r="E3" s="16"/>
      <c r="F3" s="16"/>
      <c r="G3" s="16"/>
      <c r="H3" s="16"/>
    </row>
    <row r="4" spans="1:8" ht="18">
      <c r="A4" s="1" t="s">
        <v>1</v>
      </c>
      <c r="B4" s="2"/>
      <c r="C4" s="2"/>
      <c r="D4" s="2"/>
      <c r="E4" s="2"/>
      <c r="F4" s="2"/>
      <c r="G4" s="2" t="s">
        <v>5</v>
      </c>
      <c r="H4" s="2" t="s">
        <v>6</v>
      </c>
    </row>
    <row r="5" spans="1:14" ht="21">
      <c r="A5" s="1"/>
      <c r="B5" s="3" t="s">
        <v>7</v>
      </c>
      <c r="C5" s="3" t="s">
        <v>2</v>
      </c>
      <c r="D5" s="3" t="s">
        <v>3</v>
      </c>
      <c r="E5" s="3" t="s">
        <v>4</v>
      </c>
      <c r="F5" s="3" t="s">
        <v>16</v>
      </c>
      <c r="G5" s="3" t="s">
        <v>20</v>
      </c>
      <c r="H5" s="3" t="s">
        <v>21</v>
      </c>
      <c r="I5" s="15" t="s">
        <v>28</v>
      </c>
      <c r="J5" s="15"/>
      <c r="K5" s="15" t="s">
        <v>29</v>
      </c>
      <c r="L5" s="15"/>
      <c r="M5" s="15" t="s">
        <v>30</v>
      </c>
      <c r="N5" s="15"/>
    </row>
    <row r="6" spans="1:14" ht="18">
      <c r="A6" s="9" t="s">
        <v>31</v>
      </c>
      <c r="B6" s="10">
        <v>50.5</v>
      </c>
      <c r="C6" s="9">
        <v>22</v>
      </c>
      <c r="D6" s="9">
        <f>13*C6</f>
        <v>286</v>
      </c>
      <c r="E6" s="9">
        <f>D6*16</f>
        <v>4576</v>
      </c>
      <c r="F6" s="11">
        <f>E6*24*160</f>
        <v>17571840</v>
      </c>
      <c r="G6" s="12">
        <f>F6*0.000315*0.00005</f>
        <v>0.27675648</v>
      </c>
      <c r="H6" s="9">
        <v>-19</v>
      </c>
      <c r="I6">
        <f>-LN(TAN(0.5*ATAN((B6+3.2)/400.7)))</f>
        <v>2.707407291013807</v>
      </c>
      <c r="J6">
        <v>0</v>
      </c>
      <c r="K6">
        <f>-LN(TAN(0.5*ATAN((B6+3.2)/(400.7-Sigma))))</f>
        <v>2.3836617319968716</v>
      </c>
      <c r="L6">
        <v>0</v>
      </c>
      <c r="M6">
        <f>-LN(TAN(0.5*ATAN(B6/(400.7+110))))</f>
        <v>3.0093917685728058</v>
      </c>
      <c r="N6">
        <v>0</v>
      </c>
    </row>
    <row r="7" spans="1:12" ht="18">
      <c r="A7" s="9"/>
      <c r="B7" s="10"/>
      <c r="C7" s="9"/>
      <c r="D7" s="9"/>
      <c r="E7" s="9"/>
      <c r="F7" s="11"/>
      <c r="G7" s="12"/>
      <c r="H7" s="9"/>
      <c r="I7">
        <f>-LN(TAN(0.5*ATAN((B7+2.8)/400.7)))</f>
        <v>5.656752988034651</v>
      </c>
      <c r="J7">
        <v>0</v>
      </c>
      <c r="K7">
        <f>-LN(TAN(0.5*ATAN((B7+3.2)/(400.7-Sigma))))</f>
        <v>5.195415170716631</v>
      </c>
      <c r="L7">
        <v>0</v>
      </c>
    </row>
    <row r="8" spans="1:14" ht="18">
      <c r="A8" s="1" t="s">
        <v>10</v>
      </c>
      <c r="B8" s="4">
        <v>127</v>
      </c>
      <c r="C8" s="1">
        <v>56</v>
      </c>
      <c r="D8" s="1">
        <f>13*C8</f>
        <v>728</v>
      </c>
      <c r="E8" s="1">
        <f>D8*16</f>
        <v>11648</v>
      </c>
      <c r="F8" s="5">
        <f>E8*18*160</f>
        <v>33546240</v>
      </c>
      <c r="G8" s="6">
        <f>F8*0.00005*0.0004*162/160</f>
        <v>0.67931136</v>
      </c>
      <c r="H8" s="1">
        <v>-17.5</v>
      </c>
      <c r="I8">
        <f>-LN(TAN(0.5*ATAN((B8+2.71)/400.7)))</f>
        <v>1.846282494326064</v>
      </c>
      <c r="J8">
        <v>0</v>
      </c>
      <c r="K8">
        <f>-LN(TAN(0.5*ATAN((B8+3.2)/(400.7-Sigma))))</f>
        <v>1.5368198573846108</v>
      </c>
      <c r="L8">
        <v>0</v>
      </c>
      <c r="M8">
        <f>-LN(TAN(0.5*ATAN(B8/(400.7+110))))</f>
        <v>2.099855961330129</v>
      </c>
      <c r="N8">
        <v>0</v>
      </c>
    </row>
    <row r="9" spans="1:8" ht="18">
      <c r="A9" s="1" t="s">
        <v>11</v>
      </c>
      <c r="B9" s="1"/>
      <c r="C9" s="1">
        <f>SUM(C6:C8)</f>
        <v>78</v>
      </c>
      <c r="D9" s="1">
        <f>SUM(D6:D8)</f>
        <v>1014</v>
      </c>
      <c r="E9" s="1">
        <f>SUM(E6:E8)</f>
        <v>16224</v>
      </c>
      <c r="F9" s="5">
        <f>SUM(F6:F8)</f>
        <v>51118080</v>
      </c>
      <c r="G9" s="6">
        <f>SUM(G6:G8)</f>
        <v>0.95606784</v>
      </c>
      <c r="H9" s="1"/>
    </row>
    <row r="10" spans="1:8" ht="18">
      <c r="A10" s="1"/>
      <c r="B10" s="1"/>
      <c r="C10" s="1"/>
      <c r="D10" s="1"/>
      <c r="E10" s="1"/>
      <c r="F10" s="1"/>
      <c r="G10" s="1"/>
      <c r="H10" s="1"/>
    </row>
    <row r="11" spans="1:8" ht="18">
      <c r="A11" s="1" t="s">
        <v>12</v>
      </c>
      <c r="B11" s="1"/>
      <c r="C11" s="1"/>
      <c r="D11" s="1"/>
      <c r="E11" s="1"/>
      <c r="F11" s="1"/>
      <c r="G11" s="1"/>
      <c r="H11" s="1"/>
    </row>
    <row r="12" spans="1:8" ht="18">
      <c r="A12" s="1"/>
      <c r="B12" s="2" t="s">
        <v>14</v>
      </c>
      <c r="C12" s="2" t="s">
        <v>15</v>
      </c>
      <c r="D12" s="2"/>
      <c r="E12" s="2"/>
      <c r="F12" s="2"/>
      <c r="G12" s="2" t="s">
        <v>5</v>
      </c>
      <c r="H12" s="1"/>
    </row>
    <row r="13" spans="1:14" ht="21">
      <c r="A13" s="3" t="s">
        <v>13</v>
      </c>
      <c r="B13" s="3" t="s">
        <v>7</v>
      </c>
      <c r="C13" s="3" t="s">
        <v>7</v>
      </c>
      <c r="D13" s="3" t="s">
        <v>3</v>
      </c>
      <c r="E13" s="3" t="s">
        <v>4</v>
      </c>
      <c r="F13" s="3" t="s">
        <v>16</v>
      </c>
      <c r="G13" s="3" t="s">
        <v>20</v>
      </c>
      <c r="H13" s="3" t="s">
        <v>17</v>
      </c>
      <c r="I13" s="15" t="s">
        <v>28</v>
      </c>
      <c r="J13" s="15"/>
      <c r="K13" s="15" t="s">
        <v>29</v>
      </c>
      <c r="L13" s="15"/>
      <c r="M13" s="15" t="s">
        <v>30</v>
      </c>
      <c r="N13" s="15"/>
    </row>
    <row r="14" spans="1:14" ht="18">
      <c r="A14" s="7">
        <v>515</v>
      </c>
      <c r="B14" s="4">
        <v>121.4</v>
      </c>
      <c r="C14" s="1">
        <v>182.2</v>
      </c>
      <c r="D14" s="1">
        <v>66</v>
      </c>
      <c r="E14" s="1">
        <f>D14*16</f>
        <v>1056</v>
      </c>
      <c r="F14" s="5">
        <f>E14*18*160</f>
        <v>3041280</v>
      </c>
      <c r="G14" s="6">
        <f>F14*0.00005*0.0004*162/160</f>
        <v>0.061585920000000016</v>
      </c>
      <c r="H14" s="1">
        <v>11</v>
      </c>
      <c r="I14">
        <f>-LN(TAN(0.5*ATAN((C14-0.3)/A14)))</f>
        <v>1.7636797051561492</v>
      </c>
      <c r="J14">
        <f>-LN(TAN(0.5*ATAN((B14+0.28)/A14)))</f>
        <v>2.149592112226645</v>
      </c>
      <c r="K14">
        <f>-LN(TAN(0.5*ATAN((C14-0.3)/(A14-Sigma))))</f>
        <v>1.5360570241467069</v>
      </c>
      <c r="L14">
        <f>-LN(TAN(0.5*ATAN((B14+0.28)/(A14-Sigma))))</f>
        <v>1.9127384378264745</v>
      </c>
      <c r="M14">
        <f>-LN(TAN(0.5*ATAN(C14/(A14+110))))</f>
        <v>1.9463930228463062</v>
      </c>
      <c r="N14">
        <f>-LN(TAN(0.5*ATAN(B14/(A14+110))))</f>
        <v>2.3411095236208754</v>
      </c>
    </row>
    <row r="15" spans="1:14" ht="18">
      <c r="A15" s="7">
        <v>700</v>
      </c>
      <c r="B15" s="4">
        <v>121.4</v>
      </c>
      <c r="C15" s="1">
        <v>182.2</v>
      </c>
      <c r="D15" s="1">
        <v>66</v>
      </c>
      <c r="E15" s="1">
        <f>D15*16</f>
        <v>1056</v>
      </c>
      <c r="F15" s="5">
        <f>E15*18*160</f>
        <v>3041280</v>
      </c>
      <c r="G15" s="6">
        <f>F15*0.00005*0.0004*162/160</f>
        <v>0.061585920000000016</v>
      </c>
      <c r="H15" s="1">
        <v>11</v>
      </c>
      <c r="I15">
        <f>-LN(TAN(0.5*ATAN((C15-0.3)/A15)))</f>
        <v>2.057239748168267</v>
      </c>
      <c r="J15">
        <f>-LN(TAN(0.5*ATAN((B15+0.28)/A15)))</f>
        <v>2.450302773240866</v>
      </c>
      <c r="K15">
        <f>-LN(TAN(0.5*ATAN((C15-0.3)/(A15-Sigma))))</f>
        <v>1.889526339755152</v>
      </c>
      <c r="L15">
        <f>-LN(TAN(0.5*ATAN((B15+0.28)/(A15-Sigma))))</f>
        <v>2.2790174485468118</v>
      </c>
      <c r="M15">
        <f>-LN(TAN(0.5*ATAN(C15/(A15+110))))</f>
        <v>2.1974922728254818</v>
      </c>
      <c r="N15">
        <f>-LN(TAN(0.5*ATAN(B15/(A15+110))))</f>
        <v>2.596659571045931</v>
      </c>
    </row>
    <row r="16" spans="1:14" ht="18">
      <c r="A16" s="1">
        <v>770</v>
      </c>
      <c r="B16" s="4">
        <v>121.4</v>
      </c>
      <c r="C16" s="1">
        <v>182.2</v>
      </c>
      <c r="D16" s="1">
        <v>66</v>
      </c>
      <c r="E16" s="1">
        <f>D16*16</f>
        <v>1056</v>
      </c>
      <c r="F16" s="5">
        <f>E16*18*160</f>
        <v>3041280</v>
      </c>
      <c r="G16" s="6">
        <f>F16*0.00005*0.0004*162/160</f>
        <v>0.061585920000000016</v>
      </c>
      <c r="H16" s="1">
        <v>11</v>
      </c>
      <c r="I16">
        <f>-LN(TAN(0.5*ATAN((C16-0.3)/A16)))</f>
        <v>2.149748970715218</v>
      </c>
      <c r="J16">
        <f>-LN(TAN(0.5*ATAN((B16+0.28)/A16)))</f>
        <v>2.5443284340571886</v>
      </c>
      <c r="K16">
        <f>-LN(TAN(0.5*ATAN((C16-0.3)/(A16-Sigma))))</f>
        <v>1.997474937951264</v>
      </c>
      <c r="L16">
        <f>-LN(TAN(0.5*ATAN((B16+0.28)/(A16-Sigma))))</f>
        <v>2.389399089924423</v>
      </c>
      <c r="M16">
        <f>-LN(TAN(0.5*ATAN(C16/(A16+110))))</f>
        <v>2.2785127695252694</v>
      </c>
      <c r="N16">
        <f>-LN(TAN(0.5*ATAN(B16/(A16+110))))</f>
        <v>2.6787024722462767</v>
      </c>
    </row>
    <row r="17" spans="1:8" ht="18">
      <c r="A17" s="1" t="s">
        <v>18</v>
      </c>
      <c r="B17" s="1"/>
      <c r="C17" s="1"/>
      <c r="D17" s="1">
        <f>2*SUM(D14:D16)</f>
        <v>396</v>
      </c>
      <c r="E17" s="1">
        <f>2*SUM(E14:E16)</f>
        <v>6336</v>
      </c>
      <c r="F17" s="5">
        <f>2*SUM(F14:F16)</f>
        <v>18247680</v>
      </c>
      <c r="G17" s="6">
        <f>2*SUM(G14:G16)</f>
        <v>0.3695155200000001</v>
      </c>
      <c r="H17" s="7">
        <f>2*SUM(H14:H16)</f>
        <v>66</v>
      </c>
    </row>
    <row r="18" spans="1:8" ht="18">
      <c r="A18" s="1"/>
      <c r="B18" s="1"/>
      <c r="C18" s="1"/>
      <c r="D18" s="1"/>
      <c r="E18" s="1"/>
      <c r="F18" s="1"/>
      <c r="G18" s="1"/>
      <c r="H18" s="1"/>
    </row>
    <row r="19" spans="1:8" ht="18">
      <c r="A19" s="1" t="s">
        <v>19</v>
      </c>
      <c r="B19" s="1"/>
      <c r="C19" s="1"/>
      <c r="D19" s="1">
        <f>D9+D17</f>
        <v>1410</v>
      </c>
      <c r="E19" s="1">
        <f>E9+E17</f>
        <v>22560</v>
      </c>
      <c r="F19" s="8">
        <f>F9+F17</f>
        <v>69365760</v>
      </c>
      <c r="G19" s="6">
        <f>G9+G17</f>
        <v>1.32558336</v>
      </c>
      <c r="H19" s="1"/>
    </row>
    <row r="21" spans="1:7" ht="18">
      <c r="A21" s="1" t="s">
        <v>35</v>
      </c>
      <c r="D21" s="1">
        <f>D19-D6-D7</f>
        <v>1124</v>
      </c>
      <c r="E21" s="1">
        <f>E19-E6-E7</f>
        <v>17984</v>
      </c>
      <c r="F21" s="13">
        <f>F19-F6-F7</f>
        <v>51793920</v>
      </c>
      <c r="G21" s="6">
        <f>G19-G6-G7</f>
        <v>1.04882688</v>
      </c>
    </row>
    <row r="22" spans="1:7" ht="18">
      <c r="A22" s="9" t="s">
        <v>36</v>
      </c>
      <c r="B22" s="9"/>
      <c r="C22" s="9"/>
      <c r="D22" s="9">
        <f>D19-D21</f>
        <v>286</v>
      </c>
      <c r="E22" s="9">
        <f>E19-E21</f>
        <v>4576</v>
      </c>
      <c r="F22" s="14">
        <f>F19-F21</f>
        <v>17571840</v>
      </c>
      <c r="G22" s="12">
        <f>G19-G21</f>
        <v>0.27675647999999997</v>
      </c>
    </row>
    <row r="24" spans="1:2" ht="12.75">
      <c r="A24" t="s">
        <v>37</v>
      </c>
      <c r="B24">
        <v>112</v>
      </c>
    </row>
  </sheetData>
  <mergeCells count="7">
    <mergeCell ref="A3:H3"/>
    <mergeCell ref="M5:N5"/>
    <mergeCell ref="M13:N13"/>
    <mergeCell ref="I13:J13"/>
    <mergeCell ref="K13:L13"/>
    <mergeCell ref="I5:J5"/>
    <mergeCell ref="K5:L5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75" zoomScaleNormal="75" workbookViewId="0" topLeftCell="A1">
      <selection activeCell="A3" sqref="A3:H22"/>
    </sheetView>
  </sheetViews>
  <sheetFormatPr defaultColWidth="9.140625" defaultRowHeight="12.75"/>
  <cols>
    <col min="1" max="1" width="11.140625" style="0" customWidth="1"/>
    <col min="2" max="3" width="16.00390625" style="0" bestFit="1" customWidth="1"/>
    <col min="4" max="4" width="11.57421875" style="0" customWidth="1"/>
    <col min="6" max="6" width="13.28125" style="0" customWidth="1"/>
    <col min="7" max="7" width="12.00390625" style="0" customWidth="1"/>
    <col min="8" max="8" width="11.0039062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1" t="s">
        <v>34</v>
      </c>
      <c r="B2" s="1"/>
      <c r="C2" s="1"/>
      <c r="D2" s="1"/>
      <c r="E2" s="1"/>
      <c r="F2" s="1"/>
      <c r="G2" s="1"/>
      <c r="H2" s="1"/>
    </row>
    <row r="3" spans="1:8" ht="18">
      <c r="A3" s="16" t="s">
        <v>39</v>
      </c>
      <c r="B3" s="16"/>
      <c r="C3" s="16"/>
      <c r="D3" s="16"/>
      <c r="E3" s="16"/>
      <c r="F3" s="16"/>
      <c r="G3" s="16"/>
      <c r="H3" s="16"/>
    </row>
    <row r="4" spans="1:8" ht="18">
      <c r="A4" s="1" t="s">
        <v>1</v>
      </c>
      <c r="B4" s="2"/>
      <c r="C4" s="2"/>
      <c r="D4" s="2"/>
      <c r="E4" s="2"/>
      <c r="F4" s="2"/>
      <c r="G4" s="2" t="s">
        <v>5</v>
      </c>
      <c r="H4" s="2" t="s">
        <v>6</v>
      </c>
    </row>
    <row r="5" spans="1:14" ht="21">
      <c r="A5" s="1"/>
      <c r="B5" s="3" t="s">
        <v>7</v>
      </c>
      <c r="C5" s="3" t="s">
        <v>2</v>
      </c>
      <c r="D5" s="3" t="s">
        <v>3</v>
      </c>
      <c r="E5" s="3" t="s">
        <v>4</v>
      </c>
      <c r="F5" s="3" t="s">
        <v>16</v>
      </c>
      <c r="G5" s="3" t="s">
        <v>20</v>
      </c>
      <c r="H5" s="3" t="s">
        <v>21</v>
      </c>
      <c r="I5" s="15" t="s">
        <v>28</v>
      </c>
      <c r="J5" s="15"/>
      <c r="K5" s="15" t="s">
        <v>29</v>
      </c>
      <c r="L5" s="15"/>
      <c r="M5" s="15" t="s">
        <v>30</v>
      </c>
      <c r="N5" s="15"/>
    </row>
    <row r="6" spans="1:14" ht="18">
      <c r="A6" s="9" t="s">
        <v>31</v>
      </c>
      <c r="B6" s="10">
        <v>50.5</v>
      </c>
      <c r="C6" s="9">
        <v>22</v>
      </c>
      <c r="D6" s="9">
        <f>13*C6</f>
        <v>286</v>
      </c>
      <c r="E6" s="9">
        <f>D6*16</f>
        <v>4576</v>
      </c>
      <c r="F6" s="11">
        <f>E6*24*160</f>
        <v>17571840</v>
      </c>
      <c r="G6" s="12">
        <f>F6*0.000315*0.00005</f>
        <v>0.27675648</v>
      </c>
      <c r="H6" s="9">
        <v>-19</v>
      </c>
      <c r="I6">
        <f>-LN(TAN(0.5*ATAN((B6+3.2)/400.7)))</f>
        <v>2.707407291013807</v>
      </c>
      <c r="J6">
        <v>0</v>
      </c>
      <c r="K6">
        <f>-LN(TAN(0.5*ATAN((B6+3.2)/(400.7-Sigma))))</f>
        <v>2.3836617319968716</v>
      </c>
      <c r="L6">
        <v>0</v>
      </c>
      <c r="M6">
        <f>-LN(TAN(0.5*ATAN(B6/(400.7+110))))</f>
        <v>3.0093917685728058</v>
      </c>
      <c r="N6">
        <v>0</v>
      </c>
    </row>
    <row r="7" spans="1:12" ht="18">
      <c r="A7" s="9" t="s">
        <v>32</v>
      </c>
      <c r="B7" s="10">
        <v>79</v>
      </c>
      <c r="C7" s="9">
        <v>34</v>
      </c>
      <c r="D7" s="9">
        <f>13*C7</f>
        <v>442</v>
      </c>
      <c r="E7" s="9">
        <f>D7*16</f>
        <v>7072</v>
      </c>
      <c r="F7" s="11">
        <f>E7*24*160</f>
        <v>27156480</v>
      </c>
      <c r="G7" s="12">
        <f>F7*0.000315*0.00005</f>
        <v>0.42771456</v>
      </c>
      <c r="H7" s="9">
        <v>-17.5</v>
      </c>
      <c r="I7">
        <f>-LN(TAN(0.5*ATAN((B7+2.8)/400.7)))</f>
        <v>2.2923423700083707</v>
      </c>
      <c r="J7">
        <v>0</v>
      </c>
      <c r="K7">
        <f>-LN(TAN(0.5*ATAN((B7+3.2)/(400.7-Sigma))))</f>
        <v>1.9690572188845175</v>
      </c>
      <c r="L7">
        <v>0</v>
      </c>
    </row>
    <row r="8" spans="1:14" ht="18">
      <c r="A8" s="1"/>
      <c r="B8" s="4"/>
      <c r="C8" s="1"/>
      <c r="D8" s="1"/>
      <c r="E8" s="1"/>
      <c r="F8" s="5"/>
      <c r="G8" s="6"/>
      <c r="H8" s="1"/>
      <c r="I8">
        <f>-LN(TAN(0.5*ATAN((B8+2.71)/400.7)))</f>
        <v>5.689422998212683</v>
      </c>
      <c r="J8">
        <v>0</v>
      </c>
      <c r="K8">
        <f>-LN(TAN(0.5*ATAN((B8+3.2)/(400.7-Sigma))))</f>
        <v>5.195415170716631</v>
      </c>
      <c r="L8">
        <v>0</v>
      </c>
      <c r="M8" t="e">
        <f>-LN(TAN(0.5*ATAN(B8/(400.7+110))))</f>
        <v>#NUM!</v>
      </c>
      <c r="N8">
        <v>0</v>
      </c>
    </row>
    <row r="9" spans="1:8" ht="18">
      <c r="A9" s="1" t="s">
        <v>11</v>
      </c>
      <c r="B9" s="1"/>
      <c r="C9" s="1">
        <f>SUM(C6:C8)</f>
        <v>56</v>
      </c>
      <c r="D9" s="1">
        <f>SUM(D6:D8)</f>
        <v>728</v>
      </c>
      <c r="E9" s="1">
        <f>SUM(E6:E8)</f>
        <v>11648</v>
      </c>
      <c r="F9" s="5">
        <f>SUM(F6:F8)</f>
        <v>44728320</v>
      </c>
      <c r="G9" s="6">
        <f>SUM(G6:G8)</f>
        <v>0.70447104</v>
      </c>
      <c r="H9" s="1"/>
    </row>
    <row r="10" spans="1:8" ht="18">
      <c r="A10" s="1"/>
      <c r="B10" s="1"/>
      <c r="C10" s="1"/>
      <c r="D10" s="1"/>
      <c r="E10" s="1"/>
      <c r="F10" s="1"/>
      <c r="G10" s="1"/>
      <c r="H10" s="1"/>
    </row>
    <row r="11" spans="1:8" ht="18">
      <c r="A11" s="1" t="s">
        <v>12</v>
      </c>
      <c r="B11" s="1"/>
      <c r="C11" s="1"/>
      <c r="D11" s="1"/>
      <c r="E11" s="1"/>
      <c r="F11" s="1"/>
      <c r="G11" s="1"/>
      <c r="H11" s="1"/>
    </row>
    <row r="12" spans="1:8" ht="18">
      <c r="A12" s="1"/>
      <c r="B12" s="2" t="s">
        <v>14</v>
      </c>
      <c r="C12" s="2" t="s">
        <v>15</v>
      </c>
      <c r="D12" s="2"/>
      <c r="E12" s="2"/>
      <c r="F12" s="2"/>
      <c r="G12" s="2" t="s">
        <v>5</v>
      </c>
      <c r="H12" s="1"/>
    </row>
    <row r="13" spans="1:14" ht="21">
      <c r="A13" s="3" t="s">
        <v>13</v>
      </c>
      <c r="B13" s="3" t="s">
        <v>7</v>
      </c>
      <c r="C13" s="3" t="s">
        <v>7</v>
      </c>
      <c r="D13" s="3" t="s">
        <v>3</v>
      </c>
      <c r="E13" s="3" t="s">
        <v>4</v>
      </c>
      <c r="F13" s="3" t="s">
        <v>16</v>
      </c>
      <c r="G13" s="3" t="s">
        <v>20</v>
      </c>
      <c r="H13" s="3" t="s">
        <v>17</v>
      </c>
      <c r="I13" s="15" t="s">
        <v>28</v>
      </c>
      <c r="J13" s="15"/>
      <c r="K13" s="15" t="s">
        <v>29</v>
      </c>
      <c r="L13" s="15"/>
      <c r="M13" s="15" t="s">
        <v>30</v>
      </c>
      <c r="N13" s="15"/>
    </row>
    <row r="14" spans="1:14" ht="18">
      <c r="A14" s="7"/>
      <c r="B14" s="4"/>
      <c r="C14" s="1"/>
      <c r="D14" s="1"/>
      <c r="E14" s="1"/>
      <c r="F14" s="5"/>
      <c r="G14" s="6"/>
      <c r="H14" s="1"/>
      <c r="I14" t="e">
        <f>-LN(TAN(0.5*ATAN((C14-0.3)/A14)))</f>
        <v>#DIV/0!</v>
      </c>
      <c r="J14" t="e">
        <f>-LN(TAN(0.5*ATAN((B14+0.28)/A14)))</f>
        <v>#DIV/0!</v>
      </c>
      <c r="K14">
        <f>-LN(TAN(0.5*ATAN((C14-0.3)/(A14-Sigma))))</f>
        <v>6.615620649862374</v>
      </c>
      <c r="L14" t="e">
        <f>-LN(TAN(0.5*ATAN((B14+0.28)/(A14-Sigma))))</f>
        <v>#NUM!</v>
      </c>
      <c r="M14" t="e">
        <f>-LN(TAN(0.5*ATAN(C14/(A14+110))))</f>
        <v>#NUM!</v>
      </c>
      <c r="N14" t="e">
        <f>-LN(TAN(0.5*ATAN(B14/(A14+110))))</f>
        <v>#NUM!</v>
      </c>
    </row>
    <row r="15" spans="1:14" ht="18">
      <c r="A15" s="7">
        <v>700</v>
      </c>
      <c r="B15" s="4">
        <v>121.4</v>
      </c>
      <c r="C15" s="1">
        <v>182.2</v>
      </c>
      <c r="D15" s="1">
        <v>66</v>
      </c>
      <c r="E15" s="1">
        <f>D15*16</f>
        <v>1056</v>
      </c>
      <c r="F15" s="5">
        <f>E15*18*160</f>
        <v>3041280</v>
      </c>
      <c r="G15" s="6">
        <f>F15*0.00005*0.0004*162/160</f>
        <v>0.061585920000000016</v>
      </c>
      <c r="H15" s="1">
        <v>11</v>
      </c>
      <c r="I15">
        <f>-LN(TAN(0.5*ATAN((C15-0.3)/A15)))</f>
        <v>2.057239748168267</v>
      </c>
      <c r="J15">
        <f>-LN(TAN(0.5*ATAN((B15+0.28)/A15)))</f>
        <v>2.450302773240866</v>
      </c>
      <c r="K15">
        <f>-LN(TAN(0.5*ATAN((C15-0.3)/(A15-Sigma))))</f>
        <v>1.889526339755152</v>
      </c>
      <c r="L15">
        <f>-LN(TAN(0.5*ATAN((B15+0.28)/(A15-Sigma))))</f>
        <v>2.2790174485468118</v>
      </c>
      <c r="M15">
        <f>-LN(TAN(0.5*ATAN(C15/(A15+110))))</f>
        <v>2.1974922728254818</v>
      </c>
      <c r="N15">
        <f>-LN(TAN(0.5*ATAN(B15/(A15+110))))</f>
        <v>2.596659571045931</v>
      </c>
    </row>
    <row r="16" spans="1:14" ht="18">
      <c r="A16" s="1">
        <v>770</v>
      </c>
      <c r="B16" s="4">
        <v>121.4</v>
      </c>
      <c r="C16" s="1">
        <v>182.2</v>
      </c>
      <c r="D16" s="1">
        <v>66</v>
      </c>
      <c r="E16" s="1">
        <f>D16*16</f>
        <v>1056</v>
      </c>
      <c r="F16" s="5">
        <f>E16*18*160</f>
        <v>3041280</v>
      </c>
      <c r="G16" s="6">
        <f>F16*0.00005*0.0004*162/160</f>
        <v>0.061585920000000016</v>
      </c>
      <c r="H16" s="1">
        <v>11</v>
      </c>
      <c r="I16">
        <f>-LN(TAN(0.5*ATAN((C16-0.3)/A16)))</f>
        <v>2.149748970715218</v>
      </c>
      <c r="J16">
        <f>-LN(TAN(0.5*ATAN((B16+0.28)/A16)))</f>
        <v>2.5443284340571886</v>
      </c>
      <c r="K16">
        <f>-LN(TAN(0.5*ATAN((C16-0.3)/(A16-Sigma))))</f>
        <v>1.997474937951264</v>
      </c>
      <c r="L16">
        <f>-LN(TAN(0.5*ATAN((B16+0.28)/(A16-Sigma))))</f>
        <v>2.389399089924423</v>
      </c>
      <c r="M16">
        <f>-LN(TAN(0.5*ATAN(C16/(A16+110))))</f>
        <v>2.2785127695252694</v>
      </c>
      <c r="N16">
        <f>-LN(TAN(0.5*ATAN(B16/(A16+110))))</f>
        <v>2.6787024722462767</v>
      </c>
    </row>
    <row r="17" spans="1:8" ht="18">
      <c r="A17" s="1" t="s">
        <v>18</v>
      </c>
      <c r="B17" s="1"/>
      <c r="C17" s="1"/>
      <c r="D17" s="1">
        <f>2*SUM(D14:D16)</f>
        <v>264</v>
      </c>
      <c r="E17" s="1">
        <f>2*SUM(E14:E16)</f>
        <v>4224</v>
      </c>
      <c r="F17" s="5">
        <f>2*SUM(F14:F16)</f>
        <v>12165120</v>
      </c>
      <c r="G17" s="6">
        <f>2*SUM(G14:G16)</f>
        <v>0.24634368000000006</v>
      </c>
      <c r="H17" s="7">
        <f>2*SUM(H14:H16)</f>
        <v>44</v>
      </c>
    </row>
    <row r="18" spans="1:8" ht="18">
      <c r="A18" s="1"/>
      <c r="B18" s="1"/>
      <c r="C18" s="1"/>
      <c r="D18" s="1"/>
      <c r="E18" s="1"/>
      <c r="F18" s="1"/>
      <c r="G18" s="1"/>
      <c r="H18" s="1"/>
    </row>
    <row r="19" spans="1:8" ht="18">
      <c r="A19" s="1" t="s">
        <v>19</v>
      </c>
      <c r="B19" s="1"/>
      <c r="C19" s="1"/>
      <c r="D19" s="1">
        <f>D9+D17</f>
        <v>992</v>
      </c>
      <c r="E19" s="1">
        <f>E9+E17</f>
        <v>15872</v>
      </c>
      <c r="F19" s="8">
        <f>F9+F17</f>
        <v>56893440</v>
      </c>
      <c r="G19" s="6">
        <f>G9+G17</f>
        <v>0.9508147200000001</v>
      </c>
      <c r="H19" s="1"/>
    </row>
    <row r="21" spans="1:7" ht="18">
      <c r="A21" s="1" t="s">
        <v>35</v>
      </c>
      <c r="D21" s="1">
        <f>D19-D6-D7</f>
        <v>264</v>
      </c>
      <c r="E21" s="1">
        <f>E19-E6-E7</f>
        <v>4224</v>
      </c>
      <c r="F21" s="13">
        <f>F19-F6-F7</f>
        <v>12165120</v>
      </c>
      <c r="G21" s="6">
        <f>G19-G6-G7</f>
        <v>0.24634368000000012</v>
      </c>
    </row>
    <row r="22" spans="1:7" ht="18">
      <c r="A22" s="9" t="s">
        <v>36</v>
      </c>
      <c r="B22" s="9"/>
      <c r="C22" s="9"/>
      <c r="D22" s="9">
        <f>D19-D21</f>
        <v>728</v>
      </c>
      <c r="E22" s="9">
        <f>E19-E21</f>
        <v>11648</v>
      </c>
      <c r="F22" s="14">
        <f>F19-F21</f>
        <v>44728320</v>
      </c>
      <c r="G22" s="12">
        <f>G19-G21</f>
        <v>0.70447104</v>
      </c>
    </row>
    <row r="24" spans="1:2" ht="12.75">
      <c r="A24" t="s">
        <v>37</v>
      </c>
      <c r="B24">
        <v>112</v>
      </c>
    </row>
  </sheetData>
  <mergeCells count="7">
    <mergeCell ref="A3:H3"/>
    <mergeCell ref="M5:N5"/>
    <mergeCell ref="M13:N13"/>
    <mergeCell ref="I13:J13"/>
    <mergeCell ref="K13:L13"/>
    <mergeCell ref="I5:J5"/>
    <mergeCell ref="K5:L5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75" zoomScaleNormal="75" workbookViewId="0" topLeftCell="A1">
      <selection activeCell="A3" sqref="A3:H22"/>
    </sheetView>
  </sheetViews>
  <sheetFormatPr defaultColWidth="9.140625" defaultRowHeight="12.75"/>
  <cols>
    <col min="1" max="1" width="11.140625" style="0" customWidth="1"/>
    <col min="2" max="3" width="16.00390625" style="0" bestFit="1" customWidth="1"/>
    <col min="4" max="4" width="11.57421875" style="0" customWidth="1"/>
    <col min="6" max="6" width="13.28125" style="0" customWidth="1"/>
    <col min="7" max="7" width="12.00390625" style="0" customWidth="1"/>
    <col min="8" max="8" width="11.0039062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1" t="s">
        <v>34</v>
      </c>
      <c r="B2" s="1"/>
      <c r="C2" s="1"/>
      <c r="D2" s="1"/>
      <c r="E2" s="1"/>
      <c r="F2" s="1"/>
      <c r="G2" s="1"/>
      <c r="H2" s="1"/>
    </row>
    <row r="3" spans="1:8" ht="18">
      <c r="A3" s="16" t="s">
        <v>38</v>
      </c>
      <c r="B3" s="16"/>
      <c r="C3" s="16"/>
      <c r="D3" s="16"/>
      <c r="E3" s="16"/>
      <c r="F3" s="16"/>
      <c r="G3" s="16"/>
      <c r="H3" s="16"/>
    </row>
    <row r="4" spans="1:8" ht="18">
      <c r="A4" s="1" t="s">
        <v>1</v>
      </c>
      <c r="B4" s="2"/>
      <c r="C4" s="2"/>
      <c r="D4" s="2"/>
      <c r="E4" s="2"/>
      <c r="F4" s="2"/>
      <c r="G4" s="2" t="s">
        <v>5</v>
      </c>
      <c r="H4" s="2" t="s">
        <v>6</v>
      </c>
    </row>
    <row r="5" spans="1:14" ht="21">
      <c r="A5" s="1"/>
      <c r="B5" s="3" t="s">
        <v>7</v>
      </c>
      <c r="C5" s="3" t="s">
        <v>2</v>
      </c>
      <c r="D5" s="3" t="s">
        <v>3</v>
      </c>
      <c r="E5" s="3" t="s">
        <v>4</v>
      </c>
      <c r="F5" s="3" t="s">
        <v>16</v>
      </c>
      <c r="G5" s="3" t="s">
        <v>20</v>
      </c>
      <c r="H5" s="3" t="s">
        <v>21</v>
      </c>
      <c r="I5" s="15" t="s">
        <v>28</v>
      </c>
      <c r="J5" s="15"/>
      <c r="K5" s="15" t="s">
        <v>29</v>
      </c>
      <c r="L5" s="15"/>
      <c r="M5" s="15" t="s">
        <v>30</v>
      </c>
      <c r="N5" s="15"/>
    </row>
    <row r="6" spans="1:14" ht="18">
      <c r="A6" s="9" t="s">
        <v>31</v>
      </c>
      <c r="B6" s="10">
        <v>50.5</v>
      </c>
      <c r="C6" s="9">
        <v>22</v>
      </c>
      <c r="D6" s="9">
        <f>13*C6</f>
        <v>286</v>
      </c>
      <c r="E6" s="9">
        <f>D6*16</f>
        <v>4576</v>
      </c>
      <c r="F6" s="11">
        <f>E6*24*160</f>
        <v>17571840</v>
      </c>
      <c r="G6" s="12">
        <f>F6*0.000315*0.00005</f>
        <v>0.27675648</v>
      </c>
      <c r="H6" s="9">
        <v>-19</v>
      </c>
      <c r="I6">
        <f>-LN(TAN(0.5*ATAN((B6+3.2)/400.7)))</f>
        <v>2.707407291013807</v>
      </c>
      <c r="J6">
        <v>0</v>
      </c>
      <c r="K6">
        <f>-LN(TAN(0.5*ATAN((B6+3.2)/(400.7-Sigma))))</f>
        <v>2.3836617319968716</v>
      </c>
      <c r="L6">
        <v>0</v>
      </c>
      <c r="M6">
        <f>-LN(TAN(0.5*ATAN(B6/(400.7+110))))</f>
        <v>3.0093917685728058</v>
      </c>
      <c r="N6">
        <v>0</v>
      </c>
    </row>
    <row r="7" spans="1:12" ht="18">
      <c r="A7" s="9" t="s">
        <v>32</v>
      </c>
      <c r="B7" s="10">
        <v>79</v>
      </c>
      <c r="C7" s="9">
        <v>34</v>
      </c>
      <c r="D7" s="9">
        <f>13*C7</f>
        <v>442</v>
      </c>
      <c r="E7" s="9">
        <f>D7*16</f>
        <v>7072</v>
      </c>
      <c r="F7" s="11">
        <f>E7*24*160</f>
        <v>27156480</v>
      </c>
      <c r="G7" s="12">
        <f>F7*0.000315*0.00005</f>
        <v>0.42771456</v>
      </c>
      <c r="H7" s="9">
        <v>-17.5</v>
      </c>
      <c r="I7">
        <f>-LN(TAN(0.5*ATAN((B7+2.8)/400.7)))</f>
        <v>2.2923423700083707</v>
      </c>
      <c r="J7">
        <v>0</v>
      </c>
      <c r="K7">
        <f>-LN(TAN(0.5*ATAN((B7+3.2)/(400.7-Sigma))))</f>
        <v>1.9690572188845175</v>
      </c>
      <c r="L7">
        <v>0</v>
      </c>
    </row>
    <row r="8" spans="1:14" ht="18">
      <c r="A8" s="1"/>
      <c r="B8" s="4"/>
      <c r="C8" s="1"/>
      <c r="D8" s="1"/>
      <c r="E8" s="1"/>
      <c r="F8" s="5"/>
      <c r="G8" s="6"/>
      <c r="H8" s="1"/>
      <c r="I8">
        <f>-LN(TAN(0.5*ATAN((B8+2.71)/400.7)))</f>
        <v>5.689422998212683</v>
      </c>
      <c r="J8">
        <v>0</v>
      </c>
      <c r="K8">
        <f>-LN(TAN(0.5*ATAN((B8+3.2)/(400.7-Sigma))))</f>
        <v>5.195415170716631</v>
      </c>
      <c r="L8">
        <v>0</v>
      </c>
      <c r="M8" t="e">
        <f>-LN(TAN(0.5*ATAN(B8/(400.7+110))))</f>
        <v>#NUM!</v>
      </c>
      <c r="N8">
        <v>0</v>
      </c>
    </row>
    <row r="9" spans="1:8" ht="18">
      <c r="A9" s="1" t="s">
        <v>11</v>
      </c>
      <c r="B9" s="1"/>
      <c r="C9" s="1">
        <f>SUM(C6:C8)</f>
        <v>56</v>
      </c>
      <c r="D9" s="1">
        <f>SUM(D6:D8)</f>
        <v>728</v>
      </c>
      <c r="E9" s="1">
        <f>SUM(E6:E8)</f>
        <v>11648</v>
      </c>
      <c r="F9" s="5">
        <f>SUM(F6:F8)</f>
        <v>44728320</v>
      </c>
      <c r="G9" s="6">
        <f>SUM(G6:G8)</f>
        <v>0.70447104</v>
      </c>
      <c r="H9" s="1"/>
    </row>
    <row r="10" spans="1:8" ht="18">
      <c r="A10" s="1"/>
      <c r="B10" s="1"/>
      <c r="C10" s="1"/>
      <c r="D10" s="1"/>
      <c r="E10" s="1"/>
      <c r="F10" s="1"/>
      <c r="G10" s="1"/>
      <c r="H10" s="1"/>
    </row>
    <row r="11" spans="1:8" ht="18">
      <c r="A11" s="1" t="s">
        <v>12</v>
      </c>
      <c r="B11" s="1"/>
      <c r="C11" s="1"/>
      <c r="D11" s="1"/>
      <c r="E11" s="1"/>
      <c r="F11" s="1"/>
      <c r="G11" s="1"/>
      <c r="H11" s="1"/>
    </row>
    <row r="12" spans="1:8" ht="18">
      <c r="A12" s="1"/>
      <c r="B12" s="2" t="s">
        <v>14</v>
      </c>
      <c r="C12" s="2" t="s">
        <v>15</v>
      </c>
      <c r="D12" s="2"/>
      <c r="E12" s="2"/>
      <c r="F12" s="2"/>
      <c r="G12" s="2" t="s">
        <v>5</v>
      </c>
      <c r="H12" s="1"/>
    </row>
    <row r="13" spans="1:14" ht="21">
      <c r="A13" s="3" t="s">
        <v>13</v>
      </c>
      <c r="B13" s="3" t="s">
        <v>7</v>
      </c>
      <c r="C13" s="3" t="s">
        <v>7</v>
      </c>
      <c r="D13" s="3" t="s">
        <v>3</v>
      </c>
      <c r="E13" s="3" t="s">
        <v>4</v>
      </c>
      <c r="F13" s="3" t="s">
        <v>16</v>
      </c>
      <c r="G13" s="3" t="s">
        <v>20</v>
      </c>
      <c r="H13" s="3" t="s">
        <v>17</v>
      </c>
      <c r="I13" s="15" t="s">
        <v>28</v>
      </c>
      <c r="J13" s="15"/>
      <c r="K13" s="15" t="s">
        <v>29</v>
      </c>
      <c r="L13" s="15"/>
      <c r="M13" s="15" t="s">
        <v>30</v>
      </c>
      <c r="N13" s="15"/>
    </row>
    <row r="14" spans="1:14" ht="18">
      <c r="A14" s="7"/>
      <c r="B14" s="4"/>
      <c r="C14" s="1"/>
      <c r="D14" s="1"/>
      <c r="E14" s="1"/>
      <c r="F14" s="5"/>
      <c r="G14" s="6"/>
      <c r="H14" s="1"/>
      <c r="I14" t="e">
        <f>-LN(TAN(0.5*ATAN((C14-0.3)/A14)))</f>
        <v>#DIV/0!</v>
      </c>
      <c r="J14" t="e">
        <f>-LN(TAN(0.5*ATAN((B14+0.28)/A14)))</f>
        <v>#DIV/0!</v>
      </c>
      <c r="K14">
        <f>-LN(TAN(0.5*ATAN((C14-0.3)/(A14-Sigma))))</f>
        <v>6.615620649862374</v>
      </c>
      <c r="L14" t="e">
        <f>-LN(TAN(0.5*ATAN((B14+0.28)/(A14-Sigma))))</f>
        <v>#NUM!</v>
      </c>
      <c r="M14" t="e">
        <f>-LN(TAN(0.5*ATAN(C14/(A14+110))))</f>
        <v>#NUM!</v>
      </c>
      <c r="N14" t="e">
        <f>-LN(TAN(0.5*ATAN(B14/(A14+110))))</f>
        <v>#NUM!</v>
      </c>
    </row>
    <row r="15" spans="1:14" ht="18">
      <c r="A15" s="7"/>
      <c r="B15" s="4"/>
      <c r="C15" s="1"/>
      <c r="D15" s="1"/>
      <c r="E15" s="1"/>
      <c r="F15" s="5"/>
      <c r="G15" s="6"/>
      <c r="H15" s="1"/>
      <c r="I15" t="e">
        <f>-LN(TAN(0.5*ATAN((C15-0.3)/A15)))</f>
        <v>#DIV/0!</v>
      </c>
      <c r="J15" t="e">
        <f>-LN(TAN(0.5*ATAN((B15+0.28)/A15)))</f>
        <v>#DIV/0!</v>
      </c>
      <c r="K15">
        <f>-LN(TAN(0.5*ATAN((C15-0.3)/(A15-Sigma))))</f>
        <v>6.615620649862374</v>
      </c>
      <c r="L15" t="e">
        <f>-LN(TAN(0.5*ATAN((B15+0.28)/(A15-Sigma))))</f>
        <v>#NUM!</v>
      </c>
      <c r="M15" t="e">
        <f>-LN(TAN(0.5*ATAN(C15/(A15+110))))</f>
        <v>#NUM!</v>
      </c>
      <c r="N15" t="e">
        <f>-LN(TAN(0.5*ATAN(B15/(A15+110))))</f>
        <v>#NUM!</v>
      </c>
    </row>
    <row r="16" spans="1:14" ht="18">
      <c r="A16" s="1"/>
      <c r="B16" s="4"/>
      <c r="C16" s="1"/>
      <c r="D16" s="1"/>
      <c r="E16" s="1"/>
      <c r="F16" s="5"/>
      <c r="G16" s="6"/>
      <c r="H16" s="1"/>
      <c r="I16" t="e">
        <f>-LN(TAN(0.5*ATAN((C16-0.3)/A16)))</f>
        <v>#DIV/0!</v>
      </c>
      <c r="J16" t="e">
        <f>-LN(TAN(0.5*ATAN((B16+0.28)/A16)))</f>
        <v>#DIV/0!</v>
      </c>
      <c r="K16">
        <f>-LN(TAN(0.5*ATAN((C16-0.3)/(A16-Sigma))))</f>
        <v>6.615620649862374</v>
      </c>
      <c r="L16" t="e">
        <f>-LN(TAN(0.5*ATAN((B16+0.28)/(A16-Sigma))))</f>
        <v>#NUM!</v>
      </c>
      <c r="M16" t="e">
        <f>-LN(TAN(0.5*ATAN(C16/(A16+110))))</f>
        <v>#NUM!</v>
      </c>
      <c r="N16" t="e">
        <f>-LN(TAN(0.5*ATAN(B16/(A16+110))))</f>
        <v>#NUM!</v>
      </c>
    </row>
    <row r="17" spans="1:8" ht="18">
      <c r="A17" s="1" t="s">
        <v>18</v>
      </c>
      <c r="B17" s="1"/>
      <c r="C17" s="1"/>
      <c r="D17" s="1">
        <f>2*SUM(D14:D16)</f>
        <v>0</v>
      </c>
      <c r="E17" s="1">
        <f>2*SUM(E14:E16)</f>
        <v>0</v>
      </c>
      <c r="F17" s="5">
        <f>2*SUM(F14:F16)</f>
        <v>0</v>
      </c>
      <c r="G17" s="6">
        <f>2*SUM(G14:G16)</f>
        <v>0</v>
      </c>
      <c r="H17" s="7">
        <f>2*SUM(H14:H16)</f>
        <v>0</v>
      </c>
    </row>
    <row r="18" spans="1:8" ht="18">
      <c r="A18" s="1"/>
      <c r="B18" s="1"/>
      <c r="C18" s="1"/>
      <c r="D18" s="1"/>
      <c r="E18" s="1"/>
      <c r="F18" s="1"/>
      <c r="G18" s="1"/>
      <c r="H18" s="1"/>
    </row>
    <row r="19" spans="1:8" ht="18">
      <c r="A19" s="1" t="s">
        <v>19</v>
      </c>
      <c r="B19" s="1"/>
      <c r="C19" s="1"/>
      <c r="D19" s="1">
        <f>D9+D17</f>
        <v>728</v>
      </c>
      <c r="E19" s="1">
        <f>E9+E17</f>
        <v>11648</v>
      </c>
      <c r="F19" s="8">
        <f>F9+F17</f>
        <v>44728320</v>
      </c>
      <c r="G19" s="6">
        <f>G9+G17</f>
        <v>0.70447104</v>
      </c>
      <c r="H19" s="1"/>
    </row>
    <row r="21" spans="1:7" ht="18">
      <c r="A21" s="1" t="s">
        <v>35</v>
      </c>
      <c r="D21" s="1">
        <f>D19-D6-D7</f>
        <v>0</v>
      </c>
      <c r="E21" s="1">
        <f>E19-E6-E7</f>
        <v>0</v>
      </c>
      <c r="F21" s="13">
        <f>F19-F6-F7</f>
        <v>0</v>
      </c>
      <c r="G21" s="6">
        <f>G19-G6-G7</f>
        <v>0</v>
      </c>
    </row>
    <row r="22" spans="1:7" ht="18">
      <c r="A22" s="9" t="s">
        <v>36</v>
      </c>
      <c r="B22" s="9"/>
      <c r="C22" s="9"/>
      <c r="D22" s="9">
        <f>D19-D21</f>
        <v>728</v>
      </c>
      <c r="E22" s="9">
        <f>E19-E21</f>
        <v>11648</v>
      </c>
      <c r="F22" s="14">
        <f>F19-F21</f>
        <v>44728320</v>
      </c>
      <c r="G22" s="12">
        <f>G19-G21</f>
        <v>0.70447104</v>
      </c>
    </row>
    <row r="24" spans="1:2" ht="12.75">
      <c r="A24" t="s">
        <v>37</v>
      </c>
      <c r="B24">
        <v>112</v>
      </c>
    </row>
  </sheetData>
  <mergeCells count="7">
    <mergeCell ref="A3:H3"/>
    <mergeCell ref="M5:N5"/>
    <mergeCell ref="M13:N13"/>
    <mergeCell ref="I13:J13"/>
    <mergeCell ref="K13:L13"/>
    <mergeCell ref="I5:J5"/>
    <mergeCell ref="K5:L5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4" sqref="A4"/>
    </sheetView>
  </sheetViews>
  <sheetFormatPr defaultColWidth="9.140625" defaultRowHeight="12.75"/>
  <cols>
    <col min="1" max="1" width="15.28125" style="0" bestFit="1" customWidth="1"/>
    <col min="2" max="2" width="11.7109375" style="0" bestFit="1" customWidth="1"/>
    <col min="3" max="3" width="12.421875" style="0" bestFit="1" customWidth="1"/>
    <col min="4" max="6" width="11.57421875" style="0" bestFit="1" customWidth="1"/>
  </cols>
  <sheetData>
    <row r="1" spans="2:6" ht="18">
      <c r="B1" s="16" t="s">
        <v>48</v>
      </c>
      <c r="C1" s="16"/>
      <c r="D1" s="16"/>
      <c r="E1" s="16"/>
      <c r="F1" s="16"/>
    </row>
    <row r="2" spans="1:6" ht="18">
      <c r="A2" s="1"/>
      <c r="B2" s="2" t="s">
        <v>42</v>
      </c>
      <c r="C2" s="2" t="s">
        <v>44</v>
      </c>
      <c r="D2" s="16" t="s">
        <v>46</v>
      </c>
      <c r="E2" s="16"/>
      <c r="F2" s="16"/>
    </row>
    <row r="3" spans="1:6" ht="18">
      <c r="A3" s="1"/>
      <c r="B3" s="2" t="s">
        <v>43</v>
      </c>
      <c r="C3" s="2" t="s">
        <v>45</v>
      </c>
      <c r="D3" s="2" t="s">
        <v>40</v>
      </c>
      <c r="E3" s="2" t="s">
        <v>39</v>
      </c>
      <c r="F3" s="2" t="s">
        <v>38</v>
      </c>
    </row>
    <row r="4" spans="1:6" ht="18">
      <c r="A4" s="1" t="s">
        <v>49</v>
      </c>
      <c r="B4" s="1">
        <v>1860</v>
      </c>
      <c r="C4" s="1">
        <v>1124</v>
      </c>
      <c r="D4" s="1">
        <v>1124</v>
      </c>
      <c r="E4" s="1">
        <v>264</v>
      </c>
      <c r="F4" s="1">
        <v>0</v>
      </c>
    </row>
    <row r="5" spans="1:6" ht="18">
      <c r="A5" s="1" t="s">
        <v>47</v>
      </c>
      <c r="B5" s="1">
        <v>286</v>
      </c>
      <c r="C5" s="1">
        <v>728</v>
      </c>
      <c r="D5" s="1">
        <v>286</v>
      </c>
      <c r="E5" s="1">
        <v>728</v>
      </c>
      <c r="F5" s="1">
        <v>728</v>
      </c>
    </row>
    <row r="6" spans="1:6" ht="18">
      <c r="A6" s="1" t="s">
        <v>41</v>
      </c>
      <c r="B6" s="1">
        <v>2146</v>
      </c>
      <c r="C6" s="1">
        <v>1852</v>
      </c>
      <c r="D6" s="1">
        <v>1410</v>
      </c>
      <c r="E6" s="1">
        <v>992</v>
      </c>
      <c r="F6" s="1">
        <v>728</v>
      </c>
    </row>
  </sheetData>
  <mergeCells count="2">
    <mergeCell ref="D2:F2"/>
    <mergeCell ref="B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cp:lastPrinted>2000-08-31T00:38:16Z</cp:lastPrinted>
  <dcterms:created xsi:type="dcterms:W3CDTF">1999-09-16T18:58:02Z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