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495" tabRatio="871" activeTab="0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 1" sheetId="8" r:id="rId8"/>
    <sheet name="process 2" sheetId="9" r:id="rId9"/>
    <sheet name="df c11" sheetId="10" r:id="rId10"/>
    <sheet name="df c12" sheetId="11" r:id="rId11"/>
  </sheets>
  <definedNames>
    <definedName name="_xlnm.Print_Titles" localSheetId="5">'feed 1'!$B:$B</definedName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<sst xmlns="http://schemas.openxmlformats.org/spreadsheetml/2006/main" count="1245" uniqueCount="257">
  <si>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</si>
  <si>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</si>
  <si>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</si>
  <si>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</si>
  <si>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</si>
  <si>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</si>
  <si>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</si>
  <si>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</si>
  <si>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</si>
  <si>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</si>
  <si>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</si>
  <si>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</si>
  <si>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</si>
  <si>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</si>
  <si>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</si>
  <si>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</si>
  <si>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</si>
  <si>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</si>
  <si>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</si>
  <si>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</si>
  <si>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Feedstream Description</t>
  </si>
  <si>
    <t>Heating Value</t>
  </si>
  <si>
    <t>Btu/lb</t>
  </si>
  <si>
    <t>Ash</t>
  </si>
  <si>
    <t>Chlorine</t>
  </si>
  <si>
    <t>HCl</t>
  </si>
  <si>
    <t>Cl2</t>
  </si>
  <si>
    <t>DRE</t>
  </si>
  <si>
    <t>lb/hr</t>
  </si>
  <si>
    <t>Run 1</t>
  </si>
  <si>
    <t>Run 2</t>
  </si>
  <si>
    <t>Run 3</t>
  </si>
  <si>
    <t>MMBtu/hr</t>
  </si>
  <si>
    <t>Spike</t>
  </si>
  <si>
    <t>ug/dscm</t>
  </si>
  <si>
    <t>SVM</t>
  </si>
  <si>
    <t>LVM</t>
  </si>
  <si>
    <t>Stack Gas Flowrate</t>
  </si>
  <si>
    <t>Oxygen</t>
  </si>
  <si>
    <t>mg/dscm</t>
  </si>
  <si>
    <t>HW</t>
  </si>
  <si>
    <t>Combustor Characteristics</t>
  </si>
  <si>
    <t>Supplemental Fuel</t>
  </si>
  <si>
    <t>Capacity (MMBtu/hr)</t>
  </si>
  <si>
    <t xml:space="preserve">    Gas Velocity (ft/sec)</t>
  </si>
  <si>
    <t xml:space="preserve">    Gas Temperature (°F)</t>
  </si>
  <si>
    <t>Feedrate MTEC Calculations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</si>
  <si>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</si>
  <si>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</si>
  <si>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</si>
  <si>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</si>
  <si>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</si>
  <si>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PM, HCl/Cl2</t>
  </si>
  <si>
    <t xml:space="preserve">   O2</t>
  </si>
  <si>
    <t xml:space="preserve">   Moisture</t>
  </si>
  <si>
    <t>Total Chlorine</t>
  </si>
  <si>
    <t>Sampling Train</t>
  </si>
  <si>
    <t>Trial burn</t>
  </si>
  <si>
    <t>*</t>
  </si>
  <si>
    <t>HWC Burn Status (Date if Terminated)</t>
  </si>
  <si>
    <t>CO (RA)</t>
  </si>
  <si>
    <t>Feed Rate</t>
  </si>
  <si>
    <t>Total</t>
  </si>
  <si>
    <t>Hazardous Wastes</t>
  </si>
  <si>
    <t>PCDD/PCDF</t>
  </si>
  <si>
    <t>Facility Name and ID:</t>
  </si>
  <si>
    <t>Condition ID:</t>
  </si>
  <si>
    <t>Condition/Test Date:</t>
  </si>
  <si>
    <t>I-TEF</t>
  </si>
  <si>
    <t>Wght Fact</t>
  </si>
  <si>
    <t xml:space="preserve"> TEQ</t>
  </si>
  <si>
    <t>TEQ</t>
  </si>
  <si>
    <t>1/2 ND</t>
  </si>
  <si>
    <t>2,3,7,8-TCDD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</si>
  <si>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</si>
  <si>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</si>
  <si>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</si>
  <si>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</si>
  <si>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</si>
  <si>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</si>
  <si>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</si>
  <si>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</si>
  <si>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</si>
  <si>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</si>
  <si>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</si>
  <si>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</si>
  <si>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</si>
  <si>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</si>
  <si>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</si>
  <si>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</si>
  <si>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Total TCDD</t>
  </si>
  <si>
    <t>Total PCDD</t>
  </si>
  <si>
    <t>Total HxCDD</t>
  </si>
  <si>
    <t>Total HpCDD</t>
  </si>
  <si>
    <t>Total TCDF</t>
  </si>
  <si>
    <t>Total PCDF</t>
  </si>
  <si>
    <t>Total HxCDF</t>
  </si>
  <si>
    <t xml:space="preserve"> </t>
  </si>
  <si>
    <t>Total HpCDF</t>
  </si>
  <si>
    <t>Gas sample volume (dscf)</t>
  </si>
  <si>
    <t>O2 (%)</t>
  </si>
  <si>
    <t>PCDD/PCDF (ng in sample)</t>
  </si>
  <si>
    <t>PCDD/PCDF (ng/dscm @ 7% O2)</t>
  </si>
  <si>
    <t>TEQ Cond Avg</t>
  </si>
  <si>
    <t>Total Cond Avg</t>
  </si>
  <si>
    <t>Detected in sample volume (ng)</t>
  </si>
  <si>
    <t>nd</t>
  </si>
  <si>
    <t>Arsenic</t>
  </si>
  <si>
    <t>Antimony</t>
  </si>
  <si>
    <t>Barium</t>
  </si>
  <si>
    <t>Beryllium</t>
  </si>
  <si>
    <t>Cadmium</t>
  </si>
  <si>
    <t>Chromium</t>
  </si>
  <si>
    <t>Copper</t>
  </si>
  <si>
    <t>Lead</t>
  </si>
  <si>
    <t>Mercury</t>
  </si>
  <si>
    <t>Nickel</t>
  </si>
  <si>
    <t>Selenium</t>
  </si>
  <si>
    <t>Silver</t>
  </si>
  <si>
    <t>Thallium</t>
  </si>
  <si>
    <t>Zinc</t>
  </si>
  <si>
    <t>Trial Burn</t>
  </si>
  <si>
    <t>Metals</t>
  </si>
  <si>
    <t>Density</t>
  </si>
  <si>
    <t>g/cc</t>
  </si>
  <si>
    <t>in. w.c.</t>
  </si>
  <si>
    <t>Cascade</t>
  </si>
  <si>
    <t>Virginia</t>
  </si>
  <si>
    <t>VAD046970521</t>
  </si>
  <si>
    <t>RCRA Testing, Kilns 1,2,3,4, Certification of Compliance, August 1999</t>
  </si>
  <si>
    <t>Solite Corp</t>
  </si>
  <si>
    <t>Solite/Entropy/Blue Ridge</t>
  </si>
  <si>
    <t>Entropy</t>
  </si>
  <si>
    <t>May 25-26, 1999</t>
  </si>
  <si>
    <t>CO (MHRA)</t>
  </si>
  <si>
    <t>Cobalt</t>
  </si>
  <si>
    <t>Manganese</t>
  </si>
  <si>
    <t>LBM</t>
  </si>
  <si>
    <t>g/hr</t>
  </si>
  <si>
    <t>RM</t>
  </si>
  <si>
    <t>The raw material was excavated from the Virginia Solite quarry</t>
  </si>
  <si>
    <t>Max baghouse inlet temperature</t>
  </si>
  <si>
    <t>Trial Burn, organics DRE, HCl/Cl2 emissions limits</t>
  </si>
  <si>
    <r>
      <t>CO, PM, HCl/Cl2, Metals, Cr</t>
    </r>
    <r>
      <rPr>
        <vertAlign val="superscript"/>
        <sz val="10"/>
        <rFont val="Arial"/>
        <family val="2"/>
      </rPr>
      <t>+6</t>
    </r>
  </si>
  <si>
    <t>Trial Burn Report, Solite Corp, Virginia Solite Div., March 2000</t>
  </si>
  <si>
    <t>POHC DRE</t>
  </si>
  <si>
    <t>POHC Feedrate</t>
  </si>
  <si>
    <t>Emission Rate</t>
  </si>
  <si>
    <t>Perchloroethylene</t>
  </si>
  <si>
    <t>1,2,4 Trichlorobenzene</t>
  </si>
  <si>
    <t>D/F</t>
  </si>
  <si>
    <t>Kiln maximum negative pressure</t>
  </si>
  <si>
    <t>Trial Burn Report, Kiln 1 DRE Retest, Kilns 1-4 D/F. Solite Corp, Virginia Solite Div., July 2000</t>
  </si>
  <si>
    <t>Trial Burn, D/F Retest</t>
  </si>
  <si>
    <t>D/F, CO</t>
  </si>
  <si>
    <t>Solite/Entropy/B3 Systems</t>
  </si>
  <si>
    <t>May 11-19, 2000</t>
  </si>
  <si>
    <t>Detected in sample volume (pg)</t>
  </si>
  <si>
    <t>COC, Metals SRE</t>
  </si>
  <si>
    <t>Baghouse inlet temperature</t>
  </si>
  <si>
    <t>CO, PM, HCl/Cl2, POHC DRE, PCCD/F</t>
  </si>
  <si>
    <t>Kiln #3</t>
  </si>
  <si>
    <t>Nov 18-19, 1999</t>
  </si>
  <si>
    <t>474C12</t>
  </si>
  <si>
    <t>474C11</t>
  </si>
  <si>
    <t>QS/FF</t>
  </si>
  <si>
    <t>474C10</t>
  </si>
  <si>
    <t>May 9-19, 2000</t>
  </si>
  <si>
    <t>Solite Corp, Lightweight Aggregate Kiln #3</t>
  </si>
  <si>
    <t>Cond Avg</t>
  </si>
  <si>
    <t>R1</t>
  </si>
  <si>
    <t>R2</t>
  </si>
  <si>
    <t>R3</t>
  </si>
  <si>
    <t>Min mid kiln temperature</t>
  </si>
  <si>
    <t>Max comb chamber temp</t>
  </si>
  <si>
    <t>Min baghouse pressure drop</t>
  </si>
  <si>
    <t>Max kiln exit temperature</t>
  </si>
  <si>
    <t>Mid kiln temperature</t>
  </si>
  <si>
    <t>Comb zone temperature</t>
  </si>
  <si>
    <t>Combustion zone temperature</t>
  </si>
  <si>
    <t>CoC</t>
  </si>
  <si>
    <t>Report Name/Date</t>
  </si>
  <si>
    <t>Report Preparation</t>
  </si>
  <si>
    <t>Testing Firm</t>
  </si>
  <si>
    <t>Testing Dates</t>
  </si>
  <si>
    <t>Condition Descr</t>
  </si>
  <si>
    <t>Content</t>
  </si>
  <si>
    <t>474C1</t>
  </si>
  <si>
    <t>Report Prepare</t>
  </si>
  <si>
    <t>Cond Descr</t>
  </si>
  <si>
    <t>?</t>
  </si>
  <si>
    <t/>
  </si>
  <si>
    <t>HC (MHRA)</t>
  </si>
  <si>
    <t>Chromium (Hex)</t>
  </si>
  <si>
    <t>Cr Hex</t>
  </si>
  <si>
    <t>Halogens</t>
  </si>
  <si>
    <t>Liq haz waste</t>
  </si>
  <si>
    <t>Raw material</t>
  </si>
  <si>
    <t>Feedrate</t>
  </si>
  <si>
    <t>Heating value</t>
  </si>
  <si>
    <t>Gas flowrate</t>
  </si>
  <si>
    <t>Feedrate MTECs</t>
  </si>
  <si>
    <t>Condition Description</t>
  </si>
  <si>
    <t>Combustor Class</t>
  </si>
  <si>
    <t>Combustor Type</t>
  </si>
  <si>
    <t>Stack Gas Emissions 1</t>
  </si>
  <si>
    <t>Stack Gas Emissions 2</t>
  </si>
  <si>
    <t>Quench system (air and water).   Baghouse (reverse air cleaning, 580 bags, cloth area = 29,155 ft2, net air to cloth ratio = 2.23:1, design operating temp &lt; 450 °F at inlet), BHA manuf., fiberglass bags</t>
  </si>
  <si>
    <t>Feedstream 2</t>
  </si>
  <si>
    <t>47410</t>
  </si>
  <si>
    <t>Combustion Temperature</t>
  </si>
  <si>
    <t>F</t>
  </si>
  <si>
    <t>in H2O</t>
  </si>
  <si>
    <t>FF Temperature</t>
  </si>
  <si>
    <t>FF Pressure Drop</t>
  </si>
  <si>
    <t>Process Information 2</t>
  </si>
  <si>
    <t>Process Information 1</t>
  </si>
  <si>
    <t>Phase I ID No.</t>
  </si>
  <si>
    <t>Stationary Source Sampling Report Reference No. 11583, Virginia Solite Corporation, Cascade, Virginia, Prepared by Entropy, June 1993; COC Forms attached, dated August 23, 1993</t>
  </si>
  <si>
    <t>E1</t>
  </si>
  <si>
    <t>E2</t>
  </si>
  <si>
    <t>E3</t>
  </si>
  <si>
    <t>Cond Dates</t>
  </si>
  <si>
    <t>November 8-19, 1999</t>
  </si>
  <si>
    <t>Number of Sister Facilities</t>
  </si>
  <si>
    <t>APCS Detailed Acronym</t>
  </si>
  <si>
    <t>APCS General Class</t>
  </si>
  <si>
    <t>WQ, FF</t>
  </si>
  <si>
    <t>Liq</t>
  </si>
  <si>
    <t>Natural gas</t>
  </si>
  <si>
    <t>source</t>
  </si>
  <si>
    <t>cond</t>
  </si>
  <si>
    <t>emiss 2</t>
  </si>
  <si>
    <t>feed 1</t>
  </si>
  <si>
    <t>feed 2</t>
  </si>
  <si>
    <t>process 1</t>
  </si>
  <si>
    <t>process 2</t>
  </si>
  <si>
    <t>df c11</t>
  </si>
  <si>
    <t>df c12</t>
  </si>
  <si>
    <t>emiss 1</t>
  </si>
  <si>
    <t>Lightweight Aggregate Kiln (LWAK)</t>
  </si>
  <si>
    <t>Thermal Feedrate</t>
  </si>
  <si>
    <t>Feedstream Number</t>
  </si>
  <si>
    <t>Feed Class</t>
  </si>
  <si>
    <t>F1</t>
  </si>
  <si>
    <t>Raw Material</t>
  </si>
  <si>
    <t>F2</t>
  </si>
  <si>
    <t>Liq HW</t>
  </si>
  <si>
    <t>F3</t>
  </si>
  <si>
    <t>F4</t>
  </si>
  <si>
    <t>Feed Class 2</t>
  </si>
  <si>
    <t>Feedstream 1</t>
  </si>
  <si>
    <t>Estimated Firing Rate</t>
  </si>
  <si>
    <t>Counter current rotary kiln manufactured by Vulcan. Aggregate process rate 10 tons/hr. 9' ID Shell x 125' long.  Burner consists of a 3/4 "fuel pipe and a 4" atomizing air pipe. Solids retention time = 1.25 to 2.5 hours. Gas outlet temperature = 850 -1200 °F.</t>
  </si>
  <si>
    <t>Full ND</t>
  </si>
  <si>
    <t>N</t>
  </si>
  <si>
    <t>lb/min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</si>
</sst>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0.0000E+00"/>
    <numFmt numFmtId="178" formatCode="0.000E+00"/>
    <numFmt numFmtId="179" formatCode="0.00000E+00"/>
    <numFmt numFmtId="180" formatCode="0.000000E+00"/>
    <numFmt numFmtId="181" formatCode="0.0000000E+00"/>
    <numFmt numFmtId="182" formatCode="0.00000000E+00"/>
    <numFmt numFmtId="183" formatCode="0.E+00"/>
    <numFmt numFmtId="184" formatCode="0.0.E+00"/>
    <numFmt numFmtId="185" formatCode="0.00.E+00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_(* #,##0.0_);_(* \(#,##0.0\);_(* &quot;-&quot;_);_(@_)"/>
    <numFmt numFmtId="190" formatCode="_(* #,##0.00_);_(* \(#,##0.00\);_(* &quot;-&quot;_);_(@_)"/>
    <numFmt numFmtId="191" formatCode="0.0E+00"/>
    <numFmt numFmtId="192" formatCode="0E+00"/>
    <numFmt numFmtId="193" formatCode="dd\-mmm\-yy"/>
    <numFmt numFmtId="194" formatCode="0.00000%"/>
    <numFmt numFmtId="195" formatCode="0.000%"/>
    <numFmt numFmtId="196" formatCode="0.0000%"/>
    <numFmt numFmtId="197" formatCode="0.000000%"/>
    <numFmt numFmtId="198" formatCode="0.0000000%"/>
    <numFmt numFmtId="199" formatCode="0.00000000%"/>
    <numFmt numFmtId="200" formatCode="0.000000000%"/>
    <numFmt numFmtId="201" formatCode="0.0000000000%"/>
    <numFmt numFmtId="202" formatCode="0.00000000000%"/>
    <numFmt numFmtId="203" formatCode="mm/dd/yy"/>
  </numFmts>
  <fonts count="13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48"/>
      <name val="Arial"/>
      <family val="2"/>
    </font>
    <font>
      <u val="single"/>
      <sz val="10"/>
      <name val="Arial"/>
      <family val="2"/>
    </font>
    <font>
      <sz val="10"/>
      <color indexed="48"/>
      <name val="Arial"/>
      <family val="2"/>
    </font>
    <font>
      <u val="single"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166" fontId="6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3" fillId="0" borderId="0" xfId="0" applyFont="1" applyBorder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8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167" fontId="0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left"/>
    </xf>
    <xf numFmtId="11" fontId="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11" fontId="0" fillId="0" borderId="0" xfId="0" applyNumberFormat="1" applyFont="1" applyFill="1" applyBorder="1" applyAlignment="1">
      <alignment horizontal="right"/>
    </xf>
    <xf numFmtId="195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/>
    </xf>
    <xf numFmtId="0" fontId="0" fillId="0" borderId="0" xfId="0" applyFont="1" applyFill="1" applyAlignment="1">
      <alignment horizontal="left" vertical="top" wrapText="1"/>
    </xf>
    <xf numFmtId="1" fontId="6" fillId="0" borderId="0" xfId="0" applyNumberFormat="1" applyFont="1" applyFill="1" applyBorder="1" applyAlignment="1">
      <alignment/>
    </xf>
    <xf numFmtId="196" fontId="0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11" fontId="6" fillId="0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3" fillId="0" borderId="0" xfId="0" applyFont="1" applyAlignment="1">
      <alignment vertical="top" wrapText="1"/>
    </xf>
    <xf numFmtId="164" fontId="0" fillId="0" borderId="0" xfId="0" applyNumberFormat="1" applyFont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171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7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9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 wrapText="1"/>
    </xf>
    <xf numFmtId="17" fontId="0" fillId="0" borderId="0" xfId="0" applyNumberFormat="1" applyFont="1" applyAlignment="1">
      <alignment horizontal="left" vertical="top" wrapText="1"/>
    </xf>
    <xf numFmtId="164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165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" fontId="0" fillId="0" borderId="0" xfId="15" applyNumberFormat="1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C1" sqref="C1"/>
    </sheetView>
  </sheetViews>
  <sheetFormatPr defaultColWidth="9.140625" defaultRowHeight="12.75"/>
  <sheetData>
    <row r="1" ht="12.75">
      <c r="A1" t="s">
        <v>230</v>
      </c>
    </row>
    <row r="2" ht="12.75">
      <c r="A2" t="s">
        <v>231</v>
      </c>
    </row>
    <row r="3" ht="12.75">
      <c r="A3" t="s">
        <v>239</v>
      </c>
    </row>
    <row r="4" ht="12.75">
      <c r="A4" t="s">
        <v>232</v>
      </c>
    </row>
    <row r="5" ht="12.75">
      <c r="A5" t="s">
        <v>233</v>
      </c>
    </row>
    <row r="6" ht="12.75">
      <c r="A6" t="s">
        <v>234</v>
      </c>
    </row>
    <row r="7" ht="12.75">
      <c r="A7" t="s">
        <v>235</v>
      </c>
    </row>
    <row r="8" ht="12.75">
      <c r="A8" t="s">
        <v>236</v>
      </c>
    </row>
    <row r="9" ht="12.75">
      <c r="A9" t="s">
        <v>237</v>
      </c>
    </row>
    <row r="10" ht="12.75">
      <c r="A10" t="s">
        <v>238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B34" sqref="A34:IV473"/>
    </sheetView>
  </sheetViews>
  <sheetFormatPr defaultColWidth="9.140625" defaultRowHeight="12.75"/>
  <cols>
    <col min="1" max="1" width="1.7109375" style="97" customWidth="1"/>
    <col min="2" max="2" width="20.00390625" style="97" customWidth="1"/>
    <col min="3" max="3" width="9.421875" style="97" customWidth="1"/>
    <col min="4" max="4" width="5.00390625" style="97" customWidth="1"/>
    <col min="5" max="5" width="9.421875" style="97" customWidth="1"/>
    <col min="6" max="6" width="9.8515625" style="97" customWidth="1"/>
    <col min="7" max="7" width="9.140625" style="97" customWidth="1"/>
    <col min="8" max="8" width="9.8515625" style="97" customWidth="1"/>
    <col min="9" max="9" width="3.421875" style="97" customWidth="1"/>
    <col min="10" max="10" width="9.140625" style="97" customWidth="1"/>
    <col min="11" max="11" width="9.28125" style="97" customWidth="1"/>
    <col min="12" max="12" width="9.140625" style="97" customWidth="1"/>
    <col min="13" max="13" width="9.28125" style="97" customWidth="1"/>
    <col min="14" max="14" width="4.00390625" style="97" customWidth="1"/>
    <col min="15" max="15" width="9.140625" style="97" customWidth="1"/>
    <col min="16" max="16" width="9.00390625" style="97" customWidth="1"/>
    <col min="17" max="17" width="9.140625" style="97" customWidth="1"/>
    <col min="18" max="18" width="9.00390625" style="97" customWidth="1"/>
    <col min="19" max="16384" width="9.140625" style="97" customWidth="1"/>
  </cols>
  <sheetData>
    <row r="1" spans="1:18" ht="12.75">
      <c r="A1" s="40" t="s">
        <v>64</v>
      </c>
      <c r="B1" s="22"/>
      <c r="C1" s="22"/>
      <c r="D1" s="22"/>
      <c r="E1" s="41"/>
      <c r="F1" s="42"/>
      <c r="G1" s="41"/>
      <c r="H1" s="42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2.75">
      <c r="A2" s="22" t="s">
        <v>255</v>
      </c>
      <c r="B2" s="22"/>
      <c r="C2" s="22"/>
      <c r="D2" s="22"/>
      <c r="E2" s="41"/>
      <c r="F2" s="42"/>
      <c r="G2" s="41"/>
      <c r="H2" s="42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2.75">
      <c r="A3" s="22" t="s">
        <v>65</v>
      </c>
      <c r="B3" s="22"/>
      <c r="C3" s="8" t="s">
        <v>168</v>
      </c>
      <c r="D3" s="8"/>
      <c r="E3" s="41"/>
      <c r="F3" s="42"/>
      <c r="G3" s="41"/>
      <c r="H3" s="42"/>
      <c r="I3" s="41"/>
      <c r="J3" s="43"/>
      <c r="K3" s="41"/>
      <c r="L3" s="41"/>
      <c r="M3" s="41"/>
      <c r="N3" s="41"/>
      <c r="O3" s="41"/>
      <c r="P3" s="41"/>
      <c r="Q3" s="41"/>
      <c r="R3" s="41"/>
    </row>
    <row r="4" spans="1:18" ht="12.75">
      <c r="A4" s="22" t="s">
        <v>66</v>
      </c>
      <c r="B4" s="22"/>
      <c r="C4" s="55" t="s">
        <v>164</v>
      </c>
      <c r="D4" s="8" t="s">
        <v>121</v>
      </c>
      <c r="E4" s="44"/>
      <c r="F4" s="45"/>
      <c r="G4" s="44"/>
      <c r="H4" s="45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ht="12.75">
      <c r="A5" s="22" t="s">
        <v>67</v>
      </c>
      <c r="B5" s="22"/>
      <c r="C5" s="98" t="s">
        <v>162</v>
      </c>
      <c r="D5" s="22"/>
      <c r="E5" s="22"/>
      <c r="F5" s="22"/>
      <c r="G5" s="22"/>
      <c r="H5" s="22"/>
      <c r="I5" s="22"/>
      <c r="J5" s="22"/>
      <c r="K5" s="41"/>
      <c r="L5" s="22"/>
      <c r="M5" s="41"/>
      <c r="N5" s="41"/>
      <c r="O5" s="41"/>
      <c r="P5" s="41"/>
      <c r="Q5" s="41"/>
      <c r="R5" s="41"/>
    </row>
    <row r="6" spans="1:18" ht="14.25" customHeight="1">
      <c r="A6" s="22"/>
      <c r="B6" s="22"/>
      <c r="C6" s="23"/>
      <c r="D6" s="23"/>
      <c r="E6" s="25"/>
      <c r="F6" s="42"/>
      <c r="G6" s="25"/>
      <c r="H6" s="42"/>
      <c r="I6" s="41"/>
      <c r="J6" s="25"/>
      <c r="K6" s="41"/>
      <c r="L6" s="25"/>
      <c r="M6" s="41"/>
      <c r="N6" s="41"/>
      <c r="O6" s="25"/>
      <c r="P6" s="41"/>
      <c r="Q6" s="25"/>
      <c r="R6" s="41"/>
    </row>
    <row r="7" spans="1:18" ht="12.75">
      <c r="A7" s="22"/>
      <c r="B7" s="22"/>
      <c r="C7" s="23" t="s">
        <v>68</v>
      </c>
      <c r="D7" s="23"/>
      <c r="E7" s="99" t="s">
        <v>29</v>
      </c>
      <c r="F7" s="99"/>
      <c r="G7" s="99"/>
      <c r="H7" s="99"/>
      <c r="I7" s="100"/>
      <c r="J7" s="99" t="s">
        <v>30</v>
      </c>
      <c r="K7" s="99"/>
      <c r="L7" s="99"/>
      <c r="M7" s="99"/>
      <c r="N7" s="100"/>
      <c r="O7" s="99" t="s">
        <v>31</v>
      </c>
      <c r="P7" s="99"/>
      <c r="Q7" s="99"/>
      <c r="R7" s="99"/>
    </row>
    <row r="8" spans="1:18" ht="12.75">
      <c r="A8" s="22"/>
      <c r="B8" s="22"/>
      <c r="C8" s="23" t="s">
        <v>69</v>
      </c>
      <c r="D8" s="22"/>
      <c r="E8" s="25" t="s">
        <v>62</v>
      </c>
      <c r="F8" s="45" t="s">
        <v>70</v>
      </c>
      <c r="G8" s="25" t="s">
        <v>62</v>
      </c>
      <c r="H8" s="45" t="s">
        <v>70</v>
      </c>
      <c r="I8" s="41"/>
      <c r="J8" s="25" t="s">
        <v>62</v>
      </c>
      <c r="K8" s="25" t="s">
        <v>71</v>
      </c>
      <c r="L8" s="25" t="s">
        <v>62</v>
      </c>
      <c r="M8" s="25" t="s">
        <v>71</v>
      </c>
      <c r="N8" s="41"/>
      <c r="O8" s="25" t="s">
        <v>62</v>
      </c>
      <c r="P8" s="25" t="s">
        <v>71</v>
      </c>
      <c r="Q8" s="25" t="s">
        <v>62</v>
      </c>
      <c r="R8" s="25" t="s">
        <v>71</v>
      </c>
    </row>
    <row r="9" spans="1:18" ht="12.75">
      <c r="A9" s="22"/>
      <c r="B9" s="22"/>
      <c r="C9" s="23"/>
      <c r="D9" s="22"/>
      <c r="E9" s="25" t="s">
        <v>254</v>
      </c>
      <c r="F9" s="25" t="s">
        <v>254</v>
      </c>
      <c r="G9" s="25" t="s">
        <v>72</v>
      </c>
      <c r="H9" s="45" t="s">
        <v>72</v>
      </c>
      <c r="I9" s="41"/>
      <c r="J9" s="25" t="s">
        <v>254</v>
      </c>
      <c r="K9" s="25" t="s">
        <v>254</v>
      </c>
      <c r="L9" s="25" t="s">
        <v>72</v>
      </c>
      <c r="M9" s="45" t="s">
        <v>72</v>
      </c>
      <c r="N9" s="41"/>
      <c r="O9" s="25" t="s">
        <v>254</v>
      </c>
      <c r="P9" s="25" t="s">
        <v>254</v>
      </c>
      <c r="Q9" s="25" t="s">
        <v>72</v>
      </c>
      <c r="R9" s="45" t="s">
        <v>72</v>
      </c>
    </row>
    <row r="10" spans="1:18" ht="12.75">
      <c r="A10" s="22" t="s">
        <v>105</v>
      </c>
      <c r="B10" s="22"/>
      <c r="C10" s="22"/>
      <c r="D10" s="22"/>
      <c r="E10" s="41"/>
      <c r="F10" s="42"/>
      <c r="G10" s="41"/>
      <c r="H10" s="42"/>
      <c r="I10" s="41"/>
      <c r="J10" s="41"/>
      <c r="K10" s="41"/>
      <c r="L10" s="41"/>
      <c r="M10" s="41"/>
      <c r="N10" s="41"/>
      <c r="O10" s="24"/>
      <c r="P10" s="41"/>
      <c r="Q10" s="41"/>
      <c r="R10" s="41"/>
    </row>
    <row r="11" spans="1:18" ht="12.75">
      <c r="A11" s="22"/>
      <c r="B11" s="22" t="s">
        <v>73</v>
      </c>
      <c r="C11" s="23">
        <v>1</v>
      </c>
      <c r="D11" s="23"/>
      <c r="E11" s="47">
        <v>0.97</v>
      </c>
      <c r="F11" s="47">
        <f aca="true" t="shared" si="0" ref="F11:H35">IF(E11="","",E11*$C11)</f>
        <v>0.97</v>
      </c>
      <c r="G11" s="47">
        <f aca="true" t="shared" si="1" ref="G11:G35">IF(E11=0,"",IF(D11="nd",E11/2,E11))</f>
        <v>0.97</v>
      </c>
      <c r="H11" s="47">
        <f t="shared" si="0"/>
        <v>0.97</v>
      </c>
      <c r="I11" s="47"/>
      <c r="J11" s="47">
        <v>0.93</v>
      </c>
      <c r="K11" s="47">
        <f aca="true" t="shared" si="2" ref="K11:M35">IF(J11="","",J11*$C11)</f>
        <v>0.93</v>
      </c>
      <c r="L11" s="47">
        <f aca="true" t="shared" si="3" ref="L11:L35">IF(J11=0,"",IF(I11="nd",J11/2,J11))</f>
        <v>0.93</v>
      </c>
      <c r="M11" s="47">
        <f t="shared" si="2"/>
        <v>0.93</v>
      </c>
      <c r="N11" s="47"/>
      <c r="O11" s="47">
        <v>0.73</v>
      </c>
      <c r="P11" s="47">
        <f aca="true" t="shared" si="4" ref="P11:R35">IF(O11="","",O11*$C11)</f>
        <v>0.73</v>
      </c>
      <c r="Q11" s="47">
        <f aca="true" t="shared" si="5" ref="Q11:Q35">IF(O11=0,"",IF(N11="nd",O11/2,O11))</f>
        <v>0.73</v>
      </c>
      <c r="R11" s="47">
        <f t="shared" si="4"/>
        <v>0.73</v>
      </c>
    </row>
    <row r="12" spans="1:18" ht="12.75">
      <c r="A12" s="22"/>
      <c r="B12" s="22" t="s">
        <v>74</v>
      </c>
      <c r="C12" s="23">
        <v>0.5</v>
      </c>
      <c r="D12" s="23"/>
      <c r="E12" s="47">
        <v>1.69</v>
      </c>
      <c r="F12" s="47">
        <f t="shared" si="0"/>
        <v>0.845</v>
      </c>
      <c r="G12" s="47">
        <f t="shared" si="1"/>
        <v>1.69</v>
      </c>
      <c r="H12" s="47">
        <f t="shared" si="0"/>
        <v>0.845</v>
      </c>
      <c r="I12" s="47"/>
      <c r="J12" s="47">
        <v>1.76</v>
      </c>
      <c r="K12" s="47">
        <f t="shared" si="2"/>
        <v>0.88</v>
      </c>
      <c r="L12" s="47">
        <f t="shared" si="3"/>
        <v>1.76</v>
      </c>
      <c r="M12" s="47">
        <f t="shared" si="2"/>
        <v>0.88</v>
      </c>
      <c r="N12" s="47"/>
      <c r="O12" s="47">
        <v>1.73</v>
      </c>
      <c r="P12" s="47">
        <f t="shared" si="4"/>
        <v>0.865</v>
      </c>
      <c r="Q12" s="47">
        <f t="shared" si="5"/>
        <v>1.73</v>
      </c>
      <c r="R12" s="47">
        <f t="shared" si="4"/>
        <v>0.865</v>
      </c>
    </row>
    <row r="13" spans="1:18" ht="12.75">
      <c r="A13" s="22"/>
      <c r="B13" s="22" t="s">
        <v>75</v>
      </c>
      <c r="C13" s="23">
        <v>0.1</v>
      </c>
      <c r="D13" s="23"/>
      <c r="E13" s="47">
        <v>0.77</v>
      </c>
      <c r="F13" s="47">
        <f t="shared" si="0"/>
        <v>0.07700000000000001</v>
      </c>
      <c r="G13" s="47">
        <f t="shared" si="1"/>
        <v>0.77</v>
      </c>
      <c r="H13" s="47">
        <f t="shared" si="0"/>
        <v>0.07700000000000001</v>
      </c>
      <c r="I13" s="47"/>
      <c r="J13" s="47">
        <v>0.88</v>
      </c>
      <c r="K13" s="47">
        <f>IF(J13="","",J13*$C13)</f>
        <v>0.08800000000000001</v>
      </c>
      <c r="L13" s="47">
        <f t="shared" si="3"/>
        <v>0.88</v>
      </c>
      <c r="M13" s="47">
        <f>IF(L13="","",L13*$C13)</f>
        <v>0.08800000000000001</v>
      </c>
      <c r="N13" s="47"/>
      <c r="O13" s="47">
        <v>1.04</v>
      </c>
      <c r="P13" s="47">
        <f t="shared" si="4"/>
        <v>0.10400000000000001</v>
      </c>
      <c r="Q13" s="47">
        <f t="shared" si="5"/>
        <v>1.04</v>
      </c>
      <c r="R13" s="47">
        <f t="shared" si="4"/>
        <v>0.10400000000000001</v>
      </c>
    </row>
    <row r="14" spans="1:18" ht="12.75">
      <c r="A14" s="22"/>
      <c r="B14" s="22" t="s">
        <v>76</v>
      </c>
      <c r="C14" s="23">
        <v>0.1</v>
      </c>
      <c r="D14" s="23"/>
      <c r="E14" s="47">
        <v>3.07</v>
      </c>
      <c r="F14" s="47">
        <f t="shared" si="0"/>
        <v>0.307</v>
      </c>
      <c r="G14" s="47">
        <f t="shared" si="1"/>
        <v>3.07</v>
      </c>
      <c r="H14" s="47">
        <f t="shared" si="0"/>
        <v>0.307</v>
      </c>
      <c r="I14" s="47"/>
      <c r="J14" s="47">
        <v>2.97</v>
      </c>
      <c r="K14" s="47">
        <f t="shared" si="2"/>
        <v>0.29700000000000004</v>
      </c>
      <c r="L14" s="47">
        <f t="shared" si="3"/>
        <v>2.97</v>
      </c>
      <c r="M14" s="47">
        <f t="shared" si="2"/>
        <v>0.29700000000000004</v>
      </c>
      <c r="N14" s="47"/>
      <c r="O14" s="47">
        <v>5.14</v>
      </c>
      <c r="P14" s="47">
        <f t="shared" si="4"/>
        <v>0.514</v>
      </c>
      <c r="Q14" s="47">
        <f t="shared" si="5"/>
        <v>5.14</v>
      </c>
      <c r="R14" s="47">
        <f t="shared" si="4"/>
        <v>0.514</v>
      </c>
    </row>
    <row r="15" spans="1:18" ht="12.75">
      <c r="A15" s="22"/>
      <c r="B15" s="22" t="s">
        <v>77</v>
      </c>
      <c r="C15" s="23">
        <v>0.1</v>
      </c>
      <c r="D15" s="23"/>
      <c r="E15" s="47">
        <v>1.83</v>
      </c>
      <c r="F15" s="47">
        <f t="shared" si="0"/>
        <v>0.18300000000000002</v>
      </c>
      <c r="G15" s="47">
        <f t="shared" si="1"/>
        <v>1.83</v>
      </c>
      <c r="H15" s="47">
        <f t="shared" si="0"/>
        <v>0.18300000000000002</v>
      </c>
      <c r="I15" s="47"/>
      <c r="J15" s="47">
        <v>1.96</v>
      </c>
      <c r="K15" s="47">
        <f t="shared" si="2"/>
        <v>0.196</v>
      </c>
      <c r="L15" s="47">
        <f t="shared" si="3"/>
        <v>1.96</v>
      </c>
      <c r="M15" s="47">
        <f t="shared" si="2"/>
        <v>0.196</v>
      </c>
      <c r="N15" s="47"/>
      <c r="O15" s="47">
        <v>3.21</v>
      </c>
      <c r="P15" s="47">
        <f t="shared" si="4"/>
        <v>0.321</v>
      </c>
      <c r="Q15" s="47">
        <f t="shared" si="5"/>
        <v>3.21</v>
      </c>
      <c r="R15" s="47">
        <f t="shared" si="4"/>
        <v>0.321</v>
      </c>
    </row>
    <row r="16" spans="1:18" ht="12.75">
      <c r="A16" s="22"/>
      <c r="B16" s="22" t="s">
        <v>78</v>
      </c>
      <c r="C16" s="23">
        <v>0.01</v>
      </c>
      <c r="D16" s="23"/>
      <c r="E16" s="47">
        <v>6.48</v>
      </c>
      <c r="F16" s="47">
        <f t="shared" si="0"/>
        <v>0.06480000000000001</v>
      </c>
      <c r="G16" s="47">
        <f t="shared" si="1"/>
        <v>6.48</v>
      </c>
      <c r="H16" s="47">
        <f t="shared" si="0"/>
        <v>0.06480000000000001</v>
      </c>
      <c r="I16" s="47"/>
      <c r="J16" s="47">
        <v>7.2</v>
      </c>
      <c r="K16" s="47">
        <f t="shared" si="2"/>
        <v>0.07200000000000001</v>
      </c>
      <c r="L16" s="47">
        <f t="shared" si="3"/>
        <v>7.2</v>
      </c>
      <c r="M16" s="47">
        <f t="shared" si="2"/>
        <v>0.07200000000000001</v>
      </c>
      <c r="N16" s="47"/>
      <c r="O16" s="47">
        <v>14.59</v>
      </c>
      <c r="P16" s="47">
        <f t="shared" si="4"/>
        <v>0.1459</v>
      </c>
      <c r="Q16" s="47">
        <f t="shared" si="5"/>
        <v>14.59</v>
      </c>
      <c r="R16" s="47">
        <f t="shared" si="4"/>
        <v>0.1459</v>
      </c>
    </row>
    <row r="17" spans="1:18" ht="12.75">
      <c r="A17" s="22"/>
      <c r="B17" s="22" t="s">
        <v>79</v>
      </c>
      <c r="C17" s="23">
        <v>0.001</v>
      </c>
      <c r="D17" s="23"/>
      <c r="E17" s="47">
        <v>1.57</v>
      </c>
      <c r="F17" s="47">
        <f t="shared" si="0"/>
        <v>0.00157</v>
      </c>
      <c r="G17" s="47">
        <f t="shared" si="1"/>
        <v>1.57</v>
      </c>
      <c r="H17" s="47">
        <f t="shared" si="0"/>
        <v>0.00157</v>
      </c>
      <c r="I17" s="47"/>
      <c r="J17" s="47">
        <v>2.13</v>
      </c>
      <c r="K17" s="47">
        <f t="shared" si="2"/>
        <v>0.00213</v>
      </c>
      <c r="L17" s="47">
        <f t="shared" si="3"/>
        <v>2.13</v>
      </c>
      <c r="M17" s="47">
        <f t="shared" si="2"/>
        <v>0.00213</v>
      </c>
      <c r="N17" s="47"/>
      <c r="O17" s="47">
        <v>4.63</v>
      </c>
      <c r="P17" s="47">
        <f t="shared" si="4"/>
        <v>0.00463</v>
      </c>
      <c r="Q17" s="47">
        <f t="shared" si="5"/>
        <v>4.63</v>
      </c>
      <c r="R17" s="47">
        <f t="shared" si="4"/>
        <v>0.00463</v>
      </c>
    </row>
    <row r="18" spans="1:18" ht="12.75">
      <c r="A18" s="22"/>
      <c r="B18" s="22" t="s">
        <v>80</v>
      </c>
      <c r="C18" s="23">
        <v>0.1</v>
      </c>
      <c r="D18" s="23"/>
      <c r="E18" s="47">
        <v>27.21</v>
      </c>
      <c r="F18" s="47">
        <f t="shared" si="0"/>
        <v>2.721</v>
      </c>
      <c r="G18" s="47">
        <f t="shared" si="1"/>
        <v>27.21</v>
      </c>
      <c r="H18" s="47">
        <f t="shared" si="0"/>
        <v>2.721</v>
      </c>
      <c r="I18" s="47"/>
      <c r="J18" s="47">
        <v>26.5</v>
      </c>
      <c r="K18" s="47">
        <f t="shared" si="2"/>
        <v>2.6500000000000004</v>
      </c>
      <c r="L18" s="47">
        <f t="shared" si="3"/>
        <v>26.5</v>
      </c>
      <c r="M18" s="47">
        <f t="shared" si="2"/>
        <v>2.6500000000000004</v>
      </c>
      <c r="N18" s="47"/>
      <c r="O18" s="47">
        <v>20.6</v>
      </c>
      <c r="P18" s="47">
        <f t="shared" si="4"/>
        <v>2.06</v>
      </c>
      <c r="Q18" s="47">
        <f t="shared" si="5"/>
        <v>20.6</v>
      </c>
      <c r="R18" s="47">
        <f t="shared" si="4"/>
        <v>2.06</v>
      </c>
    </row>
    <row r="19" spans="1:18" ht="12.75">
      <c r="A19" s="22"/>
      <c r="B19" s="22" t="s">
        <v>81</v>
      </c>
      <c r="C19" s="23">
        <v>0.05</v>
      </c>
      <c r="D19" s="23"/>
      <c r="E19" s="47">
        <v>19.69</v>
      </c>
      <c r="F19" s="47">
        <f t="shared" si="0"/>
        <v>0.9845000000000002</v>
      </c>
      <c r="G19" s="47">
        <f t="shared" si="1"/>
        <v>19.69</v>
      </c>
      <c r="H19" s="47">
        <f t="shared" si="0"/>
        <v>0.9845000000000002</v>
      </c>
      <c r="I19" s="47"/>
      <c r="J19" s="47">
        <v>21.73</v>
      </c>
      <c r="K19" s="47">
        <f t="shared" si="2"/>
        <v>1.0865</v>
      </c>
      <c r="L19" s="47">
        <f t="shared" si="3"/>
        <v>21.73</v>
      </c>
      <c r="M19" s="47">
        <f t="shared" si="2"/>
        <v>1.0865</v>
      </c>
      <c r="N19" s="47"/>
      <c r="O19" s="47">
        <v>18.1</v>
      </c>
      <c r="P19" s="47">
        <f t="shared" si="4"/>
        <v>0.9050000000000001</v>
      </c>
      <c r="Q19" s="47">
        <f t="shared" si="5"/>
        <v>18.1</v>
      </c>
      <c r="R19" s="47">
        <f t="shared" si="4"/>
        <v>0.9050000000000001</v>
      </c>
    </row>
    <row r="20" spans="1:18" ht="12.75">
      <c r="A20" s="22"/>
      <c r="B20" s="22" t="s">
        <v>82</v>
      </c>
      <c r="C20" s="23">
        <v>0.5</v>
      </c>
      <c r="D20" s="23"/>
      <c r="E20" s="47">
        <v>33.26</v>
      </c>
      <c r="F20" s="47">
        <f t="shared" si="0"/>
        <v>16.63</v>
      </c>
      <c r="G20" s="47">
        <f t="shared" si="1"/>
        <v>33.26</v>
      </c>
      <c r="H20" s="47">
        <f t="shared" si="0"/>
        <v>16.63</v>
      </c>
      <c r="I20" s="47"/>
      <c r="J20" s="47">
        <v>35.2</v>
      </c>
      <c r="K20" s="47">
        <f t="shared" si="2"/>
        <v>17.6</v>
      </c>
      <c r="L20" s="47">
        <f t="shared" si="3"/>
        <v>35.2</v>
      </c>
      <c r="M20" s="47">
        <f t="shared" si="2"/>
        <v>17.6</v>
      </c>
      <c r="N20" s="47"/>
      <c r="O20" s="47">
        <v>28.92</v>
      </c>
      <c r="P20" s="47">
        <f t="shared" si="4"/>
        <v>14.46</v>
      </c>
      <c r="Q20" s="47">
        <f t="shared" si="5"/>
        <v>28.92</v>
      </c>
      <c r="R20" s="47">
        <f t="shared" si="4"/>
        <v>14.46</v>
      </c>
    </row>
    <row r="21" spans="1:18" ht="12.75">
      <c r="A21" s="22"/>
      <c r="B21" s="22" t="s">
        <v>83</v>
      </c>
      <c r="C21" s="23">
        <v>0.1</v>
      </c>
      <c r="D21" s="23"/>
      <c r="E21" s="47">
        <v>23.82</v>
      </c>
      <c r="F21" s="47">
        <f t="shared" si="0"/>
        <v>2.382</v>
      </c>
      <c r="G21" s="47">
        <f t="shared" si="1"/>
        <v>23.82</v>
      </c>
      <c r="H21" s="47">
        <f t="shared" si="0"/>
        <v>2.382</v>
      </c>
      <c r="I21" s="47"/>
      <c r="J21" s="47">
        <v>26.1</v>
      </c>
      <c r="K21" s="47">
        <f t="shared" si="2"/>
        <v>2.6100000000000003</v>
      </c>
      <c r="L21" s="47">
        <f t="shared" si="3"/>
        <v>26.1</v>
      </c>
      <c r="M21" s="47">
        <f t="shared" si="2"/>
        <v>2.6100000000000003</v>
      </c>
      <c r="N21" s="47"/>
      <c r="O21" s="47">
        <v>25.85</v>
      </c>
      <c r="P21" s="47">
        <f t="shared" si="4"/>
        <v>2.5850000000000004</v>
      </c>
      <c r="Q21" s="47">
        <f t="shared" si="5"/>
        <v>25.85</v>
      </c>
      <c r="R21" s="47">
        <f t="shared" si="4"/>
        <v>2.5850000000000004</v>
      </c>
    </row>
    <row r="22" spans="1:18" ht="12.75">
      <c r="A22" s="22"/>
      <c r="B22" s="22" t="s">
        <v>84</v>
      </c>
      <c r="C22" s="23">
        <v>0.1</v>
      </c>
      <c r="D22" s="23"/>
      <c r="E22" s="47">
        <v>11.15</v>
      </c>
      <c r="F22" s="47">
        <f t="shared" si="0"/>
        <v>1.115</v>
      </c>
      <c r="G22" s="47">
        <f t="shared" si="1"/>
        <v>11.15</v>
      </c>
      <c r="H22" s="47">
        <f t="shared" si="0"/>
        <v>1.115</v>
      </c>
      <c r="I22" s="47"/>
      <c r="J22" s="47">
        <v>12.2</v>
      </c>
      <c r="K22" s="47">
        <f t="shared" si="2"/>
        <v>1.22</v>
      </c>
      <c r="L22" s="47">
        <f t="shared" si="3"/>
        <v>12.2</v>
      </c>
      <c r="M22" s="47">
        <f t="shared" si="2"/>
        <v>1.22</v>
      </c>
      <c r="N22" s="47"/>
      <c r="O22" s="47">
        <v>12.02</v>
      </c>
      <c r="P22" s="47">
        <f t="shared" si="4"/>
        <v>1.202</v>
      </c>
      <c r="Q22" s="47">
        <f t="shared" si="5"/>
        <v>12.02</v>
      </c>
      <c r="R22" s="47">
        <f t="shared" si="4"/>
        <v>1.202</v>
      </c>
    </row>
    <row r="23" spans="1:18" ht="12.75">
      <c r="A23" s="22"/>
      <c r="B23" s="22" t="s">
        <v>85</v>
      </c>
      <c r="C23" s="23">
        <v>0.1</v>
      </c>
      <c r="D23" s="23"/>
      <c r="E23" s="47">
        <v>0.71</v>
      </c>
      <c r="F23" s="47">
        <f t="shared" si="0"/>
        <v>0.071</v>
      </c>
      <c r="G23" s="47">
        <f t="shared" si="1"/>
        <v>0.71</v>
      </c>
      <c r="H23" s="47">
        <f t="shared" si="0"/>
        <v>0.071</v>
      </c>
      <c r="I23" s="47"/>
      <c r="J23" s="47">
        <v>0.82</v>
      </c>
      <c r="K23" s="47">
        <f t="shared" si="2"/>
        <v>0.082</v>
      </c>
      <c r="L23" s="47">
        <f t="shared" si="3"/>
        <v>0.82</v>
      </c>
      <c r="M23" s="47">
        <f t="shared" si="2"/>
        <v>0.082</v>
      </c>
      <c r="N23" s="47"/>
      <c r="O23" s="47">
        <v>0.98</v>
      </c>
      <c r="P23" s="47">
        <f t="shared" si="4"/>
        <v>0.098</v>
      </c>
      <c r="Q23" s="47">
        <f t="shared" si="5"/>
        <v>0.98</v>
      </c>
      <c r="R23" s="47">
        <f t="shared" si="4"/>
        <v>0.098</v>
      </c>
    </row>
    <row r="24" spans="1:18" ht="12.75">
      <c r="A24" s="22"/>
      <c r="B24" s="22" t="s">
        <v>86</v>
      </c>
      <c r="C24" s="23">
        <v>0.1</v>
      </c>
      <c r="D24" s="23"/>
      <c r="E24" s="47">
        <v>10.42</v>
      </c>
      <c r="F24" s="47">
        <f t="shared" si="0"/>
        <v>1.042</v>
      </c>
      <c r="G24" s="47">
        <f t="shared" si="1"/>
        <v>10.42</v>
      </c>
      <c r="H24" s="47">
        <f t="shared" si="0"/>
        <v>1.042</v>
      </c>
      <c r="I24" s="47"/>
      <c r="J24" s="47">
        <v>11.6</v>
      </c>
      <c r="K24" s="47">
        <f t="shared" si="2"/>
        <v>1.16</v>
      </c>
      <c r="L24" s="47">
        <f t="shared" si="3"/>
        <v>11.6</v>
      </c>
      <c r="M24" s="47">
        <f t="shared" si="2"/>
        <v>1.16</v>
      </c>
      <c r="N24" s="47"/>
      <c r="O24" s="47">
        <v>11.83</v>
      </c>
      <c r="P24" s="47">
        <f t="shared" si="4"/>
        <v>1.183</v>
      </c>
      <c r="Q24" s="47">
        <f t="shared" si="5"/>
        <v>11.83</v>
      </c>
      <c r="R24" s="47">
        <f t="shared" si="4"/>
        <v>1.183</v>
      </c>
    </row>
    <row r="25" spans="1:18" ht="12.75">
      <c r="A25" s="22"/>
      <c r="B25" s="22" t="s">
        <v>87</v>
      </c>
      <c r="C25" s="23">
        <v>0.01</v>
      </c>
      <c r="D25" s="23"/>
      <c r="E25" s="47">
        <v>8.83</v>
      </c>
      <c r="F25" s="47">
        <f t="shared" si="0"/>
        <v>0.0883</v>
      </c>
      <c r="G25" s="47">
        <f t="shared" si="1"/>
        <v>8.83</v>
      </c>
      <c r="H25" s="47">
        <f t="shared" si="0"/>
        <v>0.0883</v>
      </c>
      <c r="I25" s="47"/>
      <c r="J25" s="47">
        <v>11.31</v>
      </c>
      <c r="K25" s="47">
        <f t="shared" si="2"/>
        <v>0.1131</v>
      </c>
      <c r="L25" s="47">
        <f t="shared" si="3"/>
        <v>11.31</v>
      </c>
      <c r="M25" s="47">
        <f t="shared" si="2"/>
        <v>0.1131</v>
      </c>
      <c r="N25" s="47"/>
      <c r="O25" s="47">
        <v>13.43</v>
      </c>
      <c r="P25" s="47">
        <f t="shared" si="4"/>
        <v>0.1343</v>
      </c>
      <c r="Q25" s="47">
        <f t="shared" si="5"/>
        <v>13.43</v>
      </c>
      <c r="R25" s="47">
        <f t="shared" si="4"/>
        <v>0.1343</v>
      </c>
    </row>
    <row r="26" spans="1:18" ht="12.75">
      <c r="A26" s="22"/>
      <c r="B26" s="22" t="s">
        <v>88</v>
      </c>
      <c r="C26" s="23">
        <v>0.01</v>
      </c>
      <c r="D26" s="23"/>
      <c r="E26" s="47">
        <v>1.7</v>
      </c>
      <c r="F26" s="47">
        <f t="shared" si="0"/>
        <v>0.017</v>
      </c>
      <c r="G26" s="47">
        <f t="shared" si="1"/>
        <v>1.7</v>
      </c>
      <c r="H26" s="47">
        <f t="shared" si="0"/>
        <v>0.017</v>
      </c>
      <c r="I26" s="47"/>
      <c r="J26" s="47">
        <v>1.89</v>
      </c>
      <c r="K26" s="47">
        <f t="shared" si="2"/>
        <v>0.0189</v>
      </c>
      <c r="L26" s="47">
        <f t="shared" si="3"/>
        <v>1.89</v>
      </c>
      <c r="M26" s="47">
        <f t="shared" si="2"/>
        <v>0.0189</v>
      </c>
      <c r="N26" s="47"/>
      <c r="O26" s="47">
        <v>2.31</v>
      </c>
      <c r="P26" s="47">
        <f t="shared" si="4"/>
        <v>0.023100000000000002</v>
      </c>
      <c r="Q26" s="47">
        <f t="shared" si="5"/>
        <v>2.31</v>
      </c>
      <c r="R26" s="47">
        <f t="shared" si="4"/>
        <v>0.023100000000000002</v>
      </c>
    </row>
    <row r="27" spans="1:18" ht="12.75">
      <c r="A27" s="22"/>
      <c r="B27" s="22" t="s">
        <v>89</v>
      </c>
      <c r="C27" s="23">
        <v>0.001</v>
      </c>
      <c r="D27" s="23"/>
      <c r="E27" s="47">
        <v>0.94</v>
      </c>
      <c r="F27" s="47">
        <f t="shared" si="0"/>
        <v>0.00094</v>
      </c>
      <c r="G27" s="47">
        <f t="shared" si="1"/>
        <v>0.94</v>
      </c>
      <c r="H27" s="47">
        <f t="shared" si="0"/>
        <v>0.00094</v>
      </c>
      <c r="I27" s="47"/>
      <c r="J27" s="47">
        <v>1.24</v>
      </c>
      <c r="K27" s="47">
        <f t="shared" si="2"/>
        <v>0.00124</v>
      </c>
      <c r="L27" s="47">
        <f t="shared" si="3"/>
        <v>1.24</v>
      </c>
      <c r="M27" s="47">
        <f t="shared" si="2"/>
        <v>0.00124</v>
      </c>
      <c r="N27" s="47"/>
      <c r="O27" s="47">
        <v>1.85</v>
      </c>
      <c r="P27" s="47">
        <f t="shared" si="4"/>
        <v>0.00185</v>
      </c>
      <c r="Q27" s="47">
        <f t="shared" si="5"/>
        <v>1.85</v>
      </c>
      <c r="R27" s="47">
        <f t="shared" si="4"/>
        <v>0.00185</v>
      </c>
    </row>
    <row r="28" spans="1:18" ht="12.75">
      <c r="A28" s="22"/>
      <c r="B28" s="22" t="s">
        <v>90</v>
      </c>
      <c r="C28" s="23">
        <v>0</v>
      </c>
      <c r="D28" s="23"/>
      <c r="E28" s="47">
        <f>E11+31.61</f>
        <v>32.58</v>
      </c>
      <c r="F28" s="47">
        <f t="shared" si="0"/>
        <v>0</v>
      </c>
      <c r="G28" s="47">
        <f t="shared" si="1"/>
        <v>32.58</v>
      </c>
      <c r="H28" s="47">
        <f t="shared" si="0"/>
        <v>0</v>
      </c>
      <c r="I28" s="47"/>
      <c r="J28" s="47">
        <f>J11+26.09</f>
        <v>27.02</v>
      </c>
      <c r="K28" s="47">
        <f t="shared" si="2"/>
        <v>0</v>
      </c>
      <c r="L28" s="47">
        <f t="shared" si="3"/>
        <v>27.02</v>
      </c>
      <c r="M28" s="47">
        <f t="shared" si="2"/>
        <v>0</v>
      </c>
      <c r="N28" s="47"/>
      <c r="O28" s="47">
        <f>O11+23.86</f>
        <v>24.59</v>
      </c>
      <c r="P28" s="47">
        <f t="shared" si="4"/>
        <v>0</v>
      </c>
      <c r="Q28" s="47">
        <f t="shared" si="5"/>
        <v>24.59</v>
      </c>
      <c r="R28" s="47">
        <f t="shared" si="4"/>
        <v>0</v>
      </c>
    </row>
    <row r="29" spans="1:18" ht="12.75">
      <c r="A29" s="22"/>
      <c r="B29" s="22" t="s">
        <v>91</v>
      </c>
      <c r="C29" s="23">
        <v>0</v>
      </c>
      <c r="D29" s="23"/>
      <c r="E29" s="47">
        <f>E12+31.79</f>
        <v>33.48</v>
      </c>
      <c r="F29" s="47">
        <f t="shared" si="0"/>
        <v>0</v>
      </c>
      <c r="G29" s="47">
        <f t="shared" si="1"/>
        <v>33.48</v>
      </c>
      <c r="H29" s="47">
        <f t="shared" si="0"/>
        <v>0</v>
      </c>
      <c r="I29" s="47"/>
      <c r="J29" s="47">
        <f>J12+28.15</f>
        <v>29.91</v>
      </c>
      <c r="K29" s="47">
        <f t="shared" si="2"/>
        <v>0</v>
      </c>
      <c r="L29" s="47">
        <f t="shared" si="3"/>
        <v>29.91</v>
      </c>
      <c r="M29" s="47">
        <f t="shared" si="2"/>
        <v>0</v>
      </c>
      <c r="N29" s="47"/>
      <c r="O29" s="47">
        <f>O12+38.12</f>
        <v>39.849999999999994</v>
      </c>
      <c r="P29" s="47">
        <f t="shared" si="4"/>
        <v>0</v>
      </c>
      <c r="Q29" s="47">
        <f t="shared" si="5"/>
        <v>39.849999999999994</v>
      </c>
      <c r="R29" s="47">
        <f t="shared" si="4"/>
        <v>0</v>
      </c>
    </row>
    <row r="30" spans="1:18" ht="12.75">
      <c r="A30" s="22"/>
      <c r="B30" s="22" t="s">
        <v>92</v>
      </c>
      <c r="C30" s="23">
        <v>0</v>
      </c>
      <c r="D30" s="23"/>
      <c r="E30" s="47">
        <f>E13+E14+E15+28.5</f>
        <v>34.17</v>
      </c>
      <c r="F30" s="47">
        <f t="shared" si="0"/>
        <v>0</v>
      </c>
      <c r="G30" s="47">
        <f t="shared" si="1"/>
        <v>34.17</v>
      </c>
      <c r="H30" s="47">
        <f t="shared" si="0"/>
        <v>0</v>
      </c>
      <c r="I30" s="47"/>
      <c r="J30" s="47">
        <f>J13+J14+J15+25.12</f>
        <v>30.93</v>
      </c>
      <c r="K30" s="47">
        <f t="shared" si="2"/>
        <v>0</v>
      </c>
      <c r="L30" s="47">
        <f t="shared" si="3"/>
        <v>30.93</v>
      </c>
      <c r="M30" s="47">
        <f t="shared" si="2"/>
        <v>0</v>
      </c>
      <c r="N30" s="47"/>
      <c r="O30" s="47">
        <f>O13+O14+O15+43.75</f>
        <v>53.14</v>
      </c>
      <c r="P30" s="47">
        <f t="shared" si="4"/>
        <v>0</v>
      </c>
      <c r="Q30" s="47">
        <f t="shared" si="5"/>
        <v>53.14</v>
      </c>
      <c r="R30" s="47">
        <f t="shared" si="4"/>
        <v>0</v>
      </c>
    </row>
    <row r="31" spans="1:18" ht="12.75">
      <c r="A31" s="22"/>
      <c r="B31" s="22" t="s">
        <v>93</v>
      </c>
      <c r="C31" s="23">
        <v>0</v>
      </c>
      <c r="D31" s="23"/>
      <c r="E31" s="47">
        <f>E16+7.82</f>
        <v>14.3</v>
      </c>
      <c r="F31" s="47">
        <f t="shared" si="0"/>
        <v>0</v>
      </c>
      <c r="G31" s="47">
        <f t="shared" si="1"/>
        <v>14.3</v>
      </c>
      <c r="H31" s="47">
        <f t="shared" si="0"/>
        <v>0</v>
      </c>
      <c r="I31" s="47"/>
      <c r="J31" s="47">
        <f>J16+8</f>
        <v>15.2</v>
      </c>
      <c r="K31" s="47">
        <f t="shared" si="2"/>
        <v>0</v>
      </c>
      <c r="L31" s="47">
        <f t="shared" si="3"/>
        <v>15.2</v>
      </c>
      <c r="M31" s="47">
        <f t="shared" si="2"/>
        <v>0</v>
      </c>
      <c r="N31" s="47"/>
      <c r="O31" s="47">
        <f>O16+14.52</f>
        <v>29.11</v>
      </c>
      <c r="P31" s="47">
        <f t="shared" si="4"/>
        <v>0</v>
      </c>
      <c r="Q31" s="47">
        <f t="shared" si="5"/>
        <v>29.11</v>
      </c>
      <c r="R31" s="47">
        <f t="shared" si="4"/>
        <v>0</v>
      </c>
    </row>
    <row r="32" spans="1:18" ht="12.75">
      <c r="A32" s="22"/>
      <c r="B32" s="22" t="s">
        <v>94</v>
      </c>
      <c r="C32" s="23">
        <v>0</v>
      </c>
      <c r="D32" s="23"/>
      <c r="E32" s="46">
        <f>E18+700.34</f>
        <v>727.5500000000001</v>
      </c>
      <c r="F32" s="47">
        <f t="shared" si="0"/>
        <v>0</v>
      </c>
      <c r="G32" s="47">
        <f t="shared" si="1"/>
        <v>727.5500000000001</v>
      </c>
      <c r="H32" s="47">
        <f t="shared" si="0"/>
        <v>0</v>
      </c>
      <c r="I32" s="47"/>
      <c r="J32" s="46">
        <f>J18+741.03</f>
        <v>767.53</v>
      </c>
      <c r="K32" s="47">
        <f t="shared" si="2"/>
        <v>0</v>
      </c>
      <c r="L32" s="47">
        <f t="shared" si="3"/>
        <v>767.53</v>
      </c>
      <c r="M32" s="47">
        <f t="shared" si="2"/>
        <v>0</v>
      </c>
      <c r="N32" s="47"/>
      <c r="O32" s="46">
        <f>O18+561.08</f>
        <v>581.6800000000001</v>
      </c>
      <c r="P32" s="47">
        <f t="shared" si="4"/>
        <v>0</v>
      </c>
      <c r="Q32" s="47">
        <f t="shared" si="5"/>
        <v>581.6800000000001</v>
      </c>
      <c r="R32" s="47">
        <f t="shared" si="4"/>
        <v>0</v>
      </c>
    </row>
    <row r="33" spans="1:18" ht="12.75">
      <c r="A33" s="22"/>
      <c r="B33" s="22" t="s">
        <v>95</v>
      </c>
      <c r="C33" s="23">
        <v>0</v>
      </c>
      <c r="D33" s="23"/>
      <c r="E33" s="46">
        <f>E19+E20+309.78</f>
        <v>362.72999999999996</v>
      </c>
      <c r="F33" s="47">
        <f t="shared" si="0"/>
        <v>0</v>
      </c>
      <c r="G33" s="47">
        <f t="shared" si="1"/>
        <v>362.72999999999996</v>
      </c>
      <c r="H33" s="47">
        <f t="shared" si="0"/>
        <v>0</v>
      </c>
      <c r="I33" s="47"/>
      <c r="J33" s="46">
        <f>J19+J20+299.25</f>
        <v>356.18</v>
      </c>
      <c r="K33" s="47">
        <f t="shared" si="2"/>
        <v>0</v>
      </c>
      <c r="L33" s="47">
        <f t="shared" si="3"/>
        <v>356.18</v>
      </c>
      <c r="M33" s="47">
        <f t="shared" si="2"/>
        <v>0</v>
      </c>
      <c r="N33" s="47"/>
      <c r="O33" s="46">
        <f>O19+O20+223.8</f>
        <v>270.82</v>
      </c>
      <c r="P33" s="47">
        <f t="shared" si="4"/>
        <v>0</v>
      </c>
      <c r="Q33" s="47">
        <f t="shared" si="5"/>
        <v>270.82</v>
      </c>
      <c r="R33" s="47">
        <f t="shared" si="4"/>
        <v>0</v>
      </c>
    </row>
    <row r="34" spans="1:18" ht="12.75">
      <c r="A34" s="22"/>
      <c r="B34" s="22" t="s">
        <v>96</v>
      </c>
      <c r="C34" s="23">
        <v>0</v>
      </c>
      <c r="D34" s="23"/>
      <c r="E34" s="47">
        <f>E21+E22+E23+E24+62.5</f>
        <v>108.6</v>
      </c>
      <c r="F34" s="47">
        <f t="shared" si="0"/>
        <v>0</v>
      </c>
      <c r="G34" s="47">
        <f t="shared" si="1"/>
        <v>108.6</v>
      </c>
      <c r="H34" s="47">
        <f t="shared" si="0"/>
        <v>0</v>
      </c>
      <c r="I34" s="47"/>
      <c r="J34" s="47">
        <f>J21+J22+J23+J24+65.86</f>
        <v>116.58</v>
      </c>
      <c r="K34" s="47">
        <f t="shared" si="2"/>
        <v>0</v>
      </c>
      <c r="L34" s="47">
        <f t="shared" si="3"/>
        <v>116.58</v>
      </c>
      <c r="M34" s="47">
        <f t="shared" si="2"/>
        <v>0</v>
      </c>
      <c r="N34" s="47"/>
      <c r="O34" s="47">
        <f>O21+O22+O23+O24+58.61</f>
        <v>109.28999999999999</v>
      </c>
      <c r="P34" s="47">
        <f t="shared" si="4"/>
        <v>0</v>
      </c>
      <c r="Q34" s="47">
        <f t="shared" si="5"/>
        <v>109.28999999999999</v>
      </c>
      <c r="R34" s="47">
        <f t="shared" si="4"/>
        <v>0</v>
      </c>
    </row>
    <row r="35" spans="1:18" ht="12.75">
      <c r="A35" s="22" t="s">
        <v>97</v>
      </c>
      <c r="B35" s="22" t="s">
        <v>98</v>
      </c>
      <c r="C35" s="23">
        <v>0</v>
      </c>
      <c r="D35" s="23"/>
      <c r="E35" s="47">
        <f>E25+E26+5.24</f>
        <v>15.77</v>
      </c>
      <c r="F35" s="47">
        <f t="shared" si="0"/>
        <v>0</v>
      </c>
      <c r="G35" s="47">
        <f t="shared" si="1"/>
        <v>15.77</v>
      </c>
      <c r="H35" s="47">
        <f t="shared" si="0"/>
        <v>0</v>
      </c>
      <c r="I35" s="47"/>
      <c r="J35" s="47">
        <f>J25+J26+5.79</f>
        <v>18.990000000000002</v>
      </c>
      <c r="K35" s="47">
        <f t="shared" si="2"/>
        <v>0</v>
      </c>
      <c r="L35" s="47">
        <f t="shared" si="3"/>
        <v>18.990000000000002</v>
      </c>
      <c r="M35" s="47">
        <f t="shared" si="2"/>
        <v>0</v>
      </c>
      <c r="N35" s="47"/>
      <c r="O35" s="47">
        <f>O25+O26+6.79</f>
        <v>22.53</v>
      </c>
      <c r="P35" s="47">
        <f t="shared" si="4"/>
        <v>0</v>
      </c>
      <c r="Q35" s="47">
        <f t="shared" si="5"/>
        <v>22.53</v>
      </c>
      <c r="R35" s="47">
        <f t="shared" si="4"/>
        <v>0</v>
      </c>
    </row>
    <row r="36" spans="1:18" ht="12.75">
      <c r="A36" s="22"/>
      <c r="B36" s="22"/>
      <c r="C36" s="22"/>
      <c r="D36" s="22"/>
      <c r="E36" s="46"/>
      <c r="F36" s="42"/>
      <c r="G36" s="46"/>
      <c r="H36" s="42"/>
      <c r="I36" s="46"/>
      <c r="J36" s="22"/>
      <c r="K36" s="24"/>
      <c r="L36" s="24"/>
      <c r="M36" s="24"/>
      <c r="N36" s="46"/>
      <c r="O36" s="22"/>
      <c r="P36" s="41"/>
      <c r="Q36" s="46"/>
      <c r="R36" s="41"/>
    </row>
    <row r="37" spans="1:18" ht="12.75">
      <c r="A37" s="22"/>
      <c r="B37" s="22" t="s">
        <v>99</v>
      </c>
      <c r="C37" s="22"/>
      <c r="D37" s="22"/>
      <c r="E37" s="46"/>
      <c r="F37" s="46">
        <v>128.451</v>
      </c>
      <c r="G37" s="46">
        <v>128.451</v>
      </c>
      <c r="H37" s="46">
        <v>128.451</v>
      </c>
      <c r="I37" s="46"/>
      <c r="J37" s="46"/>
      <c r="K37" s="46">
        <v>130.855</v>
      </c>
      <c r="L37" s="46">
        <v>130.855</v>
      </c>
      <c r="M37" s="46">
        <v>130.855</v>
      </c>
      <c r="N37" s="46"/>
      <c r="O37" s="46"/>
      <c r="P37" s="46">
        <v>129.212</v>
      </c>
      <c r="Q37" s="46">
        <v>129.212</v>
      </c>
      <c r="R37" s="46">
        <v>129.212</v>
      </c>
    </row>
    <row r="38" spans="1:18" ht="12.75">
      <c r="A38" s="22"/>
      <c r="B38" s="22" t="s">
        <v>100</v>
      </c>
      <c r="C38" s="22"/>
      <c r="D38" s="22"/>
      <c r="E38" s="46"/>
      <c r="F38" s="46">
        <v>15.7</v>
      </c>
      <c r="G38" s="46">
        <v>15.7</v>
      </c>
      <c r="H38" s="46">
        <v>15.7</v>
      </c>
      <c r="I38" s="46"/>
      <c r="J38" s="46"/>
      <c r="K38" s="24">
        <v>16.2</v>
      </c>
      <c r="L38" s="24">
        <v>16.2</v>
      </c>
      <c r="M38" s="24">
        <v>16.2</v>
      </c>
      <c r="N38" s="46"/>
      <c r="O38" s="46"/>
      <c r="P38" s="46">
        <v>15.9</v>
      </c>
      <c r="Q38" s="46">
        <v>15.9</v>
      </c>
      <c r="R38" s="46">
        <v>15.9</v>
      </c>
    </row>
    <row r="39" spans="1:18" ht="12.75">
      <c r="A39" s="22"/>
      <c r="B39" s="22"/>
      <c r="C39" s="22"/>
      <c r="D39" s="22"/>
      <c r="E39" s="46"/>
      <c r="F39" s="22"/>
      <c r="G39" s="46"/>
      <c r="H39" s="22"/>
      <c r="I39" s="22"/>
      <c r="J39" s="46"/>
      <c r="K39" s="24"/>
      <c r="L39" s="24"/>
      <c r="M39" s="24"/>
      <c r="N39" s="46"/>
      <c r="O39" s="46"/>
      <c r="P39" s="46"/>
      <c r="Q39" s="46"/>
      <c r="R39" s="46"/>
    </row>
    <row r="40" spans="1:18" ht="12.75">
      <c r="A40" s="22"/>
      <c r="B40" s="22" t="s">
        <v>101</v>
      </c>
      <c r="C40" s="42"/>
      <c r="D40" s="42"/>
      <c r="E40" s="24"/>
      <c r="F40" s="47">
        <f>SUM(F11:F27)</f>
        <v>27.500110000000003</v>
      </c>
      <c r="G40" s="24">
        <f>SUM(G27,G35,G34,G33,G32,G17,G31,G30,G29,G28)</f>
        <v>1331.69</v>
      </c>
      <c r="H40" s="47">
        <f>SUM(H11:H27)</f>
        <v>27.500110000000003</v>
      </c>
      <c r="I40" s="42"/>
      <c r="J40" s="24"/>
      <c r="K40" s="47">
        <f>SUM(K11:K27)</f>
        <v>29.00687</v>
      </c>
      <c r="L40" s="24">
        <f>SUM(L27,L35,L34,L33,L32,L17,L31,L30,L29,L28)</f>
        <v>1365.7100000000003</v>
      </c>
      <c r="M40" s="47">
        <f>SUM(M11:M27)</f>
        <v>29.00687</v>
      </c>
      <c r="N40" s="42"/>
      <c r="O40" s="46"/>
      <c r="P40" s="47">
        <f>SUM(P11:P27)</f>
        <v>25.336780000000005</v>
      </c>
      <c r="Q40" s="24">
        <f>SUM(Q27,Q35,Q34,Q33,Q32,Q17,Q31,Q30,Q29,Q28)</f>
        <v>1137.49</v>
      </c>
      <c r="R40" s="47">
        <f>SUM(R11:R27)</f>
        <v>25.336780000000005</v>
      </c>
    </row>
    <row r="41" spans="1:18" ht="12.75">
      <c r="A41" s="22"/>
      <c r="B41" s="22" t="s">
        <v>102</v>
      </c>
      <c r="C41" s="42"/>
      <c r="D41" s="24">
        <f>(F41-H41)*2/F41*100</f>
        <v>0</v>
      </c>
      <c r="E41" s="46"/>
      <c r="F41" s="47">
        <f>(F40/F37/0.0283*(21-7)/(21-F38))</f>
        <v>19.983091268554563</v>
      </c>
      <c r="G41" s="46">
        <f>(G40/G37/0.0283*(21-7)/(21-G38))</f>
        <v>967.6791406078531</v>
      </c>
      <c r="H41" s="47">
        <f>(H40/H37/0.0283*(21-7)/(21-H38))</f>
        <v>19.983091268554563</v>
      </c>
      <c r="I41" s="24">
        <f>(K41-M41)*2/K41*100</f>
        <v>0</v>
      </c>
      <c r="J41" s="46"/>
      <c r="K41" s="47">
        <f>K40/K37/0.0283*(21-7)/(21-K38)</f>
        <v>22.846038775780148</v>
      </c>
      <c r="L41" s="46">
        <f>(L40/L37/0.0283*(21-7)/(21-L38))</f>
        <v>1075.643929057865</v>
      </c>
      <c r="M41" s="47">
        <f>M40/M37/0.0283*(21-7)/(21-M38)</f>
        <v>22.846038775780148</v>
      </c>
      <c r="N41" s="24">
        <f>(P41-R41)*2/P41*100</f>
        <v>0</v>
      </c>
      <c r="O41" s="46"/>
      <c r="P41" s="47">
        <f>P40/P37/0.0283*(21-7)/(21-P38)</f>
        <v>19.020415321520872</v>
      </c>
      <c r="Q41" s="46">
        <f>(Q40/Q37/0.0283*(21-7)/(21-Q38))</f>
        <v>853.9179889503232</v>
      </c>
      <c r="R41" s="47">
        <f>R40/R37/0.0283*(21-7)/(21-R38)</f>
        <v>19.020415321520872</v>
      </c>
    </row>
    <row r="42" spans="1:18" ht="12.75">
      <c r="A42" s="22"/>
      <c r="B42" s="22"/>
      <c r="C42" s="22"/>
      <c r="D42" s="22"/>
      <c r="E42" s="47"/>
      <c r="F42" s="42"/>
      <c r="G42" s="47"/>
      <c r="H42" s="42"/>
      <c r="I42" s="47"/>
      <c r="J42" s="47"/>
      <c r="K42" s="47"/>
      <c r="L42" s="47"/>
      <c r="M42" s="47"/>
      <c r="N42" s="47"/>
      <c r="O42" s="47"/>
      <c r="P42" s="41"/>
      <c r="Q42" s="47"/>
      <c r="R42" s="41"/>
    </row>
    <row r="43" spans="1:18" ht="12.75">
      <c r="A43" s="46"/>
      <c r="B43" s="22" t="s">
        <v>103</v>
      </c>
      <c r="C43" s="47">
        <f>AVERAGE(H41,M41,R41)</f>
        <v>20.61651512195186</v>
      </c>
      <c r="D43" s="46"/>
      <c r="E43" s="48"/>
      <c r="F43" s="42"/>
      <c r="G43" s="46"/>
      <c r="H43" s="42"/>
      <c r="I43" s="46"/>
      <c r="J43" s="46"/>
      <c r="K43" s="46"/>
      <c r="L43" s="46"/>
      <c r="M43" s="46"/>
      <c r="N43" s="46"/>
      <c r="O43" s="46"/>
      <c r="P43" s="41"/>
      <c r="Q43" s="46"/>
      <c r="R43" s="41"/>
    </row>
    <row r="44" spans="1:18" ht="12.75">
      <c r="A44" s="22"/>
      <c r="B44" s="22" t="s">
        <v>104</v>
      </c>
      <c r="C44" s="46">
        <f>AVERAGE(G41,L41,Q41)</f>
        <v>965.7470195386804</v>
      </c>
      <c r="D44" s="22"/>
      <c r="E44" s="41"/>
      <c r="F44" s="42"/>
      <c r="G44" s="41"/>
      <c r="H44" s="42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</sheetData>
  <printOptions headings="1" horizontalCentered="1"/>
  <pageMargins left="0.25" right="0.25" top="0.5" bottom="0.5" header="0.25" footer="0.25"/>
  <pageSetup horizontalDpi="300" verticalDpi="300" orientation="landscape" pageOrder="overThenDown" scale="80" r:id="rId1"/>
  <headerFooter alignWithMargins="0">
    <oddFooter>&amp;C&amp;P, &amp;A, 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B34" sqref="A34:IV473"/>
    </sheetView>
  </sheetViews>
  <sheetFormatPr defaultColWidth="9.140625" defaultRowHeight="12.75"/>
  <cols>
    <col min="1" max="1" width="1.7109375" style="97" customWidth="1"/>
    <col min="2" max="2" width="20.00390625" style="97" customWidth="1"/>
    <col min="3" max="3" width="9.421875" style="97" customWidth="1"/>
    <col min="4" max="4" width="4.421875" style="97" customWidth="1"/>
    <col min="5" max="5" width="9.421875" style="97" customWidth="1"/>
    <col min="6" max="6" width="9.8515625" style="97" customWidth="1"/>
    <col min="7" max="7" width="9.140625" style="97" customWidth="1"/>
    <col min="8" max="8" width="9.8515625" style="97" customWidth="1"/>
    <col min="9" max="9" width="3.421875" style="97" customWidth="1"/>
    <col min="10" max="10" width="9.140625" style="97" customWidth="1"/>
    <col min="11" max="11" width="9.28125" style="97" customWidth="1"/>
    <col min="12" max="12" width="9.140625" style="97" customWidth="1"/>
    <col min="13" max="13" width="9.28125" style="97" customWidth="1"/>
    <col min="14" max="14" width="4.7109375" style="97" customWidth="1"/>
    <col min="15" max="15" width="9.140625" style="97" customWidth="1"/>
    <col min="16" max="16" width="9.00390625" style="97" customWidth="1"/>
    <col min="17" max="17" width="9.140625" style="97" customWidth="1"/>
    <col min="18" max="18" width="9.00390625" style="97" customWidth="1"/>
    <col min="19" max="16384" width="9.140625" style="97" customWidth="1"/>
  </cols>
  <sheetData>
    <row r="1" spans="1:18" ht="12.75">
      <c r="A1" s="40" t="s">
        <v>64</v>
      </c>
      <c r="B1" s="22"/>
      <c r="C1" s="22"/>
      <c r="D1" s="22"/>
      <c r="E1" s="41"/>
      <c r="F1" s="42"/>
      <c r="G1" s="41"/>
      <c r="H1" s="42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ht="12.75">
      <c r="A2" s="22" t="s">
        <v>255</v>
      </c>
      <c r="B2" s="22"/>
      <c r="C2" s="22"/>
      <c r="D2" s="22"/>
      <c r="E2" s="41"/>
      <c r="F2" s="42"/>
      <c r="G2" s="41"/>
      <c r="H2" s="42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2.75">
      <c r="A3" s="22" t="s">
        <v>65</v>
      </c>
      <c r="B3" s="22"/>
      <c r="C3" s="8" t="s">
        <v>168</v>
      </c>
      <c r="D3" s="8"/>
      <c r="E3" s="41"/>
      <c r="F3" s="42"/>
      <c r="G3" s="41"/>
      <c r="H3" s="42"/>
      <c r="I3" s="41"/>
      <c r="J3" s="43"/>
      <c r="K3" s="41"/>
      <c r="L3" s="41"/>
      <c r="M3" s="41"/>
      <c r="N3" s="41"/>
      <c r="O3" s="41"/>
      <c r="P3" s="41"/>
      <c r="Q3" s="41"/>
      <c r="R3" s="41"/>
    </row>
    <row r="4" spans="1:18" ht="12.75">
      <c r="A4" s="22" t="s">
        <v>66</v>
      </c>
      <c r="B4" s="22"/>
      <c r="C4" s="55" t="s">
        <v>163</v>
      </c>
      <c r="D4" s="8" t="s">
        <v>121</v>
      </c>
      <c r="E4" s="44"/>
      <c r="F4" s="45"/>
      <c r="G4" s="44"/>
      <c r="H4" s="45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ht="12.75">
      <c r="A5" s="22" t="s">
        <v>67</v>
      </c>
      <c r="B5" s="22"/>
      <c r="C5" s="98" t="s">
        <v>156</v>
      </c>
      <c r="D5" s="22"/>
      <c r="E5" s="22"/>
      <c r="F5" s="22"/>
      <c r="G5" s="22"/>
      <c r="H5" s="22"/>
      <c r="I5" s="22"/>
      <c r="J5" s="22"/>
      <c r="K5" s="41"/>
      <c r="L5" s="22"/>
      <c r="M5" s="41"/>
      <c r="N5" s="41"/>
      <c r="O5" s="41"/>
      <c r="P5" s="41"/>
      <c r="Q5" s="41"/>
      <c r="R5" s="41"/>
    </row>
    <row r="6" spans="1:18" ht="14.25" customHeight="1">
      <c r="A6" s="22"/>
      <c r="B6" s="22"/>
      <c r="C6" s="23"/>
      <c r="D6" s="23"/>
      <c r="E6" s="25"/>
      <c r="F6" s="42"/>
      <c r="G6" s="25"/>
      <c r="H6" s="42"/>
      <c r="I6" s="41"/>
      <c r="J6" s="25"/>
      <c r="K6" s="41"/>
      <c r="L6" s="25"/>
      <c r="M6" s="41"/>
      <c r="N6" s="41"/>
      <c r="O6" s="25"/>
      <c r="P6" s="41"/>
      <c r="Q6" s="25"/>
      <c r="R6" s="41"/>
    </row>
    <row r="7" spans="1:18" ht="12.75">
      <c r="A7" s="22"/>
      <c r="B7" s="22"/>
      <c r="C7" s="23" t="s">
        <v>68</v>
      </c>
      <c r="D7" s="23"/>
      <c r="E7" s="99" t="s">
        <v>29</v>
      </c>
      <c r="F7" s="99"/>
      <c r="G7" s="99"/>
      <c r="H7" s="99"/>
      <c r="I7" s="100"/>
      <c r="J7" s="99" t="s">
        <v>30</v>
      </c>
      <c r="K7" s="99"/>
      <c r="L7" s="99"/>
      <c r="M7" s="99"/>
      <c r="N7" s="100"/>
      <c r="O7" s="99" t="s">
        <v>31</v>
      </c>
      <c r="P7" s="99"/>
      <c r="Q7" s="99"/>
      <c r="R7" s="99"/>
    </row>
    <row r="8" spans="1:18" ht="12.75">
      <c r="A8" s="22"/>
      <c r="B8" s="22"/>
      <c r="C8" s="23" t="s">
        <v>69</v>
      </c>
      <c r="D8" s="22"/>
      <c r="E8" s="25" t="s">
        <v>62</v>
      </c>
      <c r="F8" s="45" t="s">
        <v>70</v>
      </c>
      <c r="G8" s="25" t="s">
        <v>62</v>
      </c>
      <c r="H8" s="45" t="s">
        <v>70</v>
      </c>
      <c r="I8" s="41"/>
      <c r="J8" s="25" t="s">
        <v>62</v>
      </c>
      <c r="K8" s="25" t="s">
        <v>71</v>
      </c>
      <c r="L8" s="25" t="s">
        <v>62</v>
      </c>
      <c r="M8" s="25" t="s">
        <v>71</v>
      </c>
      <c r="N8" s="41"/>
      <c r="O8" s="25" t="s">
        <v>62</v>
      </c>
      <c r="P8" s="25" t="s">
        <v>71</v>
      </c>
      <c r="Q8" s="25" t="s">
        <v>62</v>
      </c>
      <c r="R8" s="25" t="s">
        <v>71</v>
      </c>
    </row>
    <row r="9" spans="1:18" ht="12.75">
      <c r="A9" s="22"/>
      <c r="B9" s="22"/>
      <c r="C9" s="23"/>
      <c r="D9" s="22"/>
      <c r="E9" s="25" t="s">
        <v>254</v>
      </c>
      <c r="F9" s="25" t="s">
        <v>254</v>
      </c>
      <c r="G9" s="25" t="s">
        <v>72</v>
      </c>
      <c r="H9" s="45" t="s">
        <v>72</v>
      </c>
      <c r="I9" s="41"/>
      <c r="J9" s="25" t="s">
        <v>254</v>
      </c>
      <c r="K9" s="25" t="s">
        <v>254</v>
      </c>
      <c r="L9" s="25" t="s">
        <v>72</v>
      </c>
      <c r="M9" s="45" t="s">
        <v>72</v>
      </c>
      <c r="N9" s="41"/>
      <c r="O9" s="25" t="s">
        <v>254</v>
      </c>
      <c r="P9" s="25" t="s">
        <v>254</v>
      </c>
      <c r="Q9" s="25" t="s">
        <v>72</v>
      </c>
      <c r="R9" s="45" t="s">
        <v>72</v>
      </c>
    </row>
    <row r="10" spans="1:18" ht="12.75">
      <c r="A10" s="22" t="s">
        <v>157</v>
      </c>
      <c r="B10" s="22"/>
      <c r="C10" s="22"/>
      <c r="D10" s="22"/>
      <c r="E10" s="41"/>
      <c r="F10" s="42"/>
      <c r="G10" s="41"/>
      <c r="H10" s="42"/>
      <c r="I10" s="41"/>
      <c r="J10" s="41"/>
      <c r="K10" s="41"/>
      <c r="L10" s="41"/>
      <c r="M10" s="41"/>
      <c r="N10" s="41"/>
      <c r="O10" s="24"/>
      <c r="P10" s="41"/>
      <c r="Q10" s="41"/>
      <c r="R10" s="41"/>
    </row>
    <row r="11" spans="1:18" ht="12.75">
      <c r="A11" s="22"/>
      <c r="B11" s="22" t="s">
        <v>73</v>
      </c>
      <c r="C11" s="23">
        <v>1</v>
      </c>
      <c r="D11" s="23"/>
      <c r="E11" s="24">
        <v>7.84</v>
      </c>
      <c r="F11" s="63">
        <f aca="true" t="shared" si="0" ref="F11:H35">IF(E11="","",E11*$C11)</f>
        <v>7.84</v>
      </c>
      <c r="G11" s="63">
        <f aca="true" t="shared" si="1" ref="G11:G35">IF(E11=0,"",IF(D11="nd",E11/2,E11))</f>
        <v>7.84</v>
      </c>
      <c r="H11" s="63">
        <f t="shared" si="0"/>
        <v>7.84</v>
      </c>
      <c r="I11" s="63"/>
      <c r="J11" s="24">
        <v>11.3</v>
      </c>
      <c r="K11" s="63">
        <f aca="true" t="shared" si="2" ref="K11:M35">IF(J11="","",J11*$C11)</f>
        <v>11.3</v>
      </c>
      <c r="L11" s="63">
        <f aca="true" t="shared" si="3" ref="L11:L35">IF(J11=0,"",IF(I11="nd",J11/2,J11))</f>
        <v>11.3</v>
      </c>
      <c r="M11" s="63">
        <f t="shared" si="2"/>
        <v>11.3</v>
      </c>
      <c r="N11" s="63"/>
      <c r="O11" s="24">
        <v>15</v>
      </c>
      <c r="P11" s="63">
        <f aca="true" t="shared" si="4" ref="P11:R35">IF(O11="","",O11*$C11)</f>
        <v>15</v>
      </c>
      <c r="Q11" s="63">
        <f aca="true" t="shared" si="5" ref="Q11:Q35">IF(O11=0,"",IF(N11="nd",O11/2,O11))</f>
        <v>15</v>
      </c>
      <c r="R11" s="63">
        <f t="shared" si="4"/>
        <v>15</v>
      </c>
    </row>
    <row r="12" spans="1:18" ht="12.75">
      <c r="A12" s="22"/>
      <c r="B12" s="22" t="s">
        <v>74</v>
      </c>
      <c r="C12" s="23">
        <v>0.5</v>
      </c>
      <c r="D12" s="23"/>
      <c r="E12" s="24">
        <v>20.9</v>
      </c>
      <c r="F12" s="63">
        <f t="shared" si="0"/>
        <v>10.45</v>
      </c>
      <c r="G12" s="63">
        <f t="shared" si="1"/>
        <v>20.9</v>
      </c>
      <c r="H12" s="63">
        <f t="shared" si="0"/>
        <v>10.45</v>
      </c>
      <c r="I12" s="63"/>
      <c r="J12" s="24">
        <v>21.7</v>
      </c>
      <c r="K12" s="63">
        <f t="shared" si="2"/>
        <v>10.85</v>
      </c>
      <c r="L12" s="63">
        <f t="shared" si="3"/>
        <v>21.7</v>
      </c>
      <c r="M12" s="63">
        <f t="shared" si="2"/>
        <v>10.85</v>
      </c>
      <c r="N12" s="63"/>
      <c r="O12" s="24">
        <v>28.9</v>
      </c>
      <c r="P12" s="63">
        <f t="shared" si="4"/>
        <v>14.45</v>
      </c>
      <c r="Q12" s="63">
        <f t="shared" si="5"/>
        <v>28.9</v>
      </c>
      <c r="R12" s="63">
        <f t="shared" si="4"/>
        <v>14.45</v>
      </c>
    </row>
    <row r="13" spans="1:18" ht="12.75">
      <c r="A13" s="22"/>
      <c r="B13" s="22" t="s">
        <v>75</v>
      </c>
      <c r="C13" s="23">
        <v>0.1</v>
      </c>
      <c r="D13" s="23"/>
      <c r="E13" s="24">
        <v>18.4</v>
      </c>
      <c r="F13" s="63">
        <f t="shared" si="0"/>
        <v>1.8399999999999999</v>
      </c>
      <c r="G13" s="63">
        <f t="shared" si="1"/>
        <v>18.4</v>
      </c>
      <c r="H13" s="63">
        <f t="shared" si="0"/>
        <v>1.8399999999999999</v>
      </c>
      <c r="I13" s="63"/>
      <c r="J13" s="24">
        <v>23.8</v>
      </c>
      <c r="K13" s="63">
        <f t="shared" si="2"/>
        <v>2.3800000000000003</v>
      </c>
      <c r="L13" s="63">
        <f t="shared" si="3"/>
        <v>23.8</v>
      </c>
      <c r="M13" s="63">
        <f t="shared" si="2"/>
        <v>2.3800000000000003</v>
      </c>
      <c r="N13" s="63"/>
      <c r="O13" s="24">
        <v>22.4</v>
      </c>
      <c r="P13" s="63">
        <f t="shared" si="4"/>
        <v>2.2399999999999998</v>
      </c>
      <c r="Q13" s="63">
        <f t="shared" si="5"/>
        <v>22.4</v>
      </c>
      <c r="R13" s="63">
        <f t="shared" si="4"/>
        <v>2.2399999999999998</v>
      </c>
    </row>
    <row r="14" spans="1:18" ht="12.75">
      <c r="A14" s="22"/>
      <c r="B14" s="22" t="s">
        <v>76</v>
      </c>
      <c r="C14" s="23">
        <v>0.1</v>
      </c>
      <c r="D14" s="23"/>
      <c r="E14" s="24">
        <v>58.2</v>
      </c>
      <c r="F14" s="63">
        <f t="shared" si="0"/>
        <v>5.82</v>
      </c>
      <c r="G14" s="63">
        <f t="shared" si="1"/>
        <v>58.2</v>
      </c>
      <c r="H14" s="63">
        <f t="shared" si="0"/>
        <v>5.82</v>
      </c>
      <c r="I14" s="63"/>
      <c r="J14" s="24">
        <v>72</v>
      </c>
      <c r="K14" s="63">
        <f t="shared" si="2"/>
        <v>7.2</v>
      </c>
      <c r="L14" s="63">
        <f t="shared" si="3"/>
        <v>72</v>
      </c>
      <c r="M14" s="63">
        <f t="shared" si="2"/>
        <v>7.2</v>
      </c>
      <c r="N14" s="63"/>
      <c r="O14" s="24">
        <v>74.5</v>
      </c>
      <c r="P14" s="63">
        <f t="shared" si="4"/>
        <v>7.45</v>
      </c>
      <c r="Q14" s="63">
        <f t="shared" si="5"/>
        <v>74.5</v>
      </c>
      <c r="R14" s="63">
        <f t="shared" si="4"/>
        <v>7.45</v>
      </c>
    </row>
    <row r="15" spans="1:18" ht="12.75">
      <c r="A15" s="22"/>
      <c r="B15" s="22" t="s">
        <v>77</v>
      </c>
      <c r="C15" s="23">
        <v>0.1</v>
      </c>
      <c r="D15" s="23"/>
      <c r="E15" s="24">
        <v>30.7</v>
      </c>
      <c r="F15" s="63">
        <f t="shared" si="0"/>
        <v>3.0700000000000003</v>
      </c>
      <c r="G15" s="63">
        <f t="shared" si="1"/>
        <v>30.7</v>
      </c>
      <c r="H15" s="63">
        <f t="shared" si="0"/>
        <v>3.0700000000000003</v>
      </c>
      <c r="I15" s="63"/>
      <c r="J15" s="24">
        <v>38.4</v>
      </c>
      <c r="K15" s="63">
        <f t="shared" si="2"/>
        <v>3.84</v>
      </c>
      <c r="L15" s="63">
        <f t="shared" si="3"/>
        <v>38.4</v>
      </c>
      <c r="M15" s="63">
        <f t="shared" si="2"/>
        <v>3.84</v>
      </c>
      <c r="N15" s="63"/>
      <c r="O15" s="24">
        <v>38.7</v>
      </c>
      <c r="P15" s="63">
        <f t="shared" si="4"/>
        <v>3.8700000000000006</v>
      </c>
      <c r="Q15" s="63">
        <f t="shared" si="5"/>
        <v>38.7</v>
      </c>
      <c r="R15" s="63">
        <f t="shared" si="4"/>
        <v>3.8700000000000006</v>
      </c>
    </row>
    <row r="16" spans="1:18" ht="12.75">
      <c r="A16" s="22"/>
      <c r="B16" s="22" t="s">
        <v>78</v>
      </c>
      <c r="C16" s="23">
        <v>0.01</v>
      </c>
      <c r="D16" s="23"/>
      <c r="E16" s="24">
        <v>197</v>
      </c>
      <c r="F16" s="63">
        <f t="shared" si="0"/>
        <v>1.97</v>
      </c>
      <c r="G16" s="63">
        <f t="shared" si="1"/>
        <v>197</v>
      </c>
      <c r="H16" s="63">
        <f t="shared" si="0"/>
        <v>1.97</v>
      </c>
      <c r="I16" s="63"/>
      <c r="J16" s="24">
        <v>410</v>
      </c>
      <c r="K16" s="63">
        <f t="shared" si="2"/>
        <v>4.1</v>
      </c>
      <c r="L16" s="63">
        <f t="shared" si="3"/>
        <v>410</v>
      </c>
      <c r="M16" s="63">
        <f t="shared" si="2"/>
        <v>4.1</v>
      </c>
      <c r="N16" s="63"/>
      <c r="O16" s="24">
        <v>269</v>
      </c>
      <c r="P16" s="63">
        <f t="shared" si="4"/>
        <v>2.69</v>
      </c>
      <c r="Q16" s="63">
        <f t="shared" si="5"/>
        <v>269</v>
      </c>
      <c r="R16" s="63">
        <f t="shared" si="4"/>
        <v>2.69</v>
      </c>
    </row>
    <row r="17" spans="1:18" ht="12.75">
      <c r="A17" s="22"/>
      <c r="B17" s="22" t="s">
        <v>79</v>
      </c>
      <c r="C17" s="23">
        <v>0.001</v>
      </c>
      <c r="D17" s="23"/>
      <c r="E17" s="24">
        <v>365</v>
      </c>
      <c r="F17" s="63">
        <f t="shared" si="0"/>
        <v>0.365</v>
      </c>
      <c r="G17" s="63">
        <f t="shared" si="1"/>
        <v>365</v>
      </c>
      <c r="H17" s="63">
        <f t="shared" si="0"/>
        <v>0.365</v>
      </c>
      <c r="I17" s="63"/>
      <c r="J17" s="24">
        <v>1850</v>
      </c>
      <c r="K17" s="63">
        <f t="shared" si="2"/>
        <v>1.85</v>
      </c>
      <c r="L17" s="63">
        <f t="shared" si="3"/>
        <v>1850</v>
      </c>
      <c r="M17" s="63">
        <f t="shared" si="2"/>
        <v>1.85</v>
      </c>
      <c r="N17" s="63"/>
      <c r="O17" s="24">
        <v>392</v>
      </c>
      <c r="P17" s="63">
        <f t="shared" si="4"/>
        <v>0.392</v>
      </c>
      <c r="Q17" s="63">
        <f t="shared" si="5"/>
        <v>392</v>
      </c>
      <c r="R17" s="63">
        <f t="shared" si="4"/>
        <v>0.392</v>
      </c>
    </row>
    <row r="18" spans="1:18" ht="12.75">
      <c r="A18" s="22"/>
      <c r="B18" s="22" t="s">
        <v>80</v>
      </c>
      <c r="C18" s="23">
        <v>0.1</v>
      </c>
      <c r="D18" s="23"/>
      <c r="E18" s="24">
        <v>112</v>
      </c>
      <c r="F18" s="63">
        <f t="shared" si="0"/>
        <v>11.200000000000001</v>
      </c>
      <c r="G18" s="63">
        <f t="shared" si="1"/>
        <v>112</v>
      </c>
      <c r="H18" s="63">
        <f t="shared" si="0"/>
        <v>11.200000000000001</v>
      </c>
      <c r="I18" s="63"/>
      <c r="J18" s="24">
        <v>200</v>
      </c>
      <c r="K18" s="63">
        <f t="shared" si="2"/>
        <v>20</v>
      </c>
      <c r="L18" s="63">
        <f t="shared" si="3"/>
        <v>200</v>
      </c>
      <c r="M18" s="63">
        <f t="shared" si="2"/>
        <v>20</v>
      </c>
      <c r="N18" s="63"/>
      <c r="O18" s="24">
        <v>340</v>
      </c>
      <c r="P18" s="63">
        <f t="shared" si="4"/>
        <v>34</v>
      </c>
      <c r="Q18" s="63">
        <f t="shared" si="5"/>
        <v>340</v>
      </c>
      <c r="R18" s="63">
        <f t="shared" si="4"/>
        <v>34</v>
      </c>
    </row>
    <row r="19" spans="1:18" ht="12.75">
      <c r="A19" s="22"/>
      <c r="B19" s="22" t="s">
        <v>81</v>
      </c>
      <c r="C19" s="23">
        <v>0.05</v>
      </c>
      <c r="D19" s="23"/>
      <c r="E19" s="24">
        <v>91.7</v>
      </c>
      <c r="F19" s="63">
        <f t="shared" si="0"/>
        <v>4.585</v>
      </c>
      <c r="G19" s="63">
        <f t="shared" si="1"/>
        <v>91.7</v>
      </c>
      <c r="H19" s="63">
        <f t="shared" si="0"/>
        <v>4.585</v>
      </c>
      <c r="I19" s="63"/>
      <c r="J19" s="24">
        <v>117</v>
      </c>
      <c r="K19" s="63">
        <f t="shared" si="2"/>
        <v>5.8500000000000005</v>
      </c>
      <c r="L19" s="63">
        <f t="shared" si="3"/>
        <v>117</v>
      </c>
      <c r="M19" s="63">
        <f t="shared" si="2"/>
        <v>5.8500000000000005</v>
      </c>
      <c r="N19" s="63"/>
      <c r="O19" s="24">
        <v>201</v>
      </c>
      <c r="P19" s="63">
        <f t="shared" si="4"/>
        <v>10.05</v>
      </c>
      <c r="Q19" s="63">
        <f t="shared" si="5"/>
        <v>201</v>
      </c>
      <c r="R19" s="63">
        <f t="shared" si="4"/>
        <v>10.05</v>
      </c>
    </row>
    <row r="20" spans="1:18" ht="12.75">
      <c r="A20" s="22"/>
      <c r="B20" s="22" t="s">
        <v>82</v>
      </c>
      <c r="C20" s="23">
        <v>0.5</v>
      </c>
      <c r="D20" s="23"/>
      <c r="E20" s="24">
        <v>154</v>
      </c>
      <c r="F20" s="63">
        <f t="shared" si="0"/>
        <v>77</v>
      </c>
      <c r="G20" s="63">
        <f t="shared" si="1"/>
        <v>154</v>
      </c>
      <c r="H20" s="63">
        <f t="shared" si="0"/>
        <v>77</v>
      </c>
      <c r="I20" s="63"/>
      <c r="J20" s="24">
        <v>183</v>
      </c>
      <c r="K20" s="63">
        <f t="shared" si="2"/>
        <v>91.5</v>
      </c>
      <c r="L20" s="63">
        <f t="shared" si="3"/>
        <v>183</v>
      </c>
      <c r="M20" s="63">
        <f t="shared" si="2"/>
        <v>91.5</v>
      </c>
      <c r="N20" s="63"/>
      <c r="O20" s="24">
        <v>295</v>
      </c>
      <c r="P20" s="63">
        <f t="shared" si="4"/>
        <v>147.5</v>
      </c>
      <c r="Q20" s="63">
        <f t="shared" si="5"/>
        <v>295</v>
      </c>
      <c r="R20" s="63">
        <f t="shared" si="4"/>
        <v>147.5</v>
      </c>
    </row>
    <row r="21" spans="1:18" ht="12.75">
      <c r="A21" s="22"/>
      <c r="B21" s="22" t="s">
        <v>83</v>
      </c>
      <c r="C21" s="23">
        <v>0.1</v>
      </c>
      <c r="D21" s="23"/>
      <c r="E21" s="24">
        <v>109</v>
      </c>
      <c r="F21" s="63">
        <f t="shared" si="0"/>
        <v>10.9</v>
      </c>
      <c r="G21" s="63">
        <f t="shared" si="1"/>
        <v>109</v>
      </c>
      <c r="H21" s="63">
        <f t="shared" si="0"/>
        <v>10.9</v>
      </c>
      <c r="I21" s="63"/>
      <c r="J21" s="24">
        <v>110</v>
      </c>
      <c r="K21" s="63">
        <f t="shared" si="2"/>
        <v>11</v>
      </c>
      <c r="L21" s="63">
        <f t="shared" si="3"/>
        <v>110</v>
      </c>
      <c r="M21" s="63">
        <f t="shared" si="2"/>
        <v>11</v>
      </c>
      <c r="N21" s="63"/>
      <c r="O21" s="24">
        <v>153</v>
      </c>
      <c r="P21" s="63">
        <f t="shared" si="4"/>
        <v>15.3</v>
      </c>
      <c r="Q21" s="63">
        <f t="shared" si="5"/>
        <v>153</v>
      </c>
      <c r="R21" s="63">
        <f t="shared" si="4"/>
        <v>15.3</v>
      </c>
    </row>
    <row r="22" spans="1:18" ht="12.75">
      <c r="A22" s="22"/>
      <c r="B22" s="22" t="s">
        <v>84</v>
      </c>
      <c r="C22" s="23">
        <v>0.1</v>
      </c>
      <c r="D22" s="23"/>
      <c r="E22" s="24">
        <v>89.4</v>
      </c>
      <c r="F22" s="63">
        <f t="shared" si="0"/>
        <v>8.940000000000001</v>
      </c>
      <c r="G22" s="63">
        <f t="shared" si="1"/>
        <v>89.4</v>
      </c>
      <c r="H22" s="63">
        <f t="shared" si="0"/>
        <v>8.940000000000001</v>
      </c>
      <c r="I22" s="63"/>
      <c r="J22" s="24">
        <v>92.6</v>
      </c>
      <c r="K22" s="63">
        <f t="shared" si="2"/>
        <v>9.26</v>
      </c>
      <c r="L22" s="63">
        <f t="shared" si="3"/>
        <v>92.6</v>
      </c>
      <c r="M22" s="63">
        <f t="shared" si="2"/>
        <v>9.26</v>
      </c>
      <c r="N22" s="63"/>
      <c r="O22" s="24">
        <v>129</v>
      </c>
      <c r="P22" s="63">
        <f t="shared" si="4"/>
        <v>12.9</v>
      </c>
      <c r="Q22" s="63">
        <f t="shared" si="5"/>
        <v>129</v>
      </c>
      <c r="R22" s="63">
        <f t="shared" si="4"/>
        <v>12.9</v>
      </c>
    </row>
    <row r="23" spans="1:18" ht="12.75">
      <c r="A23" s="22"/>
      <c r="B23" s="22" t="s">
        <v>85</v>
      </c>
      <c r="C23" s="23">
        <v>0.1</v>
      </c>
      <c r="D23" s="23"/>
      <c r="E23" s="24">
        <v>24.3</v>
      </c>
      <c r="F23" s="63">
        <f t="shared" si="0"/>
        <v>2.43</v>
      </c>
      <c r="G23" s="63">
        <f t="shared" si="1"/>
        <v>24.3</v>
      </c>
      <c r="H23" s="63">
        <f t="shared" si="0"/>
        <v>2.43</v>
      </c>
      <c r="I23" s="63"/>
      <c r="J23" s="24">
        <v>28.9</v>
      </c>
      <c r="K23" s="63">
        <f t="shared" si="2"/>
        <v>2.89</v>
      </c>
      <c r="L23" s="63">
        <f t="shared" si="3"/>
        <v>28.9</v>
      </c>
      <c r="M23" s="63">
        <f t="shared" si="2"/>
        <v>2.89</v>
      </c>
      <c r="N23" s="63"/>
      <c r="O23" s="24">
        <v>37.1</v>
      </c>
      <c r="P23" s="63">
        <f t="shared" si="4"/>
        <v>3.7100000000000004</v>
      </c>
      <c r="Q23" s="63">
        <f t="shared" si="5"/>
        <v>37.1</v>
      </c>
      <c r="R23" s="63">
        <f t="shared" si="4"/>
        <v>3.7100000000000004</v>
      </c>
    </row>
    <row r="24" spans="1:18" ht="12.75">
      <c r="A24" s="22"/>
      <c r="B24" s="22" t="s">
        <v>86</v>
      </c>
      <c r="C24" s="23">
        <v>0.1</v>
      </c>
      <c r="D24" s="23"/>
      <c r="E24" s="24">
        <v>60.1</v>
      </c>
      <c r="F24" s="63">
        <f t="shared" si="0"/>
        <v>6.010000000000001</v>
      </c>
      <c r="G24" s="63">
        <f t="shared" si="1"/>
        <v>60.1</v>
      </c>
      <c r="H24" s="63">
        <f t="shared" si="0"/>
        <v>6.010000000000001</v>
      </c>
      <c r="I24" s="63"/>
      <c r="J24" s="24">
        <v>79.6</v>
      </c>
      <c r="K24" s="63">
        <f t="shared" si="2"/>
        <v>7.96</v>
      </c>
      <c r="L24" s="63">
        <f t="shared" si="3"/>
        <v>79.6</v>
      </c>
      <c r="M24" s="63">
        <f t="shared" si="2"/>
        <v>7.96</v>
      </c>
      <c r="N24" s="63"/>
      <c r="O24" s="24">
        <v>86.4</v>
      </c>
      <c r="P24" s="63">
        <f t="shared" si="4"/>
        <v>8.64</v>
      </c>
      <c r="Q24" s="63">
        <f t="shared" si="5"/>
        <v>86.4</v>
      </c>
      <c r="R24" s="63">
        <f t="shared" si="4"/>
        <v>8.64</v>
      </c>
    </row>
    <row r="25" spans="1:18" ht="12.75">
      <c r="A25" s="22"/>
      <c r="B25" s="22" t="s">
        <v>87</v>
      </c>
      <c r="C25" s="23">
        <v>0.01</v>
      </c>
      <c r="D25" s="23"/>
      <c r="E25" s="24">
        <v>198</v>
      </c>
      <c r="F25" s="63">
        <f t="shared" si="0"/>
        <v>1.98</v>
      </c>
      <c r="G25" s="63">
        <f t="shared" si="1"/>
        <v>198</v>
      </c>
      <c r="H25" s="63">
        <f t="shared" si="0"/>
        <v>1.98</v>
      </c>
      <c r="I25" s="63"/>
      <c r="J25" s="24">
        <v>391</v>
      </c>
      <c r="K25" s="63">
        <f t="shared" si="2"/>
        <v>3.91</v>
      </c>
      <c r="L25" s="63">
        <f t="shared" si="3"/>
        <v>391</v>
      </c>
      <c r="M25" s="63">
        <f t="shared" si="2"/>
        <v>3.91</v>
      </c>
      <c r="N25" s="63"/>
      <c r="O25" s="24">
        <v>234</v>
      </c>
      <c r="P25" s="63">
        <f t="shared" si="4"/>
        <v>2.34</v>
      </c>
      <c r="Q25" s="63">
        <f t="shared" si="5"/>
        <v>234</v>
      </c>
      <c r="R25" s="63">
        <f t="shared" si="4"/>
        <v>2.34</v>
      </c>
    </row>
    <row r="26" spans="1:18" ht="12.75">
      <c r="A26" s="22"/>
      <c r="B26" s="22" t="s">
        <v>88</v>
      </c>
      <c r="C26" s="23">
        <v>0.01</v>
      </c>
      <c r="D26" s="23"/>
      <c r="E26" s="24">
        <v>27.3</v>
      </c>
      <c r="F26" s="63">
        <f t="shared" si="0"/>
        <v>0.273</v>
      </c>
      <c r="G26" s="63">
        <f t="shared" si="1"/>
        <v>27.3</v>
      </c>
      <c r="H26" s="63">
        <f t="shared" si="0"/>
        <v>0.273</v>
      </c>
      <c r="I26" s="63"/>
      <c r="J26" s="24">
        <v>50.6</v>
      </c>
      <c r="K26" s="63">
        <f t="shared" si="2"/>
        <v>0.506</v>
      </c>
      <c r="L26" s="63">
        <f t="shared" si="3"/>
        <v>50.6</v>
      </c>
      <c r="M26" s="63">
        <f t="shared" si="2"/>
        <v>0.506</v>
      </c>
      <c r="N26" s="63"/>
      <c r="O26" s="24">
        <v>45.6</v>
      </c>
      <c r="P26" s="63">
        <f t="shared" si="4"/>
        <v>0.456</v>
      </c>
      <c r="Q26" s="63">
        <f t="shared" si="5"/>
        <v>45.6</v>
      </c>
      <c r="R26" s="63">
        <f t="shared" si="4"/>
        <v>0.456</v>
      </c>
    </row>
    <row r="27" spans="1:18" ht="12.75">
      <c r="A27" s="22"/>
      <c r="B27" s="22" t="s">
        <v>89</v>
      </c>
      <c r="C27" s="23">
        <v>0.001</v>
      </c>
      <c r="D27" s="23"/>
      <c r="E27" s="24">
        <v>151</v>
      </c>
      <c r="F27" s="63">
        <f t="shared" si="0"/>
        <v>0.151</v>
      </c>
      <c r="G27" s="63">
        <f t="shared" si="1"/>
        <v>151</v>
      </c>
      <c r="H27" s="63">
        <f t="shared" si="0"/>
        <v>0.151</v>
      </c>
      <c r="I27" s="63"/>
      <c r="J27" s="24">
        <v>371</v>
      </c>
      <c r="K27" s="63">
        <f t="shared" si="2"/>
        <v>0.371</v>
      </c>
      <c r="L27" s="63">
        <f t="shared" si="3"/>
        <v>371</v>
      </c>
      <c r="M27" s="63">
        <f t="shared" si="2"/>
        <v>0.371</v>
      </c>
      <c r="N27" s="63"/>
      <c r="O27" s="24">
        <v>167</v>
      </c>
      <c r="P27" s="63">
        <f t="shared" si="4"/>
        <v>0.167</v>
      </c>
      <c r="Q27" s="63">
        <f t="shared" si="5"/>
        <v>167</v>
      </c>
      <c r="R27" s="63">
        <f t="shared" si="4"/>
        <v>0.167</v>
      </c>
    </row>
    <row r="28" spans="1:18" ht="12.75">
      <c r="A28" s="22"/>
      <c r="B28" s="22" t="s">
        <v>90</v>
      </c>
      <c r="C28" s="23">
        <v>0</v>
      </c>
      <c r="D28" s="23"/>
      <c r="E28" s="63">
        <f>E11+385.16</f>
        <v>393</v>
      </c>
      <c r="F28" s="63">
        <f t="shared" si="0"/>
        <v>0</v>
      </c>
      <c r="G28" s="63">
        <f t="shared" si="1"/>
        <v>393</v>
      </c>
      <c r="H28" s="63">
        <f t="shared" si="0"/>
        <v>0</v>
      </c>
      <c r="I28" s="63"/>
      <c r="J28" s="63">
        <f>J11+538.7</f>
        <v>550</v>
      </c>
      <c r="K28" s="63">
        <f t="shared" si="2"/>
        <v>0</v>
      </c>
      <c r="L28" s="63">
        <f t="shared" si="3"/>
        <v>550</v>
      </c>
      <c r="M28" s="63">
        <f t="shared" si="2"/>
        <v>0</v>
      </c>
      <c r="N28" s="63"/>
      <c r="O28" s="63">
        <f>O11+819</f>
        <v>834</v>
      </c>
      <c r="P28" s="63">
        <f t="shared" si="4"/>
        <v>0</v>
      </c>
      <c r="Q28" s="63">
        <f t="shared" si="5"/>
        <v>834</v>
      </c>
      <c r="R28" s="63">
        <f t="shared" si="4"/>
        <v>0</v>
      </c>
    </row>
    <row r="29" spans="1:18" ht="12.75">
      <c r="A29" s="22"/>
      <c r="B29" s="22" t="s">
        <v>91</v>
      </c>
      <c r="C29" s="23">
        <v>0</v>
      </c>
      <c r="D29" s="23"/>
      <c r="E29" s="63">
        <f>E12+424.1</f>
        <v>445</v>
      </c>
      <c r="F29" s="63">
        <f t="shared" si="0"/>
        <v>0</v>
      </c>
      <c r="G29" s="63">
        <f t="shared" si="1"/>
        <v>445</v>
      </c>
      <c r="H29" s="63">
        <f t="shared" si="0"/>
        <v>0</v>
      </c>
      <c r="I29" s="63"/>
      <c r="J29" s="63">
        <f>J12+482.3</f>
        <v>504</v>
      </c>
      <c r="K29" s="63">
        <f t="shared" si="2"/>
        <v>0</v>
      </c>
      <c r="L29" s="63">
        <f t="shared" si="3"/>
        <v>504</v>
      </c>
      <c r="M29" s="63">
        <f t="shared" si="2"/>
        <v>0</v>
      </c>
      <c r="N29" s="63"/>
      <c r="O29" s="63">
        <f>O12+560.1</f>
        <v>589</v>
      </c>
      <c r="P29" s="63">
        <f t="shared" si="4"/>
        <v>0</v>
      </c>
      <c r="Q29" s="63">
        <f t="shared" si="5"/>
        <v>589</v>
      </c>
      <c r="R29" s="63">
        <f t="shared" si="4"/>
        <v>0</v>
      </c>
    </row>
    <row r="30" spans="1:18" ht="12.75">
      <c r="A30" s="22"/>
      <c r="B30" s="22" t="s">
        <v>92</v>
      </c>
      <c r="C30" s="23">
        <v>0</v>
      </c>
      <c r="D30" s="23"/>
      <c r="E30" s="63">
        <f>E13+E14+E15+467.7</f>
        <v>575</v>
      </c>
      <c r="F30" s="63">
        <f t="shared" si="0"/>
        <v>0</v>
      </c>
      <c r="G30" s="63">
        <f t="shared" si="1"/>
        <v>575</v>
      </c>
      <c r="H30" s="63">
        <f t="shared" si="0"/>
        <v>0</v>
      </c>
      <c r="I30" s="63"/>
      <c r="J30" s="63">
        <f>J13+J14+J15+529.8</f>
        <v>664</v>
      </c>
      <c r="K30" s="63">
        <f t="shared" si="2"/>
        <v>0</v>
      </c>
      <c r="L30" s="63">
        <f t="shared" si="3"/>
        <v>664</v>
      </c>
      <c r="M30" s="63">
        <f t="shared" si="2"/>
        <v>0</v>
      </c>
      <c r="N30" s="63"/>
      <c r="O30" s="63">
        <f>O13+O14+O15+595.4</f>
        <v>731</v>
      </c>
      <c r="P30" s="63">
        <f t="shared" si="4"/>
        <v>0</v>
      </c>
      <c r="Q30" s="63">
        <f t="shared" si="5"/>
        <v>731</v>
      </c>
      <c r="R30" s="63">
        <f t="shared" si="4"/>
        <v>0</v>
      </c>
    </row>
    <row r="31" spans="1:18" ht="12.75">
      <c r="A31" s="22"/>
      <c r="B31" s="22" t="s">
        <v>93</v>
      </c>
      <c r="C31" s="23">
        <v>0</v>
      </c>
      <c r="D31" s="23"/>
      <c r="E31" s="63">
        <f>E16+139</f>
        <v>336</v>
      </c>
      <c r="F31" s="63">
        <f t="shared" si="0"/>
        <v>0</v>
      </c>
      <c r="G31" s="63">
        <f t="shared" si="1"/>
        <v>336</v>
      </c>
      <c r="H31" s="63">
        <f t="shared" si="0"/>
        <v>0</v>
      </c>
      <c r="I31" s="63"/>
      <c r="J31" s="63">
        <f>J16+300</f>
        <v>710</v>
      </c>
      <c r="K31" s="63">
        <f t="shared" si="2"/>
        <v>0</v>
      </c>
      <c r="L31" s="63">
        <f t="shared" si="3"/>
        <v>710</v>
      </c>
      <c r="M31" s="63">
        <f t="shared" si="2"/>
        <v>0</v>
      </c>
      <c r="N31" s="63"/>
      <c r="O31" s="63">
        <f>O16+199</f>
        <v>468</v>
      </c>
      <c r="P31" s="63">
        <f t="shared" si="4"/>
        <v>0</v>
      </c>
      <c r="Q31" s="63">
        <f t="shared" si="5"/>
        <v>468</v>
      </c>
      <c r="R31" s="63">
        <f t="shared" si="4"/>
        <v>0</v>
      </c>
    </row>
    <row r="32" spans="1:18" ht="12.75">
      <c r="A32" s="22"/>
      <c r="B32" s="22" t="s">
        <v>94</v>
      </c>
      <c r="C32" s="23">
        <v>0</v>
      </c>
      <c r="D32" s="23"/>
      <c r="E32" s="63">
        <f>E18+6988</f>
        <v>7100</v>
      </c>
      <c r="F32" s="63">
        <f t="shared" si="0"/>
        <v>0</v>
      </c>
      <c r="G32" s="63">
        <f t="shared" si="1"/>
        <v>7100</v>
      </c>
      <c r="H32" s="63">
        <f t="shared" si="0"/>
        <v>0</v>
      </c>
      <c r="I32" s="63"/>
      <c r="J32" s="63">
        <f>J18+13600</f>
        <v>13800</v>
      </c>
      <c r="K32" s="63">
        <f t="shared" si="2"/>
        <v>0</v>
      </c>
      <c r="L32" s="63">
        <f t="shared" si="3"/>
        <v>13800</v>
      </c>
      <c r="M32" s="63">
        <f t="shared" si="2"/>
        <v>0</v>
      </c>
      <c r="N32" s="63"/>
      <c r="O32" s="63">
        <f>O18+21960</f>
        <v>22300</v>
      </c>
      <c r="P32" s="63">
        <f t="shared" si="4"/>
        <v>0</v>
      </c>
      <c r="Q32" s="63">
        <f t="shared" si="5"/>
        <v>22300</v>
      </c>
      <c r="R32" s="63">
        <f t="shared" si="4"/>
        <v>0</v>
      </c>
    </row>
    <row r="33" spans="1:18" ht="12.75">
      <c r="A33" s="22"/>
      <c r="B33" s="22" t="s">
        <v>95</v>
      </c>
      <c r="C33" s="23">
        <v>0</v>
      </c>
      <c r="D33" s="23"/>
      <c r="E33" s="63">
        <f>E19+E20+1804.3</f>
        <v>2050</v>
      </c>
      <c r="F33" s="63">
        <f t="shared" si="0"/>
        <v>0</v>
      </c>
      <c r="G33" s="63">
        <f t="shared" si="1"/>
        <v>2050</v>
      </c>
      <c r="H33" s="63">
        <f t="shared" si="0"/>
        <v>0</v>
      </c>
      <c r="I33" s="63"/>
      <c r="J33" s="63">
        <f>J19+J20+2870</f>
        <v>3170</v>
      </c>
      <c r="K33" s="63">
        <f t="shared" si="2"/>
        <v>0</v>
      </c>
      <c r="L33" s="63">
        <f t="shared" si="3"/>
        <v>3170</v>
      </c>
      <c r="M33" s="63">
        <f t="shared" si="2"/>
        <v>0</v>
      </c>
      <c r="N33" s="63"/>
      <c r="O33" s="63">
        <f>O19+O20+4764</f>
        <v>5260</v>
      </c>
      <c r="P33" s="63">
        <f t="shared" si="4"/>
        <v>0</v>
      </c>
      <c r="Q33" s="63">
        <f t="shared" si="5"/>
        <v>5260</v>
      </c>
      <c r="R33" s="63">
        <f t="shared" si="4"/>
        <v>0</v>
      </c>
    </row>
    <row r="34" spans="1:18" ht="12.75">
      <c r="A34" s="22"/>
      <c r="B34" s="22" t="s">
        <v>96</v>
      </c>
      <c r="C34" s="23">
        <v>0</v>
      </c>
      <c r="D34" s="23"/>
      <c r="E34" s="63">
        <f>E21+E22+E23+E24+475.2</f>
        <v>758</v>
      </c>
      <c r="F34" s="63">
        <f t="shared" si="0"/>
        <v>0</v>
      </c>
      <c r="G34" s="63">
        <f t="shared" si="1"/>
        <v>758</v>
      </c>
      <c r="H34" s="63">
        <f t="shared" si="0"/>
        <v>0</v>
      </c>
      <c r="I34" s="63"/>
      <c r="J34" s="63">
        <f>J21+J22+J23+J24+495.9</f>
        <v>807</v>
      </c>
      <c r="K34" s="63">
        <f t="shared" si="2"/>
        <v>0</v>
      </c>
      <c r="L34" s="63">
        <f t="shared" si="3"/>
        <v>807</v>
      </c>
      <c r="M34" s="63">
        <f t="shared" si="2"/>
        <v>0</v>
      </c>
      <c r="N34" s="63"/>
      <c r="O34" s="63">
        <f>O21+O22+O23+O24+644.5</f>
        <v>1050</v>
      </c>
      <c r="P34" s="63">
        <f t="shared" si="4"/>
        <v>0</v>
      </c>
      <c r="Q34" s="63">
        <f t="shared" si="5"/>
        <v>1050</v>
      </c>
      <c r="R34" s="63">
        <f t="shared" si="4"/>
        <v>0</v>
      </c>
    </row>
    <row r="35" spans="1:18" ht="12.75">
      <c r="A35" s="22" t="s">
        <v>97</v>
      </c>
      <c r="B35" s="22" t="s">
        <v>98</v>
      </c>
      <c r="C35" s="23">
        <v>0</v>
      </c>
      <c r="D35" s="23"/>
      <c r="E35" s="63">
        <f>E25+E26+75.7</f>
        <v>301</v>
      </c>
      <c r="F35" s="63">
        <f t="shared" si="0"/>
        <v>0</v>
      </c>
      <c r="G35" s="63">
        <f t="shared" si="1"/>
        <v>301</v>
      </c>
      <c r="H35" s="63">
        <f t="shared" si="0"/>
        <v>0</v>
      </c>
      <c r="I35" s="63"/>
      <c r="J35" s="63">
        <f>J25+J26+140.4</f>
        <v>582</v>
      </c>
      <c r="K35" s="63">
        <f t="shared" si="2"/>
        <v>0</v>
      </c>
      <c r="L35" s="63">
        <f t="shared" si="3"/>
        <v>582</v>
      </c>
      <c r="M35" s="63">
        <f t="shared" si="2"/>
        <v>0</v>
      </c>
      <c r="N35" s="63"/>
      <c r="O35" s="63">
        <f>O25+O26+94.4</f>
        <v>374</v>
      </c>
      <c r="P35" s="63">
        <f t="shared" si="4"/>
        <v>0</v>
      </c>
      <c r="Q35" s="63">
        <f t="shared" si="5"/>
        <v>374</v>
      </c>
      <c r="R35" s="63">
        <f t="shared" si="4"/>
        <v>0</v>
      </c>
    </row>
    <row r="36" spans="1:18" ht="12.75">
      <c r="A36" s="22"/>
      <c r="B36" s="22"/>
      <c r="C36" s="22"/>
      <c r="D36" s="22"/>
      <c r="E36" s="46"/>
      <c r="F36" s="42"/>
      <c r="G36" s="46"/>
      <c r="H36" s="42"/>
      <c r="I36" s="46"/>
      <c r="J36" s="22"/>
      <c r="K36" s="24"/>
      <c r="L36" s="24"/>
      <c r="M36" s="24"/>
      <c r="N36" s="46"/>
      <c r="O36" s="22"/>
      <c r="P36" s="41"/>
      <c r="Q36" s="46"/>
      <c r="R36" s="41"/>
    </row>
    <row r="37" spans="1:18" ht="12.75">
      <c r="A37" s="22"/>
      <c r="B37" s="22" t="s">
        <v>99</v>
      </c>
      <c r="C37" s="22"/>
      <c r="D37" s="22"/>
      <c r="E37" s="46"/>
      <c r="F37" s="46">
        <v>126.537</v>
      </c>
      <c r="G37" s="46">
        <v>126.537</v>
      </c>
      <c r="H37" s="46">
        <v>126.537</v>
      </c>
      <c r="I37" s="46"/>
      <c r="J37" s="46"/>
      <c r="K37" s="46">
        <v>123.32</v>
      </c>
      <c r="L37" s="46">
        <v>123.32</v>
      </c>
      <c r="M37" s="46">
        <v>123.32</v>
      </c>
      <c r="N37" s="46"/>
      <c r="O37" s="46"/>
      <c r="P37" s="46">
        <v>121.03</v>
      </c>
      <c r="Q37" s="46">
        <v>121.03</v>
      </c>
      <c r="R37" s="46">
        <v>121.03</v>
      </c>
    </row>
    <row r="38" spans="1:18" ht="12.75">
      <c r="A38" s="22"/>
      <c r="B38" s="22" t="s">
        <v>100</v>
      </c>
      <c r="C38" s="22"/>
      <c r="D38" s="22"/>
      <c r="E38" s="46"/>
      <c r="F38" s="46">
        <v>16</v>
      </c>
      <c r="G38" s="46">
        <v>16</v>
      </c>
      <c r="H38" s="46">
        <v>16</v>
      </c>
      <c r="I38" s="46"/>
      <c r="J38" s="46"/>
      <c r="K38" s="24">
        <v>16</v>
      </c>
      <c r="L38" s="24">
        <v>16</v>
      </c>
      <c r="M38" s="24">
        <v>16</v>
      </c>
      <c r="N38" s="46"/>
      <c r="O38" s="46"/>
      <c r="P38" s="46">
        <v>15.9</v>
      </c>
      <c r="Q38" s="46">
        <v>15.9</v>
      </c>
      <c r="R38" s="46">
        <v>15.9</v>
      </c>
    </row>
    <row r="39" spans="1:18" ht="12.75">
      <c r="A39" s="22"/>
      <c r="B39" s="22"/>
      <c r="C39" s="22"/>
      <c r="D39" s="22"/>
      <c r="E39" s="46"/>
      <c r="F39" s="22"/>
      <c r="G39" s="46"/>
      <c r="H39" s="22"/>
      <c r="I39" s="22"/>
      <c r="J39" s="46"/>
      <c r="K39" s="24"/>
      <c r="L39" s="24"/>
      <c r="M39" s="24"/>
      <c r="N39" s="46"/>
      <c r="O39" s="46"/>
      <c r="P39" s="46"/>
      <c r="Q39" s="46"/>
      <c r="R39" s="46"/>
    </row>
    <row r="40" spans="1:18" ht="12.75">
      <c r="A40" s="22"/>
      <c r="B40" s="22" t="s">
        <v>101</v>
      </c>
      <c r="C40" s="42"/>
      <c r="D40" s="42"/>
      <c r="E40" s="24"/>
      <c r="F40" s="47">
        <f>SUM(F11:F27)/1000</f>
        <v>0.154824</v>
      </c>
      <c r="G40" s="24">
        <f>SUM(G27,G35,G34,G33,G32,G17,G31,G30,G29,G28)/1000</f>
        <v>12.474</v>
      </c>
      <c r="H40" s="47">
        <f>SUM(H11:H27)/1000</f>
        <v>0.154824</v>
      </c>
      <c r="I40" s="42"/>
      <c r="J40" s="24"/>
      <c r="K40" s="47">
        <f>SUM(K11:K27)/1000</f>
        <v>0.194767</v>
      </c>
      <c r="L40" s="24">
        <f>SUM(L27,L35,L34,L33,L32,L17,L31,L30,L29,L28)/1000</f>
        <v>23.008</v>
      </c>
      <c r="M40" s="47">
        <f>SUM(M11:M27)/1000</f>
        <v>0.194767</v>
      </c>
      <c r="N40" s="42"/>
      <c r="O40" s="46"/>
      <c r="P40" s="47">
        <f>SUM(P11:P27)/1000</f>
        <v>0.28115499999999993</v>
      </c>
      <c r="Q40" s="24">
        <f>SUM(Q27,Q35,Q34,Q33,Q32,Q17,Q31,Q30,Q29,Q28)/1000</f>
        <v>32.165</v>
      </c>
      <c r="R40" s="47">
        <f>SUM(R11:R27)/1000</f>
        <v>0.28115499999999993</v>
      </c>
    </row>
    <row r="41" spans="1:18" ht="12.75">
      <c r="A41" s="22"/>
      <c r="B41" s="22" t="s">
        <v>102</v>
      </c>
      <c r="C41" s="42"/>
      <c r="D41" s="24">
        <f>(F41-H41)*2/F41*100</f>
        <v>0</v>
      </c>
      <c r="E41" s="46"/>
      <c r="F41" s="47">
        <f>(F40/F37/0.0283*(21-7)/(21-F38))</f>
        <v>0.12105767971719383</v>
      </c>
      <c r="G41" s="46">
        <f>(G40/G37/0.0283*(21-7)/(21-G38))</f>
        <v>9.75348458115199</v>
      </c>
      <c r="H41" s="47">
        <f>(H40/H37/0.0283*(21-7)/(21-H38))</f>
        <v>0.12105767971719383</v>
      </c>
      <c r="I41" s="24">
        <f>(K41-M41)*2/K41*100</f>
        <v>0</v>
      </c>
      <c r="J41" s="46"/>
      <c r="K41" s="47">
        <f>K40/K37/0.0283*(21-7)/(21-K38)</f>
        <v>0.15626202737226486</v>
      </c>
      <c r="L41" s="46">
        <f>(L40/L37/0.0283*(21-7)/(21-L38))</f>
        <v>18.459373126767215</v>
      </c>
      <c r="M41" s="47">
        <f>M40/M37/0.0283*(21-7)/(21-M38)</f>
        <v>0.15626202737226486</v>
      </c>
      <c r="N41" s="24">
        <f>(P41-R41)*2/P41*100</f>
        <v>0</v>
      </c>
      <c r="O41" s="46"/>
      <c r="P41" s="47">
        <f>P40/P37/0.0283*(21-7)/(21-P38)</f>
        <v>0.22533269040724543</v>
      </c>
      <c r="Q41" s="46">
        <f>(Q40/Q37/0.0283*(21-7)/(21-Q38))</f>
        <v>25.778755444324478</v>
      </c>
      <c r="R41" s="47">
        <f>R40/R37/0.0283*(21-7)/(21-R38)</f>
        <v>0.22533269040724543</v>
      </c>
    </row>
    <row r="42" spans="1:18" ht="12.75">
      <c r="A42" s="22"/>
      <c r="B42" s="22"/>
      <c r="C42" s="22"/>
      <c r="D42" s="22"/>
      <c r="E42" s="47"/>
      <c r="F42" s="42"/>
      <c r="G42" s="47"/>
      <c r="H42" s="42"/>
      <c r="I42" s="47"/>
      <c r="J42" s="47"/>
      <c r="K42" s="47"/>
      <c r="L42" s="47"/>
      <c r="M42" s="47"/>
      <c r="N42" s="47"/>
      <c r="O42" s="47"/>
      <c r="P42" s="41"/>
      <c r="Q42" s="47"/>
      <c r="R42" s="41"/>
    </row>
    <row r="43" spans="1:18" ht="12.75">
      <c r="A43" s="46"/>
      <c r="B43" s="22" t="s">
        <v>103</v>
      </c>
      <c r="C43" s="47">
        <f>AVERAGE(H41,M41,R41)</f>
        <v>0.16755079916556803</v>
      </c>
      <c r="D43" s="46"/>
      <c r="E43" s="48"/>
      <c r="F43" s="42"/>
      <c r="G43" s="46"/>
      <c r="H43" s="42"/>
      <c r="I43" s="46"/>
      <c r="J43" s="46"/>
      <c r="K43" s="46"/>
      <c r="L43" s="46"/>
      <c r="M43" s="46"/>
      <c r="N43" s="46"/>
      <c r="O43" s="46"/>
      <c r="P43" s="41"/>
      <c r="Q43" s="46"/>
      <c r="R43" s="41"/>
    </row>
    <row r="44" spans="1:18" ht="12.75">
      <c r="A44" s="22"/>
      <c r="B44" s="22" t="s">
        <v>104</v>
      </c>
      <c r="C44" s="46">
        <f>AVERAGE(G41,L41,Q41)</f>
        <v>17.99720438408123</v>
      </c>
      <c r="D44" s="22"/>
      <c r="E44" s="41"/>
      <c r="F44" s="42"/>
      <c r="G44" s="41"/>
      <c r="H44" s="42"/>
      <c r="I44" s="41"/>
      <c r="J44" s="41"/>
      <c r="K44" s="41"/>
      <c r="L44" s="41"/>
      <c r="M44" s="41"/>
      <c r="N44" s="41"/>
      <c r="O44" s="41"/>
      <c r="P44" s="41"/>
      <c r="Q44" s="41"/>
      <c r="R44" s="41"/>
    </row>
  </sheetData>
  <printOptions headings="1" horizontalCentered="1"/>
  <pageMargins left="0.25" right="0.25" top="0.5" bottom="0.5" header="0.25" footer="0.25"/>
  <pageSetup horizontalDpi="300" verticalDpi="300" orientation="landscape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32"/>
  <sheetViews>
    <sheetView workbookViewId="0" topLeftCell="B1">
      <selection activeCell="B34" sqref="A34:IV473"/>
    </sheetView>
  </sheetViews>
  <sheetFormatPr defaultColWidth="9.140625" defaultRowHeight="12.75"/>
  <cols>
    <col min="1" max="1" width="1.421875" style="1" hidden="1" customWidth="1"/>
    <col min="2" max="2" width="23.8515625" style="1" customWidth="1"/>
    <col min="3" max="3" width="61.8515625" style="1" customWidth="1"/>
    <col min="4" max="4" width="12.7109375" style="1" customWidth="1"/>
    <col min="5" max="16384" width="8.8515625" style="1" customWidth="1"/>
  </cols>
  <sheetData>
    <row r="1" spans="2:12" ht="12.75">
      <c r="B1" s="2" t="s">
        <v>47</v>
      </c>
      <c r="C1" s="34"/>
      <c r="D1" s="9"/>
      <c r="E1" s="9"/>
      <c r="F1" s="9"/>
      <c r="G1" s="9"/>
      <c r="H1" s="9"/>
      <c r="I1" s="9"/>
      <c r="J1" s="9"/>
      <c r="K1" s="9"/>
      <c r="L1" s="9"/>
    </row>
    <row r="2" spans="2:12" ht="12.7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2.75">
      <c r="B3" s="9" t="s">
        <v>217</v>
      </c>
      <c r="C3" s="10">
        <v>474</v>
      </c>
      <c r="D3" s="9"/>
      <c r="E3" s="9"/>
      <c r="F3" s="9"/>
      <c r="G3" s="9"/>
      <c r="H3" s="9"/>
      <c r="I3" s="9"/>
      <c r="J3" s="9"/>
      <c r="K3" s="9"/>
      <c r="L3" s="9"/>
    </row>
    <row r="4" spans="2:12" ht="12.75">
      <c r="B4" s="9" t="s">
        <v>0</v>
      </c>
      <c r="C4" s="34" t="s">
        <v>128</v>
      </c>
      <c r="D4" s="9"/>
      <c r="E4" s="9"/>
      <c r="F4" s="9"/>
      <c r="G4" s="9"/>
      <c r="H4" s="9"/>
      <c r="I4" s="9"/>
      <c r="J4" s="9"/>
      <c r="K4" s="9"/>
      <c r="L4" s="9"/>
    </row>
    <row r="5" spans="2:12" ht="12.75">
      <c r="B5" s="9" t="s">
        <v>1</v>
      </c>
      <c r="C5" s="9" t="s">
        <v>130</v>
      </c>
      <c r="D5" s="9"/>
      <c r="E5" s="9"/>
      <c r="F5" s="9"/>
      <c r="G5" s="9"/>
      <c r="H5" s="9"/>
      <c r="I5" s="9"/>
      <c r="J5" s="9"/>
      <c r="K5" s="9"/>
      <c r="L5" s="9"/>
    </row>
    <row r="6" spans="2:12" ht="12.75">
      <c r="B6" s="9" t="s">
        <v>2</v>
      </c>
      <c r="C6" s="9"/>
      <c r="D6" s="9"/>
      <c r="E6" s="9"/>
      <c r="F6" s="9"/>
      <c r="G6" s="9"/>
      <c r="H6" s="9"/>
      <c r="I6" s="9"/>
      <c r="J6" s="9"/>
      <c r="K6" s="9"/>
      <c r="L6" s="9"/>
    </row>
    <row r="7" spans="2:12" ht="12.75">
      <c r="B7" s="9" t="s">
        <v>3</v>
      </c>
      <c r="C7" s="9" t="s">
        <v>126</v>
      </c>
      <c r="D7" s="9"/>
      <c r="E7" s="9"/>
      <c r="F7" s="9"/>
      <c r="G7" s="9"/>
      <c r="H7" s="9"/>
      <c r="I7" s="9"/>
      <c r="J7" s="9"/>
      <c r="K7" s="9"/>
      <c r="L7" s="9"/>
    </row>
    <row r="8" spans="2:12" ht="12.75">
      <c r="B8" s="9" t="s">
        <v>4</v>
      </c>
      <c r="C8" s="9" t="s">
        <v>127</v>
      </c>
      <c r="D8" s="9"/>
      <c r="E8" s="9"/>
      <c r="F8" s="9"/>
      <c r="G8" s="9"/>
      <c r="H8" s="9"/>
      <c r="I8" s="9"/>
      <c r="J8" s="9"/>
      <c r="K8" s="9"/>
      <c r="L8" s="9"/>
    </row>
    <row r="9" spans="2:12" ht="12.75">
      <c r="B9" s="9" t="s">
        <v>5</v>
      </c>
      <c r="C9" s="9" t="s">
        <v>161</v>
      </c>
      <c r="D9" s="9"/>
      <c r="E9" s="9"/>
      <c r="F9" s="9"/>
      <c r="G9" s="9"/>
      <c r="H9" s="9"/>
      <c r="I9" s="9"/>
      <c r="J9" s="9"/>
      <c r="K9" s="9"/>
      <c r="L9" s="9"/>
    </row>
    <row r="10" spans="2:12" ht="12.75">
      <c r="B10" s="9" t="s">
        <v>6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ht="12.75">
      <c r="B11" s="9" t="s">
        <v>224</v>
      </c>
      <c r="C11" s="10">
        <v>0</v>
      </c>
      <c r="D11" s="9"/>
      <c r="E11" s="9"/>
      <c r="F11" s="9"/>
      <c r="G11" s="9"/>
      <c r="H11" s="9"/>
      <c r="I11" s="9"/>
      <c r="J11" s="9"/>
      <c r="K11" s="9"/>
      <c r="L11" s="9"/>
    </row>
    <row r="12" spans="2:12" ht="12.75">
      <c r="B12" s="9" t="s">
        <v>203</v>
      </c>
      <c r="C12" s="9" t="s">
        <v>240</v>
      </c>
      <c r="D12" s="9"/>
      <c r="E12" s="9"/>
      <c r="F12" s="9"/>
      <c r="G12" s="9"/>
      <c r="H12" s="9"/>
      <c r="I12" s="9"/>
      <c r="J12" s="9"/>
      <c r="K12" s="9"/>
      <c r="L12" s="9"/>
    </row>
    <row r="13" spans="2:12" ht="12.75">
      <c r="B13" s="9" t="s">
        <v>204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2:12" s="28" customFormat="1" ht="51">
      <c r="B14" s="27" t="s">
        <v>41</v>
      </c>
      <c r="C14" s="58" t="s">
        <v>253</v>
      </c>
      <c r="D14" s="33"/>
      <c r="E14" s="27"/>
      <c r="F14" s="27"/>
      <c r="G14" s="27"/>
      <c r="H14" s="27"/>
      <c r="I14" s="27"/>
      <c r="J14" s="27"/>
      <c r="K14" s="27"/>
      <c r="L14" s="27"/>
    </row>
    <row r="15" spans="2:12" s="28" customFormat="1" ht="12.75">
      <c r="B15" s="27" t="s">
        <v>43</v>
      </c>
      <c r="C15" s="64"/>
      <c r="D15" s="27"/>
      <c r="E15" s="27"/>
      <c r="F15" s="27"/>
      <c r="G15" s="27"/>
      <c r="H15" s="27"/>
      <c r="I15" s="27"/>
      <c r="J15" s="27"/>
      <c r="K15" s="27"/>
      <c r="L15" s="27"/>
    </row>
    <row r="16" spans="2:12" s="28" customFormat="1" ht="12.75">
      <c r="B16" s="9" t="s">
        <v>48</v>
      </c>
      <c r="C16" s="27"/>
      <c r="F16" s="27"/>
      <c r="G16" s="27"/>
      <c r="H16" s="27"/>
      <c r="I16" s="27"/>
      <c r="J16" s="27"/>
      <c r="K16" s="27"/>
      <c r="L16" s="27"/>
    </row>
    <row r="17" spans="2:12" s="28" customFormat="1" ht="12.75">
      <c r="B17" s="9" t="s">
        <v>225</v>
      </c>
      <c r="C17" s="58" t="s">
        <v>165</v>
      </c>
      <c r="D17" s="27"/>
      <c r="E17" s="27"/>
      <c r="F17" s="27"/>
      <c r="G17" s="27"/>
      <c r="H17" s="27"/>
      <c r="I17" s="27"/>
      <c r="J17" s="27"/>
      <c r="K17" s="27"/>
      <c r="L17" s="27"/>
    </row>
    <row r="18" spans="2:12" s="28" customFormat="1" ht="12.75">
      <c r="B18" s="9" t="s">
        <v>226</v>
      </c>
      <c r="C18" s="58" t="s">
        <v>227</v>
      </c>
      <c r="D18" s="27"/>
      <c r="E18" s="27"/>
      <c r="F18" s="27"/>
      <c r="G18" s="27"/>
      <c r="H18" s="27"/>
      <c r="I18" s="27"/>
      <c r="J18" s="27"/>
      <c r="K18" s="27"/>
      <c r="L18" s="27"/>
    </row>
    <row r="19" spans="2:12" ht="38.25">
      <c r="B19" s="27" t="s">
        <v>7</v>
      </c>
      <c r="C19" s="27" t="s">
        <v>207</v>
      </c>
      <c r="D19" s="9"/>
      <c r="E19" s="9"/>
      <c r="F19" s="9"/>
      <c r="G19" s="9"/>
      <c r="H19" s="9"/>
      <c r="I19" s="9"/>
      <c r="J19" s="9"/>
      <c r="K19" s="9"/>
      <c r="L19" s="9"/>
    </row>
    <row r="20" spans="2:12" ht="12.75">
      <c r="B20" s="9" t="s">
        <v>63</v>
      </c>
      <c r="C20" s="1" t="s">
        <v>228</v>
      </c>
      <c r="D20" s="34"/>
      <c r="E20" s="9"/>
      <c r="F20" s="9"/>
      <c r="G20" s="9"/>
      <c r="H20" s="9"/>
      <c r="I20" s="9"/>
      <c r="J20" s="9"/>
      <c r="K20" s="9"/>
      <c r="L20" s="9"/>
    </row>
    <row r="21" spans="2:12" ht="12.75">
      <c r="B21" s="35" t="s">
        <v>49</v>
      </c>
      <c r="C21" s="36" t="s">
        <v>140</v>
      </c>
      <c r="D21" s="9"/>
      <c r="E21" s="9"/>
      <c r="F21" s="9"/>
      <c r="G21" s="9"/>
      <c r="H21" s="9"/>
      <c r="I21" s="9"/>
      <c r="J21" s="9"/>
      <c r="K21" s="9"/>
      <c r="L21" s="9"/>
    </row>
    <row r="22" spans="2:12" ht="12.75">
      <c r="B22" s="9" t="s">
        <v>42</v>
      </c>
      <c r="C22" s="27" t="s">
        <v>229</v>
      </c>
      <c r="D22" s="9"/>
      <c r="E22" s="9"/>
      <c r="F22" s="9"/>
      <c r="G22" s="9"/>
      <c r="H22" s="9"/>
      <c r="I22" s="9"/>
      <c r="J22" s="9"/>
      <c r="K22" s="9"/>
      <c r="L22" s="9"/>
    </row>
    <row r="23" spans="2:12" ht="12.7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2:12" ht="12.75">
      <c r="B24" s="9" t="s">
        <v>8</v>
      </c>
      <c r="C24" s="10"/>
      <c r="D24" s="9"/>
      <c r="E24" s="9"/>
      <c r="F24" s="9"/>
      <c r="G24" s="9"/>
      <c r="H24" s="9"/>
      <c r="I24" s="9"/>
      <c r="J24" s="9"/>
      <c r="K24" s="9"/>
      <c r="L24" s="9"/>
    </row>
    <row r="25" spans="2:12" ht="12.75">
      <c r="B25" s="9" t="s">
        <v>9</v>
      </c>
      <c r="C25" s="59">
        <v>4.3</v>
      </c>
      <c r="D25" s="9"/>
      <c r="E25" s="9"/>
      <c r="F25" s="9"/>
      <c r="G25" s="9"/>
      <c r="H25" s="9"/>
      <c r="I25" s="9"/>
      <c r="J25" s="9"/>
      <c r="K25" s="9"/>
      <c r="L25" s="9"/>
    </row>
    <row r="26" spans="2:12" ht="12.75">
      <c r="B26" s="9" t="s">
        <v>10</v>
      </c>
      <c r="C26" s="60">
        <v>80</v>
      </c>
      <c r="D26" s="9"/>
      <c r="E26" s="9"/>
      <c r="F26" s="9"/>
      <c r="G26" s="9"/>
      <c r="H26" s="9"/>
      <c r="I26" s="9"/>
      <c r="J26" s="9"/>
      <c r="K26" s="9"/>
      <c r="L26" s="9"/>
    </row>
    <row r="27" spans="2:12" ht="12.75">
      <c r="B27" s="9" t="s">
        <v>44</v>
      </c>
      <c r="C27" s="11"/>
      <c r="D27" s="9"/>
      <c r="E27" s="9"/>
      <c r="F27" s="9"/>
      <c r="G27" s="9"/>
      <c r="H27" s="9"/>
      <c r="I27" s="9"/>
      <c r="J27" s="9"/>
      <c r="K27" s="9"/>
      <c r="L27" s="9"/>
    </row>
    <row r="28" spans="2:12" ht="14.25" customHeight="1">
      <c r="B28" s="9" t="s">
        <v>45</v>
      </c>
      <c r="C28" s="10"/>
      <c r="D28" s="9"/>
      <c r="E28" s="9"/>
      <c r="F28" s="9"/>
      <c r="G28" s="9"/>
      <c r="H28" s="9"/>
      <c r="I28" s="9"/>
      <c r="J28" s="9"/>
      <c r="K28" s="9"/>
      <c r="L28" s="9"/>
    </row>
    <row r="29" spans="2:12" ht="12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2:12" ht="12.75">
      <c r="B30" s="35" t="s">
        <v>11</v>
      </c>
      <c r="C30" s="36"/>
      <c r="D30" s="9"/>
      <c r="E30" s="9"/>
      <c r="F30" s="9"/>
      <c r="G30" s="9"/>
      <c r="H30" s="9"/>
      <c r="I30" s="9"/>
      <c r="J30" s="9"/>
      <c r="K30" s="9"/>
      <c r="L30" s="9"/>
    </row>
    <row r="31" spans="2:12" ht="12.75">
      <c r="B31" s="9" t="s">
        <v>59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2:12" ht="14.2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B1">
      <selection activeCell="B34" sqref="A34:IV473"/>
    </sheetView>
  </sheetViews>
  <sheetFormatPr defaultColWidth="9.140625" defaultRowHeight="12.75"/>
  <cols>
    <col min="1" max="1" width="1.7109375" style="0" hidden="1" customWidth="1"/>
    <col min="2" max="2" width="18.7109375" style="0" customWidth="1"/>
    <col min="3" max="3" width="62.421875" style="77" customWidth="1"/>
  </cols>
  <sheetData>
    <row r="1" ht="12.75">
      <c r="B1" s="2" t="s">
        <v>202</v>
      </c>
    </row>
    <row r="3" spans="1:12" s="28" customFormat="1" ht="12.75">
      <c r="A3" s="28">
        <v>10</v>
      </c>
      <c r="B3" s="72" t="s">
        <v>166</v>
      </c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2:12" s="28" customFormat="1" ht="12.75">
      <c r="B4" s="72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2:12" s="28" customFormat="1" ht="12.75">
      <c r="B5" s="27" t="s">
        <v>181</v>
      </c>
      <c r="C5" s="58" t="s">
        <v>129</v>
      </c>
      <c r="D5" s="27"/>
      <c r="E5" s="27"/>
      <c r="F5" s="27"/>
      <c r="G5" s="27"/>
      <c r="H5" s="27"/>
      <c r="I5" s="27"/>
      <c r="J5" s="27"/>
      <c r="K5" s="27"/>
      <c r="L5" s="27"/>
    </row>
    <row r="6" spans="2:12" s="28" customFormat="1" ht="12.75">
      <c r="B6" s="27" t="s">
        <v>182</v>
      </c>
      <c r="C6" s="27" t="s">
        <v>131</v>
      </c>
      <c r="D6" s="33"/>
      <c r="E6" s="27"/>
      <c r="F6" s="27"/>
      <c r="G6" s="27"/>
      <c r="H6" s="27"/>
      <c r="I6" s="27"/>
      <c r="J6" s="27"/>
      <c r="K6" s="27"/>
      <c r="L6" s="27"/>
    </row>
    <row r="7" spans="2:12" s="28" customFormat="1" ht="12.75">
      <c r="B7" s="27" t="s">
        <v>183</v>
      </c>
      <c r="C7" s="27" t="s">
        <v>132</v>
      </c>
      <c r="D7" s="27"/>
      <c r="E7" s="27"/>
      <c r="F7" s="27"/>
      <c r="G7" s="27"/>
      <c r="H7" s="27"/>
      <c r="I7" s="27"/>
      <c r="J7" s="27"/>
      <c r="K7" s="27"/>
      <c r="L7" s="27"/>
    </row>
    <row r="8" spans="2:12" s="28" customFormat="1" ht="12.75">
      <c r="B8" s="27" t="s">
        <v>184</v>
      </c>
      <c r="C8" s="73" t="s">
        <v>133</v>
      </c>
      <c r="D8" s="27"/>
      <c r="E8" s="27"/>
      <c r="F8" s="27"/>
      <c r="G8" s="27"/>
      <c r="H8" s="27"/>
      <c r="I8" s="27"/>
      <c r="J8" s="27"/>
      <c r="K8" s="27"/>
      <c r="L8" s="27"/>
    </row>
    <row r="9" spans="2:12" s="28" customFormat="1" ht="12.75">
      <c r="B9" s="27" t="s">
        <v>222</v>
      </c>
      <c r="C9" s="103">
        <v>36281</v>
      </c>
      <c r="D9" s="27"/>
      <c r="E9" s="27"/>
      <c r="F9" s="27"/>
      <c r="G9" s="27"/>
      <c r="H9" s="27"/>
      <c r="I9" s="27"/>
      <c r="J9" s="27"/>
      <c r="K9" s="27"/>
      <c r="L9" s="27"/>
    </row>
    <row r="10" spans="2:12" s="28" customFormat="1" ht="12.75">
      <c r="B10" s="27" t="s">
        <v>185</v>
      </c>
      <c r="C10" s="27" t="s">
        <v>158</v>
      </c>
      <c r="D10" s="27"/>
      <c r="E10" s="27"/>
      <c r="F10" s="27"/>
      <c r="G10" s="27"/>
      <c r="H10" s="27"/>
      <c r="I10" s="27"/>
      <c r="J10" s="27"/>
      <c r="K10" s="27"/>
      <c r="L10" s="27"/>
    </row>
    <row r="11" spans="2:12" s="28" customFormat="1" ht="14.25">
      <c r="B11" s="27" t="s">
        <v>186</v>
      </c>
      <c r="C11" s="73" t="s">
        <v>143</v>
      </c>
      <c r="D11" s="27"/>
      <c r="E11" s="27"/>
      <c r="F11" s="27"/>
      <c r="G11" s="27"/>
      <c r="H11" s="27"/>
      <c r="I11" s="27"/>
      <c r="J11" s="27"/>
      <c r="K11" s="27"/>
      <c r="L11" s="27"/>
    </row>
    <row r="12" spans="2:12" s="28" customFormat="1" ht="12.75">
      <c r="B12" s="74"/>
      <c r="C12" s="75"/>
      <c r="D12" s="27"/>
      <c r="E12" s="27"/>
      <c r="F12" s="27"/>
      <c r="G12" s="27"/>
      <c r="H12" s="27"/>
      <c r="I12" s="27"/>
      <c r="J12" s="27"/>
      <c r="K12" s="27"/>
      <c r="L12" s="27"/>
    </row>
    <row r="13" spans="1:12" s="28" customFormat="1" ht="12.75">
      <c r="A13" s="28">
        <v>11</v>
      </c>
      <c r="B13" s="72" t="s">
        <v>164</v>
      </c>
      <c r="C13" s="27"/>
      <c r="D13" s="33"/>
      <c r="E13" s="27"/>
      <c r="F13" s="27"/>
      <c r="G13" s="27"/>
      <c r="H13" s="27"/>
      <c r="I13" s="27"/>
      <c r="J13" s="27"/>
      <c r="K13" s="27"/>
      <c r="L13" s="27"/>
    </row>
    <row r="14" spans="2:12" s="28" customFormat="1" ht="12.75">
      <c r="B14" s="72"/>
      <c r="C14" s="27"/>
      <c r="D14" s="33"/>
      <c r="E14" s="27"/>
      <c r="F14" s="27"/>
      <c r="G14" s="27"/>
      <c r="H14" s="27"/>
      <c r="I14" s="27"/>
      <c r="J14" s="27"/>
      <c r="K14" s="27"/>
      <c r="L14" s="27"/>
    </row>
    <row r="15" spans="2:12" s="28" customFormat="1" ht="12.75">
      <c r="B15" s="27" t="s">
        <v>181</v>
      </c>
      <c r="C15" s="58" t="s">
        <v>144</v>
      </c>
      <c r="D15" s="27"/>
      <c r="E15" s="33"/>
      <c r="F15" s="27"/>
      <c r="G15" s="27"/>
      <c r="H15" s="27"/>
      <c r="I15" s="27"/>
      <c r="J15" s="27"/>
      <c r="K15" s="27"/>
      <c r="L15" s="27"/>
    </row>
    <row r="16" spans="2:12" s="28" customFormat="1" ht="12.75">
      <c r="B16" s="27" t="s">
        <v>182</v>
      </c>
      <c r="C16" s="27" t="s">
        <v>131</v>
      </c>
      <c r="D16" s="27"/>
      <c r="E16" s="27"/>
      <c r="F16" s="27"/>
      <c r="G16" s="27"/>
      <c r="H16" s="27"/>
      <c r="I16" s="27"/>
      <c r="J16" s="27"/>
      <c r="K16" s="27"/>
      <c r="L16" s="27"/>
    </row>
    <row r="17" spans="2:12" s="28" customFormat="1" ht="12.75">
      <c r="B17" s="27" t="s">
        <v>183</v>
      </c>
      <c r="C17" s="27" t="s">
        <v>132</v>
      </c>
      <c r="D17" s="33"/>
      <c r="E17" s="27"/>
      <c r="F17" s="27"/>
      <c r="G17" s="27"/>
      <c r="H17" s="27"/>
      <c r="I17" s="27"/>
      <c r="J17" s="27"/>
      <c r="K17" s="27"/>
      <c r="L17" s="27"/>
    </row>
    <row r="18" spans="2:12" s="28" customFormat="1" ht="12.75">
      <c r="B18" s="27" t="s">
        <v>184</v>
      </c>
      <c r="C18" s="73" t="s">
        <v>223</v>
      </c>
      <c r="D18" s="27"/>
      <c r="E18" s="27"/>
      <c r="F18" s="27"/>
      <c r="G18" s="27"/>
      <c r="H18" s="27"/>
      <c r="I18" s="27"/>
      <c r="J18" s="27"/>
      <c r="K18" s="27"/>
      <c r="L18" s="27"/>
    </row>
    <row r="19" spans="2:12" s="28" customFormat="1" ht="12.75">
      <c r="B19" s="27" t="s">
        <v>222</v>
      </c>
      <c r="C19" s="103">
        <v>36465</v>
      </c>
      <c r="D19" s="27"/>
      <c r="E19" s="27"/>
      <c r="F19" s="27"/>
      <c r="G19" s="27"/>
      <c r="H19" s="27"/>
      <c r="I19" s="27"/>
      <c r="J19" s="27"/>
      <c r="K19" s="27"/>
      <c r="L19" s="27"/>
    </row>
    <row r="20" spans="2:12" s="28" customFormat="1" ht="12.75">
      <c r="B20" s="27" t="s">
        <v>185</v>
      </c>
      <c r="C20" s="27" t="s">
        <v>142</v>
      </c>
      <c r="D20" s="27"/>
      <c r="E20" s="27"/>
      <c r="F20" s="27"/>
      <c r="G20" s="27"/>
      <c r="H20" s="27"/>
      <c r="I20" s="27"/>
      <c r="J20" s="27"/>
      <c r="K20" s="27"/>
      <c r="L20" s="27"/>
    </row>
    <row r="21" spans="2:12" s="28" customFormat="1" ht="12.75">
      <c r="B21" s="27" t="s">
        <v>186</v>
      </c>
      <c r="C21" s="73" t="s">
        <v>160</v>
      </c>
      <c r="D21" s="27"/>
      <c r="E21" s="27"/>
      <c r="F21" s="27"/>
      <c r="G21" s="27"/>
      <c r="H21" s="27"/>
      <c r="I21" s="27"/>
      <c r="J21" s="27"/>
      <c r="K21" s="27"/>
      <c r="L21" s="27"/>
    </row>
    <row r="22" spans="2:12" s="28" customFormat="1" ht="12.75">
      <c r="B22" s="74"/>
      <c r="C22" s="76"/>
      <c r="D22" s="27"/>
      <c r="E22" s="27"/>
      <c r="F22" s="27"/>
      <c r="G22" s="27"/>
      <c r="H22" s="27"/>
      <c r="I22" s="27"/>
      <c r="J22" s="27"/>
      <c r="K22" s="27"/>
      <c r="L22" s="27"/>
    </row>
    <row r="23" spans="2:12" s="28" customFormat="1" ht="12.75">
      <c r="B23" s="72" t="s">
        <v>163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2:12" s="28" customFormat="1" ht="12.75">
      <c r="B24" s="72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2:12" s="28" customFormat="1" ht="25.5">
      <c r="B25" s="27" t="s">
        <v>181</v>
      </c>
      <c r="C25" s="58" t="s">
        <v>152</v>
      </c>
      <c r="D25" s="27"/>
      <c r="E25" s="27"/>
      <c r="F25" s="27"/>
      <c r="G25" s="27"/>
      <c r="H25" s="27"/>
      <c r="I25" s="27"/>
      <c r="J25" s="27"/>
      <c r="K25" s="27"/>
      <c r="L25" s="27"/>
    </row>
    <row r="26" spans="2:12" s="1" customFormat="1" ht="12.75">
      <c r="B26" s="9" t="s">
        <v>182</v>
      </c>
      <c r="C26" s="9" t="s">
        <v>155</v>
      </c>
      <c r="D26" s="9"/>
      <c r="E26" s="9"/>
      <c r="F26" s="9"/>
      <c r="G26" s="9"/>
      <c r="H26" s="9"/>
      <c r="I26" s="9"/>
      <c r="J26" s="9"/>
      <c r="K26" s="9"/>
      <c r="L26" s="9"/>
    </row>
    <row r="27" spans="2:12" s="1" customFormat="1" ht="12.75">
      <c r="B27" s="9" t="s">
        <v>183</v>
      </c>
      <c r="C27" s="9" t="s">
        <v>132</v>
      </c>
      <c r="D27" s="9"/>
      <c r="E27" s="9"/>
      <c r="F27" s="9"/>
      <c r="G27" s="9"/>
      <c r="H27" s="9"/>
      <c r="I27" s="9"/>
      <c r="J27" s="9"/>
      <c r="K27" s="9"/>
      <c r="L27" s="9"/>
    </row>
    <row r="28" spans="2:12" s="1" customFormat="1" ht="12.75">
      <c r="B28" s="9" t="s">
        <v>184</v>
      </c>
      <c r="C28" s="12" t="s">
        <v>167</v>
      </c>
      <c r="D28" s="9"/>
      <c r="E28" s="9"/>
      <c r="F28" s="9"/>
      <c r="G28" s="9"/>
      <c r="H28" s="9"/>
      <c r="I28" s="9"/>
      <c r="J28" s="9"/>
      <c r="K28" s="9"/>
      <c r="L28" s="9"/>
    </row>
    <row r="29" spans="2:12" s="1" customFormat="1" ht="12.75">
      <c r="B29" s="27" t="s">
        <v>222</v>
      </c>
      <c r="C29" s="103">
        <v>36647</v>
      </c>
      <c r="D29" s="9"/>
      <c r="E29" s="9"/>
      <c r="F29" s="9"/>
      <c r="G29" s="9"/>
      <c r="H29" s="9"/>
      <c r="I29" s="9"/>
      <c r="J29" s="9"/>
      <c r="K29" s="9"/>
      <c r="L29" s="9"/>
    </row>
    <row r="30" spans="2:12" s="1" customFormat="1" ht="12.75">
      <c r="B30" s="9" t="s">
        <v>185</v>
      </c>
      <c r="C30" s="30" t="s">
        <v>153</v>
      </c>
      <c r="D30" s="9"/>
      <c r="E30" s="9"/>
      <c r="F30" s="9"/>
      <c r="G30" s="9"/>
      <c r="H30" s="9"/>
      <c r="I30" s="9"/>
      <c r="J30" s="9"/>
      <c r="K30" s="9"/>
      <c r="L30" s="9"/>
    </row>
    <row r="31" spans="2:12" s="1" customFormat="1" ht="12.75">
      <c r="B31" s="9" t="s">
        <v>186</v>
      </c>
      <c r="C31" s="12" t="s">
        <v>154</v>
      </c>
      <c r="D31" s="9"/>
      <c r="E31" s="9"/>
      <c r="F31" s="9"/>
      <c r="G31" s="9"/>
      <c r="H31" s="9"/>
      <c r="I31" s="9"/>
      <c r="J31" s="9"/>
      <c r="K31" s="9"/>
      <c r="L31" s="9"/>
    </row>
    <row r="32" spans="2:12" s="1" customFormat="1" ht="12.75">
      <c r="B32" s="9"/>
      <c r="C32" s="12"/>
      <c r="D32" s="9"/>
      <c r="E32" s="9"/>
      <c r="F32" s="9"/>
      <c r="G32" s="9"/>
      <c r="H32" s="9"/>
      <c r="I32" s="9"/>
      <c r="J32" s="9"/>
      <c r="K32" s="9"/>
      <c r="L32" s="9"/>
    </row>
    <row r="33" ht="12.75">
      <c r="B33" s="2" t="s">
        <v>187</v>
      </c>
    </row>
    <row r="35" spans="2:3" ht="38.25">
      <c r="B35" s="78" t="s">
        <v>181</v>
      </c>
      <c r="C35" s="102" t="s">
        <v>218</v>
      </c>
    </row>
    <row r="36" spans="2:3" ht="12.75">
      <c r="B36" t="s">
        <v>188</v>
      </c>
      <c r="C36" s="77" t="s">
        <v>132</v>
      </c>
    </row>
    <row r="37" spans="2:3" ht="12.75">
      <c r="B37" t="s">
        <v>183</v>
      </c>
      <c r="C37" s="77" t="s">
        <v>132</v>
      </c>
    </row>
    <row r="38" spans="1:3" ht="12.75">
      <c r="A38" t="s">
        <v>187</v>
      </c>
      <c r="B38" t="s">
        <v>189</v>
      </c>
      <c r="C38" s="77" t="s">
        <v>190</v>
      </c>
    </row>
    <row r="39" spans="2:3" ht="12.75">
      <c r="B39" s="9" t="s">
        <v>184</v>
      </c>
      <c r="C39" s="104">
        <v>34143</v>
      </c>
    </row>
    <row r="40" spans="2:3" ht="12.75">
      <c r="B40" s="27" t="s">
        <v>222</v>
      </c>
      <c r="C40" s="105">
        <v>34121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07"/>
  <sheetViews>
    <sheetView workbookViewId="0" topLeftCell="B1">
      <selection activeCell="B34" sqref="A34:IV473"/>
    </sheetView>
  </sheetViews>
  <sheetFormatPr defaultColWidth="9.140625" defaultRowHeight="12.75"/>
  <cols>
    <col min="1" max="1" width="1.7109375" style="14" hidden="1" customWidth="1"/>
    <col min="2" max="2" width="19.140625" style="14" customWidth="1"/>
    <col min="3" max="3" width="9.57421875" style="14" customWidth="1"/>
    <col min="4" max="4" width="8.7109375" style="4" customWidth="1"/>
    <col min="5" max="5" width="5.8515625" style="4" customWidth="1"/>
    <col min="6" max="6" width="2.7109375" style="4" customWidth="1"/>
    <col min="7" max="7" width="10.7109375" style="14" customWidth="1"/>
    <col min="8" max="8" width="2.7109375" style="14" customWidth="1"/>
    <col min="9" max="9" width="10.7109375" style="15" customWidth="1"/>
    <col min="10" max="10" width="2.57421875" style="14" customWidth="1"/>
    <col min="11" max="11" width="11.7109375" style="14" customWidth="1"/>
    <col min="12" max="12" width="4.28125" style="14" customWidth="1"/>
    <col min="13" max="13" width="11.7109375" style="14" customWidth="1"/>
    <col min="14" max="14" width="2.140625" style="14" customWidth="1"/>
    <col min="15" max="15" width="8.8515625" style="14" customWidth="1"/>
    <col min="16" max="16" width="2.140625" style="14" customWidth="1"/>
    <col min="17" max="16384" width="8.8515625" style="14" customWidth="1"/>
  </cols>
  <sheetData>
    <row r="1" spans="2:5" ht="12.75">
      <c r="B1" s="13" t="s">
        <v>205</v>
      </c>
      <c r="C1" s="13"/>
      <c r="E1" s="31"/>
    </row>
    <row r="2" spans="2:5" ht="12.75">
      <c r="B2" s="13"/>
      <c r="C2" s="13"/>
      <c r="E2" s="31"/>
    </row>
    <row r="3" spans="2:5" ht="12.75">
      <c r="B3" s="13"/>
      <c r="C3" s="13"/>
      <c r="E3" s="31"/>
    </row>
    <row r="4" spans="1:13" ht="12.75">
      <c r="A4" s="16" t="s">
        <v>58</v>
      </c>
      <c r="B4" s="13" t="s">
        <v>166</v>
      </c>
      <c r="C4" s="14" t="s">
        <v>180</v>
      </c>
      <c r="G4" s="16" t="s">
        <v>170</v>
      </c>
      <c r="H4" s="16"/>
      <c r="I4" s="16" t="s">
        <v>171</v>
      </c>
      <c r="J4" s="16"/>
      <c r="K4" s="16" t="s">
        <v>172</v>
      </c>
      <c r="M4" s="16" t="s">
        <v>169</v>
      </c>
    </row>
    <row r="5" spans="3:6" ht="12.75">
      <c r="C5" s="23"/>
      <c r="D5" s="16"/>
      <c r="E5" s="67"/>
      <c r="F5" s="14"/>
    </row>
    <row r="6" spans="2:13" ht="12.75">
      <c r="B6" s="4" t="s">
        <v>13</v>
      </c>
      <c r="C6" s="4" t="s">
        <v>219</v>
      </c>
      <c r="D6" s="4" t="s">
        <v>14</v>
      </c>
      <c r="E6" s="16" t="s">
        <v>15</v>
      </c>
      <c r="G6" s="42">
        <v>0.0147</v>
      </c>
      <c r="H6" s="42"/>
      <c r="I6" s="42">
        <v>0.00661</v>
      </c>
      <c r="J6" s="42"/>
      <c r="K6" s="42">
        <v>0.00451</v>
      </c>
      <c r="M6" s="68">
        <f aca="true" t="shared" si="0" ref="M6:M11">AVERAGE(G6,I6,K6)</f>
        <v>0.008606666666666667</v>
      </c>
    </row>
    <row r="7" spans="2:13" ht="12.75">
      <c r="B7" s="4" t="s">
        <v>60</v>
      </c>
      <c r="C7" s="4" t="s">
        <v>219</v>
      </c>
      <c r="D7" s="4" t="s">
        <v>16</v>
      </c>
      <c r="E7" s="16" t="s">
        <v>15</v>
      </c>
      <c r="G7" s="24">
        <v>45.2</v>
      </c>
      <c r="H7" s="24"/>
      <c r="I7" s="24">
        <v>46.2</v>
      </c>
      <c r="J7" s="24"/>
      <c r="K7" s="24">
        <v>46</v>
      </c>
      <c r="L7" s="18"/>
      <c r="M7" s="18">
        <f t="shared" si="0"/>
        <v>45.800000000000004</v>
      </c>
    </row>
    <row r="8" spans="2:13" ht="12.75">
      <c r="B8" s="4" t="s">
        <v>134</v>
      </c>
      <c r="C8" s="4" t="s">
        <v>219</v>
      </c>
      <c r="D8" s="4" t="s">
        <v>16</v>
      </c>
      <c r="E8" s="16" t="s">
        <v>15</v>
      </c>
      <c r="G8" s="24">
        <v>45</v>
      </c>
      <c r="H8" s="24"/>
      <c r="I8" s="24">
        <v>55.8</v>
      </c>
      <c r="J8" s="24"/>
      <c r="K8" s="24">
        <v>77</v>
      </c>
      <c r="L8" s="18"/>
      <c r="M8" s="18">
        <f t="shared" si="0"/>
        <v>59.26666666666667</v>
      </c>
    </row>
    <row r="9" spans="2:15" ht="12.75">
      <c r="B9" s="4" t="s">
        <v>25</v>
      </c>
      <c r="C9" s="4" t="s">
        <v>219</v>
      </c>
      <c r="D9" s="4" t="s">
        <v>16</v>
      </c>
      <c r="E9" s="16" t="s">
        <v>15</v>
      </c>
      <c r="G9" s="63">
        <v>1706</v>
      </c>
      <c r="H9" s="63"/>
      <c r="I9" s="63">
        <v>1301</v>
      </c>
      <c r="J9" s="63"/>
      <c r="K9" s="63">
        <v>1871</v>
      </c>
      <c r="M9" s="21">
        <f t="shared" si="0"/>
        <v>1626</v>
      </c>
      <c r="O9" s="37"/>
    </row>
    <row r="10" spans="2:15" ht="12.75">
      <c r="B10" s="4" t="s">
        <v>26</v>
      </c>
      <c r="C10" s="4" t="s">
        <v>219</v>
      </c>
      <c r="D10" s="4" t="s">
        <v>16</v>
      </c>
      <c r="E10" s="16" t="s">
        <v>15</v>
      </c>
      <c r="G10" s="46">
        <v>81.7</v>
      </c>
      <c r="H10" s="46"/>
      <c r="I10" s="46">
        <v>5.45</v>
      </c>
      <c r="J10" s="46"/>
      <c r="K10" s="46">
        <v>39.8</v>
      </c>
      <c r="M10" s="21">
        <f t="shared" si="0"/>
        <v>42.31666666666667</v>
      </c>
      <c r="O10" s="37"/>
    </row>
    <row r="11" spans="2:13" ht="12.75">
      <c r="B11" s="4" t="s">
        <v>55</v>
      </c>
      <c r="C11" s="4" t="s">
        <v>219</v>
      </c>
      <c r="D11" s="4" t="s">
        <v>16</v>
      </c>
      <c r="E11" s="16" t="s">
        <v>15</v>
      </c>
      <c r="G11" s="7">
        <f>G9+2*G10</f>
        <v>1869.4</v>
      </c>
      <c r="H11" s="7"/>
      <c r="I11" s="7">
        <f>I9+2*I10</f>
        <v>1311.9</v>
      </c>
      <c r="J11" s="7"/>
      <c r="K11" s="7">
        <f>K9+2*K10</f>
        <v>1950.6</v>
      </c>
      <c r="L11" s="6"/>
      <c r="M11" s="21">
        <f t="shared" si="0"/>
        <v>1710.6333333333332</v>
      </c>
    </row>
    <row r="12" spans="4:9" ht="12.75">
      <c r="D12" s="14"/>
      <c r="E12" s="14"/>
      <c r="F12" s="14"/>
      <c r="I12" s="14"/>
    </row>
    <row r="13" spans="2:13" ht="12.75">
      <c r="B13" s="4" t="s">
        <v>108</v>
      </c>
      <c r="D13" s="4" t="s">
        <v>28</v>
      </c>
      <c r="E13" s="14"/>
      <c r="F13" s="14"/>
      <c r="G13" s="50">
        <v>0.000141</v>
      </c>
      <c r="H13" s="50"/>
      <c r="I13" s="50">
        <v>4.79E-05</v>
      </c>
      <c r="K13" s="50">
        <v>6.43E-05</v>
      </c>
      <c r="M13" s="50"/>
    </row>
    <row r="14" spans="2:13" ht="12.75">
      <c r="B14" s="4" t="s">
        <v>107</v>
      </c>
      <c r="D14" s="4" t="s">
        <v>28</v>
      </c>
      <c r="E14" s="14"/>
      <c r="F14" s="14"/>
      <c r="G14" s="50">
        <v>0.000471</v>
      </c>
      <c r="I14" s="50">
        <v>0.000475</v>
      </c>
      <c r="K14" s="50">
        <v>0.000477</v>
      </c>
      <c r="M14" s="50"/>
    </row>
    <row r="15" spans="2:13" ht="12.75">
      <c r="B15" s="4" t="s">
        <v>109</v>
      </c>
      <c r="D15" s="4" t="s">
        <v>28</v>
      </c>
      <c r="E15" s="14"/>
      <c r="F15" s="14"/>
      <c r="G15" s="50">
        <v>0.00168</v>
      </c>
      <c r="I15" s="50">
        <v>0.000734</v>
      </c>
      <c r="K15" s="50">
        <v>0.000777</v>
      </c>
      <c r="M15" s="50"/>
    </row>
    <row r="16" spans="2:13" ht="12.75">
      <c r="B16" s="4" t="s">
        <v>110</v>
      </c>
      <c r="D16" s="4" t="s">
        <v>28</v>
      </c>
      <c r="E16" s="14"/>
      <c r="F16" s="14" t="s">
        <v>106</v>
      </c>
      <c r="G16" s="50">
        <v>4.17E-06</v>
      </c>
      <c r="H16" s="14" t="s">
        <v>106</v>
      </c>
      <c r="I16" s="50">
        <v>3.86E-06</v>
      </c>
      <c r="J16" s="50" t="s">
        <v>106</v>
      </c>
      <c r="K16" s="50">
        <v>5.11E-05</v>
      </c>
      <c r="M16" s="50"/>
    </row>
    <row r="17" spans="2:13" ht="12.75">
      <c r="B17" s="4" t="s">
        <v>111</v>
      </c>
      <c r="D17" s="4" t="s">
        <v>28</v>
      </c>
      <c r="E17" s="14"/>
      <c r="F17" s="14"/>
      <c r="G17" s="50">
        <v>0.000113</v>
      </c>
      <c r="I17" s="50">
        <v>0.000161</v>
      </c>
      <c r="K17" s="50">
        <v>0.00023</v>
      </c>
      <c r="M17" s="50"/>
    </row>
    <row r="18" spans="2:13" ht="12.75">
      <c r="B18" s="4" t="s">
        <v>112</v>
      </c>
      <c r="D18" s="4" t="s">
        <v>28</v>
      </c>
      <c r="E18" s="14"/>
      <c r="F18" s="14"/>
      <c r="G18" s="50">
        <v>0.000442</v>
      </c>
      <c r="I18" s="50">
        <v>0.000392</v>
      </c>
      <c r="K18" s="50">
        <v>0.000503</v>
      </c>
      <c r="M18" s="50"/>
    </row>
    <row r="19" spans="2:13" ht="12.75">
      <c r="B19" s="81" t="s">
        <v>193</v>
      </c>
      <c r="D19" s="4" t="s">
        <v>28</v>
      </c>
      <c r="E19" s="14"/>
      <c r="F19" s="14" t="s">
        <v>106</v>
      </c>
      <c r="G19" s="50">
        <v>4.28E-05</v>
      </c>
      <c r="H19" s="14" t="s">
        <v>106</v>
      </c>
      <c r="I19" s="50">
        <v>4.67E-05</v>
      </c>
      <c r="J19" s="14" t="s">
        <v>106</v>
      </c>
      <c r="K19" s="50">
        <v>4.7E-05</v>
      </c>
      <c r="M19" s="50"/>
    </row>
    <row r="20" spans="2:13" ht="12.75">
      <c r="B20" s="4" t="s">
        <v>135</v>
      </c>
      <c r="D20" s="4" t="s">
        <v>28</v>
      </c>
      <c r="E20" s="14"/>
      <c r="F20" s="14"/>
      <c r="G20" s="50">
        <v>8.8E-05</v>
      </c>
      <c r="H20" s="14" t="s">
        <v>106</v>
      </c>
      <c r="I20" s="50">
        <v>3.86E-05</v>
      </c>
      <c r="K20" s="50">
        <v>0.000101</v>
      </c>
      <c r="M20" s="50"/>
    </row>
    <row r="21" spans="2:13" ht="12.75">
      <c r="B21" s="4" t="s">
        <v>113</v>
      </c>
      <c r="D21" s="4" t="s">
        <v>28</v>
      </c>
      <c r="E21" s="14"/>
      <c r="F21" s="14"/>
      <c r="G21" s="50">
        <v>0.00119</v>
      </c>
      <c r="I21" s="50">
        <v>0.000442</v>
      </c>
      <c r="K21" s="50">
        <v>0.000665</v>
      </c>
      <c r="M21" s="50"/>
    </row>
    <row r="22" spans="2:13" ht="12.75">
      <c r="B22" s="4" t="s">
        <v>114</v>
      </c>
      <c r="D22" s="4" t="s">
        <v>28</v>
      </c>
      <c r="E22" s="14"/>
      <c r="F22" s="14"/>
      <c r="G22" s="50">
        <v>0.00194</v>
      </c>
      <c r="I22" s="50">
        <v>0.00323</v>
      </c>
      <c r="K22" s="50">
        <v>0.00477</v>
      </c>
      <c r="M22" s="50"/>
    </row>
    <row r="23" spans="2:13" ht="12.75">
      <c r="B23" s="4" t="s">
        <v>136</v>
      </c>
      <c r="D23" s="4" t="s">
        <v>28</v>
      </c>
      <c r="E23" s="14"/>
      <c r="F23" s="14"/>
      <c r="G23" s="50">
        <v>0.00252</v>
      </c>
      <c r="I23" s="50">
        <v>0.000368</v>
      </c>
      <c r="K23" s="50">
        <v>0.00146</v>
      </c>
      <c r="M23" s="50"/>
    </row>
    <row r="24" spans="2:13" ht="12.75">
      <c r="B24" s="4" t="s">
        <v>115</v>
      </c>
      <c r="D24" s="4" t="s">
        <v>28</v>
      </c>
      <c r="E24" s="14"/>
      <c r="F24" s="14"/>
      <c r="G24" s="50">
        <v>0.000302</v>
      </c>
      <c r="I24" s="50">
        <v>0.000291</v>
      </c>
      <c r="K24" s="50">
        <v>0.000154</v>
      </c>
      <c r="M24" s="50"/>
    </row>
    <row r="25" spans="2:13" ht="12.75">
      <c r="B25" s="4" t="s">
        <v>116</v>
      </c>
      <c r="D25" s="4" t="s">
        <v>28</v>
      </c>
      <c r="E25" s="14"/>
      <c r="F25" s="14"/>
      <c r="G25" s="50">
        <v>0.00212</v>
      </c>
      <c r="I25" s="50">
        <v>9.89E-05</v>
      </c>
      <c r="K25" s="50">
        <v>0.000482</v>
      </c>
      <c r="M25" s="50"/>
    </row>
    <row r="26" spans="2:13" ht="12.75">
      <c r="B26" s="4" t="s">
        <v>117</v>
      </c>
      <c r="D26" s="4" t="s">
        <v>28</v>
      </c>
      <c r="E26" s="14"/>
      <c r="F26" s="14"/>
      <c r="G26" s="50">
        <v>0.000646</v>
      </c>
      <c r="I26" s="50">
        <v>0.000742</v>
      </c>
      <c r="K26" s="50">
        <v>0.000624</v>
      </c>
      <c r="M26" s="50"/>
    </row>
    <row r="27" spans="2:13" ht="12.75">
      <c r="B27" s="4" t="s">
        <v>118</v>
      </c>
      <c r="D27" s="4" t="s">
        <v>28</v>
      </c>
      <c r="E27" s="14"/>
      <c r="F27" s="14"/>
      <c r="G27" s="50">
        <v>2.84E-05</v>
      </c>
      <c r="I27" s="50">
        <v>1.89E-05</v>
      </c>
      <c r="J27" s="14" t="s">
        <v>106</v>
      </c>
      <c r="K27" s="50">
        <v>1.51E-05</v>
      </c>
      <c r="M27" s="50"/>
    </row>
    <row r="28" spans="2:13" ht="12.75">
      <c r="B28" s="4" t="s">
        <v>119</v>
      </c>
      <c r="D28" s="4" t="s">
        <v>28</v>
      </c>
      <c r="E28" s="14"/>
      <c r="F28" s="14" t="s">
        <v>106</v>
      </c>
      <c r="G28" s="50">
        <v>4.17E-05</v>
      </c>
      <c r="H28" s="14" t="s">
        <v>106</v>
      </c>
      <c r="I28" s="50">
        <v>3.86E-05</v>
      </c>
      <c r="J28" s="14" t="s">
        <v>106</v>
      </c>
      <c r="K28" s="50">
        <v>3.78E-05</v>
      </c>
      <c r="M28" s="50"/>
    </row>
    <row r="29" spans="2:13" ht="12.75">
      <c r="B29" s="4" t="s">
        <v>120</v>
      </c>
      <c r="D29" s="4" t="s">
        <v>28</v>
      </c>
      <c r="E29" s="14"/>
      <c r="F29" s="14"/>
      <c r="G29" s="50">
        <v>0.002</v>
      </c>
      <c r="I29" s="50">
        <v>0.000515</v>
      </c>
      <c r="K29" s="50">
        <v>0.00104</v>
      </c>
      <c r="M29" s="50"/>
    </row>
    <row r="30" spans="2:13" ht="12.75">
      <c r="B30" s="4"/>
      <c r="C30" s="4"/>
      <c r="G30" s="19"/>
      <c r="H30" s="19"/>
      <c r="I30" s="20"/>
      <c r="J30" s="19"/>
      <c r="K30" s="19"/>
      <c r="L30" s="16"/>
      <c r="M30" s="21"/>
    </row>
    <row r="31" spans="2:13" ht="12.75">
      <c r="B31" s="4" t="s">
        <v>56</v>
      </c>
      <c r="C31" s="4" t="s">
        <v>52</v>
      </c>
      <c r="D31" s="4" t="s">
        <v>219</v>
      </c>
      <c r="L31" s="16"/>
      <c r="M31" s="52"/>
    </row>
    <row r="32" spans="2:13" ht="12.75">
      <c r="B32" s="4" t="s">
        <v>51</v>
      </c>
      <c r="C32" s="4"/>
      <c r="D32" s="4" t="s">
        <v>17</v>
      </c>
      <c r="G32" s="19">
        <v>24822</v>
      </c>
      <c r="H32" s="19"/>
      <c r="I32" s="19">
        <v>27419</v>
      </c>
      <c r="J32" s="7"/>
      <c r="K32" s="19">
        <v>27303</v>
      </c>
      <c r="M32" s="21">
        <f>AVERAGE(G32,I32,K32)</f>
        <v>26514.666666666668</v>
      </c>
    </row>
    <row r="33" spans="2:13" ht="12.75">
      <c r="B33" s="4" t="s">
        <v>53</v>
      </c>
      <c r="C33" s="4"/>
      <c r="D33" s="4" t="s">
        <v>18</v>
      </c>
      <c r="G33" s="24">
        <v>16.5</v>
      </c>
      <c r="H33" s="19"/>
      <c r="I33" s="24">
        <v>16.5</v>
      </c>
      <c r="J33" s="19"/>
      <c r="K33" s="24">
        <v>16.5</v>
      </c>
      <c r="M33" s="18">
        <f>AVERAGE(G33,I33,K33)</f>
        <v>16.5</v>
      </c>
    </row>
    <row r="34" spans="2:13" ht="12.75">
      <c r="B34" s="4" t="s">
        <v>54</v>
      </c>
      <c r="C34" s="4"/>
      <c r="D34" s="4" t="s">
        <v>18</v>
      </c>
      <c r="G34" s="24">
        <v>5.3</v>
      </c>
      <c r="H34" s="19"/>
      <c r="I34" s="24">
        <v>5.7</v>
      </c>
      <c r="J34" s="19"/>
      <c r="K34" s="24">
        <v>6.4</v>
      </c>
      <c r="M34" s="18">
        <f>AVERAGE(G34,I34,K34)</f>
        <v>5.8</v>
      </c>
    </row>
    <row r="35" spans="2:13" ht="12.75">
      <c r="B35" s="4" t="s">
        <v>50</v>
      </c>
      <c r="C35" s="4"/>
      <c r="D35" s="4" t="s">
        <v>19</v>
      </c>
      <c r="G35" s="63">
        <v>326</v>
      </c>
      <c r="H35" s="7"/>
      <c r="I35" s="63">
        <v>340</v>
      </c>
      <c r="J35" s="7"/>
      <c r="K35" s="63">
        <v>347</v>
      </c>
      <c r="M35" s="21">
        <f>AVERAGE(G35,I35,K35)</f>
        <v>337.6666666666667</v>
      </c>
    </row>
    <row r="36" spans="2:13" ht="12.75">
      <c r="B36" s="4"/>
      <c r="C36" s="4"/>
      <c r="G36" s="19"/>
      <c r="H36" s="19"/>
      <c r="I36" s="20"/>
      <c r="J36" s="19"/>
      <c r="K36" s="19"/>
      <c r="M36" s="52"/>
    </row>
    <row r="37" spans="2:13" ht="12.75">
      <c r="B37" s="4" t="s">
        <v>56</v>
      </c>
      <c r="C37" s="4" t="s">
        <v>122</v>
      </c>
      <c r="D37" s="4" t="s">
        <v>220</v>
      </c>
      <c r="G37" s="19"/>
      <c r="H37" s="19"/>
      <c r="I37" s="20"/>
      <c r="J37" s="19"/>
      <c r="K37" s="19"/>
      <c r="M37" s="52"/>
    </row>
    <row r="38" spans="2:13" ht="12.75">
      <c r="B38" s="4" t="s">
        <v>51</v>
      </c>
      <c r="C38" s="4"/>
      <c r="D38" s="4" t="s">
        <v>17</v>
      </c>
      <c r="G38" s="19">
        <v>25216</v>
      </c>
      <c r="H38" s="19"/>
      <c r="I38" s="20">
        <v>27232</v>
      </c>
      <c r="J38" s="19"/>
      <c r="K38" s="19">
        <v>27760</v>
      </c>
      <c r="M38" s="52"/>
    </row>
    <row r="39" spans="2:13" ht="12.75">
      <c r="B39" s="4" t="s">
        <v>53</v>
      </c>
      <c r="C39" s="4"/>
      <c r="D39" s="4" t="s">
        <v>18</v>
      </c>
      <c r="G39" s="19">
        <v>16.5</v>
      </c>
      <c r="H39" s="19"/>
      <c r="I39" s="20">
        <v>16.5</v>
      </c>
      <c r="J39" s="19"/>
      <c r="K39" s="19">
        <v>16.4</v>
      </c>
      <c r="M39" s="52"/>
    </row>
    <row r="40" spans="2:13" ht="12.75">
      <c r="B40" s="4" t="s">
        <v>54</v>
      </c>
      <c r="C40" s="4"/>
      <c r="D40" s="4" t="s">
        <v>18</v>
      </c>
      <c r="G40" s="19">
        <v>5.6</v>
      </c>
      <c r="H40" s="19"/>
      <c r="I40" s="20">
        <v>5.5</v>
      </c>
      <c r="J40" s="19"/>
      <c r="K40" s="19">
        <v>5.7</v>
      </c>
      <c r="M40" s="52"/>
    </row>
    <row r="41" spans="2:13" ht="12.75">
      <c r="B41" s="4" t="s">
        <v>50</v>
      </c>
      <c r="C41" s="4"/>
      <c r="D41" s="4" t="s">
        <v>19</v>
      </c>
      <c r="G41" s="19">
        <v>319</v>
      </c>
      <c r="H41" s="19"/>
      <c r="I41" s="20">
        <v>332</v>
      </c>
      <c r="J41" s="19"/>
      <c r="K41" s="19">
        <v>342</v>
      </c>
      <c r="M41" s="52"/>
    </row>
    <row r="42" spans="2:13" ht="12.75">
      <c r="B42" s="4"/>
      <c r="C42" s="4"/>
      <c r="G42" s="19"/>
      <c r="H42" s="19"/>
      <c r="I42" s="20"/>
      <c r="J42" s="19"/>
      <c r="K42" s="19"/>
      <c r="M42" s="52"/>
    </row>
    <row r="43" spans="2:13" ht="13.5" customHeight="1">
      <c r="B43" s="4"/>
      <c r="C43" s="4"/>
      <c r="G43" s="19"/>
      <c r="H43" s="19"/>
      <c r="I43" s="20"/>
      <c r="J43" s="19"/>
      <c r="K43" s="19"/>
      <c r="L43" s="16"/>
      <c r="M43" s="21"/>
    </row>
    <row r="44" spans="2:13" ht="12.75">
      <c r="B44" s="4"/>
      <c r="C44" s="4"/>
      <c r="E44" s="16"/>
      <c r="G44" s="5"/>
      <c r="H44" s="6"/>
      <c r="I44" s="5"/>
      <c r="J44" s="6"/>
      <c r="K44" s="5"/>
      <c r="L44" s="6"/>
      <c r="M44" s="21"/>
    </row>
    <row r="45" spans="2:13" ht="12.75">
      <c r="B45" s="4"/>
      <c r="C45" s="4"/>
      <c r="E45" s="16"/>
      <c r="G45" s="5"/>
      <c r="H45" s="6"/>
      <c r="I45" s="5"/>
      <c r="J45" s="6"/>
      <c r="K45" s="5"/>
      <c r="L45" s="6"/>
      <c r="M45" s="21"/>
    </row>
    <row r="46" spans="2:13" ht="12.75">
      <c r="B46" s="4" t="s">
        <v>108</v>
      </c>
      <c r="C46" s="4" t="s">
        <v>220</v>
      </c>
      <c r="D46" s="4" t="s">
        <v>34</v>
      </c>
      <c r="E46" s="16" t="s">
        <v>15</v>
      </c>
      <c r="F46" s="14"/>
      <c r="G46" s="5">
        <f>G13*1/60*454*1000000/(G$38*0.0283)*(21-7)/(21-G$39)</f>
        <v>4.651324141669607</v>
      </c>
      <c r="H46" s="50"/>
      <c r="I46" s="5">
        <f>I13*1/60*454*1000000/(I$38*0.0283)*(21-7)/(21-I$39)</f>
        <v>1.463152736389793</v>
      </c>
      <c r="K46" s="5">
        <f>K13*1/60*454*1000000/(K$38*0.0283)*(21-7)/(21-K$39)</f>
        <v>1.8848634027605902</v>
      </c>
      <c r="L46" s="6"/>
      <c r="M46" s="52">
        <f>AVERAGE(G46,I46,K46)</f>
        <v>2.66644676027333</v>
      </c>
    </row>
    <row r="47" spans="2:13" ht="12.75">
      <c r="B47" s="4" t="s">
        <v>107</v>
      </c>
      <c r="C47" s="4" t="s">
        <v>220</v>
      </c>
      <c r="D47" s="4" t="s">
        <v>34</v>
      </c>
      <c r="E47" s="16" t="s">
        <v>15</v>
      </c>
      <c r="F47" s="14"/>
      <c r="G47" s="5">
        <f aca="true" t="shared" si="1" ref="G47:G62">G14*1/60*454*1000000/(G$38*0.0283)*(21-7)/(21-G$39)</f>
        <v>15.53740192004528</v>
      </c>
      <c r="I47" s="5">
        <f aca="true" t="shared" si="2" ref="I47:I61">I14*1/60*454*1000000/(I$38*0.0283)*(21-7)/(21-I$39)</f>
        <v>14.509343419314227</v>
      </c>
      <c r="K47" s="5">
        <f aca="true" t="shared" si="3" ref="K47:K62">K14*1/60*454*1000000/(K$38*0.0283)*(21-7)/(21-K$39)</f>
        <v>13.982579208659434</v>
      </c>
      <c r="L47" s="16"/>
      <c r="M47" s="52">
        <f aca="true" t="shared" si="4" ref="M47:M65">AVERAGE(G47,I47,K47)</f>
        <v>14.676441516006314</v>
      </c>
    </row>
    <row r="48" spans="1:13" ht="12.75">
      <c r="A48" s="16"/>
      <c r="B48" s="4" t="s">
        <v>109</v>
      </c>
      <c r="C48" s="4" t="s">
        <v>220</v>
      </c>
      <c r="D48" s="4" t="s">
        <v>34</v>
      </c>
      <c r="E48" s="16" t="s">
        <v>15</v>
      </c>
      <c r="F48" s="14"/>
      <c r="G48" s="5">
        <f t="shared" si="1"/>
        <v>55.420032326276164</v>
      </c>
      <c r="I48" s="5">
        <f t="shared" si="2"/>
        <v>22.420753831108723</v>
      </c>
      <c r="K48" s="5">
        <f t="shared" si="3"/>
        <v>22.776654182659072</v>
      </c>
      <c r="L48" s="19"/>
      <c r="M48" s="52">
        <f t="shared" si="4"/>
        <v>33.539146780014654</v>
      </c>
    </row>
    <row r="49" spans="2:13" ht="12.75">
      <c r="B49" s="4" t="s">
        <v>110</v>
      </c>
      <c r="C49" s="4" t="s">
        <v>220</v>
      </c>
      <c r="D49" s="4" t="s">
        <v>34</v>
      </c>
      <c r="E49" s="16" t="s">
        <v>15</v>
      </c>
      <c r="F49" s="14" t="s">
        <v>106</v>
      </c>
      <c r="G49" s="5">
        <f t="shared" si="1"/>
        <v>0.1375604373812926</v>
      </c>
      <c r="H49" s="14" t="s">
        <v>106</v>
      </c>
      <c r="I49" s="5">
        <f t="shared" si="2"/>
        <v>0.11790750652326934</v>
      </c>
      <c r="J49" s="50" t="s">
        <v>106</v>
      </c>
      <c r="K49" s="5">
        <f t="shared" si="3"/>
        <v>1.4979241039046058</v>
      </c>
      <c r="L49" s="14">
        <v>100</v>
      </c>
      <c r="M49" s="52">
        <f t="shared" si="4"/>
        <v>0.5844640159363893</v>
      </c>
    </row>
    <row r="50" spans="2:13" ht="12.75">
      <c r="B50" s="4" t="s">
        <v>111</v>
      </c>
      <c r="C50" s="4" t="s">
        <v>220</v>
      </c>
      <c r="D50" s="4" t="s">
        <v>34</v>
      </c>
      <c r="E50" s="16" t="s">
        <v>15</v>
      </c>
      <c r="F50" s="14"/>
      <c r="G50" s="5">
        <f t="shared" si="1"/>
        <v>3.72765693623167</v>
      </c>
      <c r="I50" s="5">
        <f t="shared" si="2"/>
        <v>4.9179037694938765</v>
      </c>
      <c r="K50" s="5">
        <f t="shared" si="3"/>
        <v>6.74212414673306</v>
      </c>
      <c r="M50" s="52">
        <f t="shared" si="4"/>
        <v>5.129228284152869</v>
      </c>
    </row>
    <row r="51" spans="2:13" ht="12.75">
      <c r="B51" s="4" t="s">
        <v>112</v>
      </c>
      <c r="C51" s="4" t="s">
        <v>220</v>
      </c>
      <c r="D51" s="4" t="s">
        <v>34</v>
      </c>
      <c r="E51" s="16" t="s">
        <v>15</v>
      </c>
      <c r="F51" s="14"/>
      <c r="G51" s="5">
        <f t="shared" si="1"/>
        <v>14.58074660012742</v>
      </c>
      <c r="I51" s="5">
        <f t="shared" si="2"/>
        <v>11.974026569202481</v>
      </c>
      <c r="K51" s="5">
        <f t="shared" si="3"/>
        <v>14.744732373072733</v>
      </c>
      <c r="M51" s="52">
        <f t="shared" si="4"/>
        <v>13.766501847467543</v>
      </c>
    </row>
    <row r="52" spans="2:13" ht="12.75">
      <c r="B52" s="81" t="s">
        <v>193</v>
      </c>
      <c r="C52" s="4" t="s">
        <v>220</v>
      </c>
      <c r="D52" s="4" t="s">
        <v>34</v>
      </c>
      <c r="E52" s="16" t="s">
        <v>15</v>
      </c>
      <c r="F52" s="14" t="s">
        <v>106</v>
      </c>
      <c r="G52" s="5">
        <f t="shared" si="1"/>
        <v>1.4118912997408453</v>
      </c>
      <c r="H52" s="14" t="s">
        <v>106</v>
      </c>
      <c r="I52" s="5">
        <f t="shared" si="2"/>
        <v>1.426497553014683</v>
      </c>
      <c r="J52" s="14" t="s">
        <v>106</v>
      </c>
      <c r="K52" s="5">
        <f t="shared" si="3"/>
        <v>1.3777384125932772</v>
      </c>
      <c r="L52" s="14">
        <v>100</v>
      </c>
      <c r="M52" s="52">
        <f t="shared" si="4"/>
        <v>1.4053757551162687</v>
      </c>
    </row>
    <row r="53" spans="2:13" ht="12.75">
      <c r="B53" s="4" t="s">
        <v>135</v>
      </c>
      <c r="C53" s="4" t="s">
        <v>220</v>
      </c>
      <c r="D53" s="4" t="s">
        <v>34</v>
      </c>
      <c r="E53" s="16" t="s">
        <v>15</v>
      </c>
      <c r="F53" s="14"/>
      <c r="G53" s="5">
        <f t="shared" si="1"/>
        <v>2.9029540742335134</v>
      </c>
      <c r="H53" s="14" t="s">
        <v>106</v>
      </c>
      <c r="I53" s="5">
        <f t="shared" si="2"/>
        <v>1.1790750652326933</v>
      </c>
      <c r="K53" s="5">
        <f t="shared" si="3"/>
        <v>2.960671907913213</v>
      </c>
      <c r="L53" s="18"/>
      <c r="M53" s="52">
        <f t="shared" si="4"/>
        <v>2.3475670157931403</v>
      </c>
    </row>
    <row r="54" spans="2:13" ht="12.75">
      <c r="B54" s="4" t="s">
        <v>113</v>
      </c>
      <c r="C54" s="4" t="s">
        <v>220</v>
      </c>
      <c r="D54" s="4" t="s">
        <v>34</v>
      </c>
      <c r="E54" s="16" t="s">
        <v>15</v>
      </c>
      <c r="F54" s="14"/>
      <c r="G54" s="5">
        <f t="shared" si="1"/>
        <v>39.25585623111228</v>
      </c>
      <c r="I54" s="5">
        <f t="shared" si="2"/>
        <v>13.501325876498715</v>
      </c>
      <c r="K54" s="5">
        <f t="shared" si="3"/>
        <v>19.493532859032538</v>
      </c>
      <c r="M54" s="52">
        <f t="shared" si="4"/>
        <v>24.083571655547846</v>
      </c>
    </row>
    <row r="55" spans="2:13" ht="12.75">
      <c r="B55" s="4" t="s">
        <v>114</v>
      </c>
      <c r="C55" s="4" t="s">
        <v>220</v>
      </c>
      <c r="D55" s="4" t="s">
        <v>34</v>
      </c>
      <c r="E55" s="16" t="s">
        <v>15</v>
      </c>
      <c r="F55" s="14"/>
      <c r="G55" s="5">
        <f t="shared" si="1"/>
        <v>63.99694209105701</v>
      </c>
      <c r="I55" s="5">
        <f t="shared" si="2"/>
        <v>98.66353525133675</v>
      </c>
      <c r="K55" s="5">
        <f t="shared" si="3"/>
        <v>139.82579208659433</v>
      </c>
      <c r="M55" s="52">
        <f t="shared" si="4"/>
        <v>100.82875647632936</v>
      </c>
    </row>
    <row r="56" spans="2:13" ht="12.75">
      <c r="B56" s="4" t="s">
        <v>136</v>
      </c>
      <c r="C56" s="4" t="s">
        <v>220</v>
      </c>
      <c r="D56" s="4" t="s">
        <v>34</v>
      </c>
      <c r="E56" s="16" t="s">
        <v>15</v>
      </c>
      <c r="F56" s="14"/>
      <c r="G56" s="5">
        <f t="shared" si="1"/>
        <v>83.13004848941424</v>
      </c>
      <c r="I56" s="5">
        <f t="shared" si="2"/>
        <v>11.24092290170029</v>
      </c>
      <c r="K56" s="5">
        <f t="shared" si="3"/>
        <v>42.79783154013159</v>
      </c>
      <c r="M56" s="52">
        <f t="shared" si="4"/>
        <v>45.722934310415376</v>
      </c>
    </row>
    <row r="57" spans="2:13" ht="12.75">
      <c r="B57" s="4" t="s">
        <v>115</v>
      </c>
      <c r="C57" s="4" t="s">
        <v>220</v>
      </c>
      <c r="D57" s="4" t="s">
        <v>34</v>
      </c>
      <c r="E57" s="16" t="s">
        <v>15</v>
      </c>
      <c r="F57" s="14"/>
      <c r="G57" s="5">
        <f t="shared" si="1"/>
        <v>9.96241057293774</v>
      </c>
      <c r="I57" s="5">
        <f t="shared" si="2"/>
        <v>8.888881968464085</v>
      </c>
      <c r="K57" s="5">
        <f t="shared" si="3"/>
        <v>4.514291819986483</v>
      </c>
      <c r="M57" s="52">
        <f t="shared" si="4"/>
        <v>7.788528120462769</v>
      </c>
    </row>
    <row r="58" spans="2:13" ht="12.75">
      <c r="B58" s="4" t="s">
        <v>116</v>
      </c>
      <c r="C58" s="4" t="s">
        <v>220</v>
      </c>
      <c r="D58" s="4" t="s">
        <v>34</v>
      </c>
      <c r="E58" s="16" t="s">
        <v>15</v>
      </c>
      <c r="F58" s="14"/>
      <c r="G58" s="5">
        <f t="shared" si="1"/>
        <v>69.93480269744371</v>
      </c>
      <c r="I58" s="5">
        <f t="shared" si="2"/>
        <v>3.0209980298319525</v>
      </c>
      <c r="K58" s="5">
        <f t="shared" si="3"/>
        <v>14.12914712489276</v>
      </c>
      <c r="M58" s="52">
        <f t="shared" si="4"/>
        <v>29.02831595072281</v>
      </c>
    </row>
    <row r="59" spans="2:13" ht="12.75">
      <c r="B59" s="4" t="s">
        <v>117</v>
      </c>
      <c r="C59" s="4" t="s">
        <v>220</v>
      </c>
      <c r="D59" s="4" t="s">
        <v>34</v>
      </c>
      <c r="E59" s="16" t="s">
        <v>15</v>
      </c>
      <c r="F59" s="14"/>
      <c r="G59" s="5">
        <f t="shared" si="1"/>
        <v>21.31032195403238</v>
      </c>
      <c r="I59" s="5">
        <f t="shared" si="2"/>
        <v>22.665121720276126</v>
      </c>
      <c r="K59" s="5">
        <f t="shared" si="3"/>
        <v>18.291675945919263</v>
      </c>
      <c r="M59" s="52">
        <f t="shared" si="4"/>
        <v>20.755706540075924</v>
      </c>
    </row>
    <row r="60" spans="2:13" ht="12.75">
      <c r="B60" s="4" t="s">
        <v>118</v>
      </c>
      <c r="C60" s="4" t="s">
        <v>220</v>
      </c>
      <c r="D60" s="4" t="s">
        <v>34</v>
      </c>
      <c r="E60" s="16" t="s">
        <v>15</v>
      </c>
      <c r="F60" s="14"/>
      <c r="G60" s="5">
        <f t="shared" si="1"/>
        <v>0.9368624512299066</v>
      </c>
      <c r="I60" s="5">
        <f t="shared" si="2"/>
        <v>0.5773191381579768</v>
      </c>
      <c r="J60" s="14" t="s">
        <v>106</v>
      </c>
      <c r="K60" s="5">
        <f t="shared" si="3"/>
        <v>0.44263510702464864</v>
      </c>
      <c r="M60" s="52">
        <f t="shared" si="4"/>
        <v>0.6522722321375106</v>
      </c>
    </row>
    <row r="61" spans="2:13" ht="12.75">
      <c r="B61" s="4" t="s">
        <v>119</v>
      </c>
      <c r="C61" s="4" t="s">
        <v>220</v>
      </c>
      <c r="D61" s="4" t="s">
        <v>34</v>
      </c>
      <c r="E61" s="16" t="s">
        <v>15</v>
      </c>
      <c r="F61" s="14" t="s">
        <v>106</v>
      </c>
      <c r="G61" s="5">
        <f t="shared" si="1"/>
        <v>1.375604373812926</v>
      </c>
      <c r="H61" s="14" t="s">
        <v>106</v>
      </c>
      <c r="I61" s="5">
        <f t="shared" si="2"/>
        <v>1.1790750652326933</v>
      </c>
      <c r="J61" s="14" t="s">
        <v>106</v>
      </c>
      <c r="K61" s="5">
        <f t="shared" si="3"/>
        <v>1.1080534467239551</v>
      </c>
      <c r="L61" s="14">
        <v>100</v>
      </c>
      <c r="M61" s="52">
        <f t="shared" si="4"/>
        <v>1.2209109619231915</v>
      </c>
    </row>
    <row r="62" spans="2:13" ht="12.75">
      <c r="B62" s="4" t="s">
        <v>120</v>
      </c>
      <c r="C62" s="4" t="s">
        <v>220</v>
      </c>
      <c r="D62" s="4" t="s">
        <v>34</v>
      </c>
      <c r="E62" s="16" t="s">
        <v>15</v>
      </c>
      <c r="F62" s="14"/>
      <c r="G62" s="5">
        <f t="shared" si="1"/>
        <v>65.97622895985256</v>
      </c>
      <c r="I62" s="5">
        <f>I29*1/60*454*1000000/(I$38*0.0283)*(21-7)/(21-I$39)</f>
        <v>15.731182865151222</v>
      </c>
      <c r="K62" s="5">
        <f t="shared" si="3"/>
        <v>30.48612657653209</v>
      </c>
      <c r="M62" s="52">
        <f t="shared" si="4"/>
        <v>37.39784613384529</v>
      </c>
    </row>
    <row r="63" spans="2:13" ht="12.75">
      <c r="B63" s="4"/>
      <c r="C63" s="4"/>
      <c r="E63" s="16"/>
      <c r="F63" s="14"/>
      <c r="G63" s="5"/>
      <c r="I63" s="5"/>
      <c r="K63" s="5"/>
      <c r="M63" s="52"/>
    </row>
    <row r="64" spans="2:13" ht="12.75">
      <c r="B64" s="4" t="s">
        <v>36</v>
      </c>
      <c r="C64" s="4" t="s">
        <v>220</v>
      </c>
      <c r="D64" s="4" t="s">
        <v>34</v>
      </c>
      <c r="E64" s="16" t="s">
        <v>15</v>
      </c>
      <c r="G64" s="18">
        <f>G47+G49+G51</f>
        <v>30.255708957553992</v>
      </c>
      <c r="I64" s="18">
        <f>I47+I49+I51</f>
        <v>26.60127749503998</v>
      </c>
      <c r="K64" s="18">
        <f>K47+K49+K51</f>
        <v>30.225235685636772</v>
      </c>
      <c r="M64" s="52">
        <f t="shared" si="4"/>
        <v>29.02740737941025</v>
      </c>
    </row>
    <row r="65" spans="2:13" ht="12.75">
      <c r="B65" s="4" t="s">
        <v>35</v>
      </c>
      <c r="C65" s="4" t="s">
        <v>220</v>
      </c>
      <c r="D65" s="4" t="s">
        <v>34</v>
      </c>
      <c r="E65" s="16" t="s">
        <v>15</v>
      </c>
      <c r="G65" s="18">
        <f>G50+G55</f>
        <v>67.72459902728868</v>
      </c>
      <c r="I65" s="18">
        <f>I50+I55</f>
        <v>103.58143902083063</v>
      </c>
      <c r="K65" s="18">
        <f>K50+K55</f>
        <v>146.5679162333274</v>
      </c>
      <c r="M65" s="52">
        <f t="shared" si="4"/>
        <v>105.95798476048223</v>
      </c>
    </row>
    <row r="66" spans="2:13" ht="12.75">
      <c r="B66" s="4"/>
      <c r="C66" s="4"/>
      <c r="G66" s="50"/>
      <c r="I66" s="50"/>
      <c r="K66" s="50"/>
      <c r="M66" s="70"/>
    </row>
    <row r="67" spans="1:13" ht="12.75">
      <c r="A67" s="16" t="s">
        <v>58</v>
      </c>
      <c r="B67" s="13" t="s">
        <v>164</v>
      </c>
      <c r="C67" s="14" t="s">
        <v>121</v>
      </c>
      <c r="G67" s="16" t="s">
        <v>170</v>
      </c>
      <c r="H67" s="16"/>
      <c r="I67" s="16" t="s">
        <v>171</v>
      </c>
      <c r="J67" s="16"/>
      <c r="K67" s="16" t="s">
        <v>172</v>
      </c>
      <c r="M67" s="16" t="s">
        <v>169</v>
      </c>
    </row>
    <row r="68" spans="3:13" ht="12.75">
      <c r="C68" s="69"/>
      <c r="D68" s="38"/>
      <c r="E68" s="51"/>
      <c r="F68" s="14"/>
      <c r="G68" s="16"/>
      <c r="H68" s="16"/>
      <c r="I68" s="16"/>
      <c r="J68" s="16"/>
      <c r="K68" s="16"/>
      <c r="M68" s="16"/>
    </row>
    <row r="69" spans="2:13" ht="12.75">
      <c r="B69" s="4" t="s">
        <v>13</v>
      </c>
      <c r="C69" s="4" t="s">
        <v>219</v>
      </c>
      <c r="D69" s="4" t="s">
        <v>14</v>
      </c>
      <c r="E69" s="16" t="s">
        <v>15</v>
      </c>
      <c r="G69" s="42">
        <v>0.00757</v>
      </c>
      <c r="H69" s="42"/>
      <c r="I69" s="42">
        <v>0.00331</v>
      </c>
      <c r="J69" s="42"/>
      <c r="K69" s="42">
        <v>0.000527</v>
      </c>
      <c r="M69" s="68">
        <f>AVERAGE(G69,I69,K69)</f>
        <v>0.0038023333333333333</v>
      </c>
    </row>
    <row r="70" spans="2:13" ht="12.75">
      <c r="B70" s="4" t="s">
        <v>25</v>
      </c>
      <c r="C70" s="4" t="s">
        <v>219</v>
      </c>
      <c r="D70" s="4" t="s">
        <v>16</v>
      </c>
      <c r="E70" s="16" t="s">
        <v>15</v>
      </c>
      <c r="G70" s="63">
        <v>1414</v>
      </c>
      <c r="H70" s="63"/>
      <c r="I70" s="63">
        <v>1625</v>
      </c>
      <c r="J70" s="63"/>
      <c r="K70" s="63">
        <v>1499</v>
      </c>
      <c r="M70" s="21">
        <f>AVERAGE(G70,I70,K70)</f>
        <v>1512.6666666666667</v>
      </c>
    </row>
    <row r="71" spans="2:13" ht="12.75">
      <c r="B71" s="4" t="s">
        <v>26</v>
      </c>
      <c r="C71" s="4" t="s">
        <v>219</v>
      </c>
      <c r="D71" s="4" t="s">
        <v>16</v>
      </c>
      <c r="E71" s="16" t="s">
        <v>15</v>
      </c>
      <c r="G71" s="46">
        <v>2.1</v>
      </c>
      <c r="H71" s="46"/>
      <c r="I71" s="46">
        <v>2.83</v>
      </c>
      <c r="J71" s="46"/>
      <c r="K71" s="46">
        <v>4.26</v>
      </c>
      <c r="M71" s="52">
        <f>AVERAGE(G71,I71,K71)</f>
        <v>3.063333333333333</v>
      </c>
    </row>
    <row r="72" spans="2:13" ht="12.75">
      <c r="B72" s="4" t="s">
        <v>55</v>
      </c>
      <c r="C72" s="4" t="s">
        <v>219</v>
      </c>
      <c r="D72" s="4" t="s">
        <v>16</v>
      </c>
      <c r="E72" s="16" t="s">
        <v>15</v>
      </c>
      <c r="G72" s="7">
        <f>G70+2*G71</f>
        <v>1418.2</v>
      </c>
      <c r="H72" s="7"/>
      <c r="I72" s="7">
        <f>I70+2*I71</f>
        <v>1630.66</v>
      </c>
      <c r="J72" s="7"/>
      <c r="K72" s="7">
        <f>K70+2*K71</f>
        <v>1507.52</v>
      </c>
      <c r="L72" s="6"/>
      <c r="M72" s="21">
        <f>AVERAGE(G72,I72,K72)</f>
        <v>1518.7933333333333</v>
      </c>
    </row>
    <row r="73" spans="2:13" ht="12.75">
      <c r="B73" s="4"/>
      <c r="C73" s="4"/>
      <c r="G73" s="24"/>
      <c r="H73" s="19"/>
      <c r="I73" s="24"/>
      <c r="J73" s="19"/>
      <c r="K73" s="24"/>
      <c r="M73" s="18"/>
    </row>
    <row r="74" spans="2:13" ht="12.75">
      <c r="B74" s="4" t="s">
        <v>145</v>
      </c>
      <c r="C74" s="4" t="s">
        <v>148</v>
      </c>
      <c r="G74" s="24"/>
      <c r="H74" s="19"/>
      <c r="I74" s="24"/>
      <c r="J74" s="19"/>
      <c r="K74" s="24"/>
      <c r="M74" s="18"/>
    </row>
    <row r="75" spans="2:13" ht="12.75">
      <c r="B75" s="4" t="s">
        <v>146</v>
      </c>
      <c r="C75" s="4"/>
      <c r="D75" s="4" t="s">
        <v>28</v>
      </c>
      <c r="G75" s="19">
        <v>47.7</v>
      </c>
      <c r="H75" s="19"/>
      <c r="I75" s="19">
        <v>46.79</v>
      </c>
      <c r="J75" s="19"/>
      <c r="K75" s="19">
        <v>49.75</v>
      </c>
      <c r="L75" s="21"/>
      <c r="M75" s="52">
        <f>AVERAGE(G75,I75,K75)</f>
        <v>48.080000000000005</v>
      </c>
    </row>
    <row r="76" spans="2:13" ht="12.75">
      <c r="B76" s="4" t="s">
        <v>147</v>
      </c>
      <c r="C76" s="4" t="s">
        <v>220</v>
      </c>
      <c r="D76" s="4" t="s">
        <v>28</v>
      </c>
      <c r="G76" s="19">
        <v>0.000564</v>
      </c>
      <c r="H76" s="19"/>
      <c r="I76" s="20">
        <v>0.000752</v>
      </c>
      <c r="J76" s="19"/>
      <c r="K76" s="19">
        <v>0.000624</v>
      </c>
      <c r="M76" s="71">
        <f>AVERAGE(G76,I76,K76)</f>
        <v>0.0006466666666666666</v>
      </c>
    </row>
    <row r="77" spans="2:13" ht="12.75">
      <c r="B77" s="4" t="s">
        <v>27</v>
      </c>
      <c r="C77" s="4" t="s">
        <v>220</v>
      </c>
      <c r="D77" s="4" t="s">
        <v>18</v>
      </c>
      <c r="G77" s="66">
        <f>(G75-G76)/G75</f>
        <v>0.999988176100629</v>
      </c>
      <c r="H77" s="62"/>
      <c r="I77" s="66">
        <f>(I75-I76)/I75</f>
        <v>0.9999839281897842</v>
      </c>
      <c r="J77" s="62"/>
      <c r="K77" s="66">
        <f>(K75-K76)/K75</f>
        <v>0.9999874572864321</v>
      </c>
      <c r="M77" s="52"/>
    </row>
    <row r="78" spans="2:13" ht="12.75">
      <c r="B78" s="4"/>
      <c r="C78" s="4"/>
      <c r="G78" s="19"/>
      <c r="H78" s="19"/>
      <c r="I78" s="19"/>
      <c r="J78" s="19"/>
      <c r="K78" s="19"/>
      <c r="M78" s="21"/>
    </row>
    <row r="79" spans="2:13" ht="12.75">
      <c r="B79" s="4" t="s">
        <v>145</v>
      </c>
      <c r="C79" s="4" t="s">
        <v>149</v>
      </c>
      <c r="G79" s="24"/>
      <c r="H79" s="19"/>
      <c r="I79" s="24"/>
      <c r="J79" s="19"/>
      <c r="K79" s="24"/>
      <c r="M79" s="18"/>
    </row>
    <row r="80" spans="2:13" ht="12.75">
      <c r="B80" s="4" t="s">
        <v>146</v>
      </c>
      <c r="C80" s="4"/>
      <c r="D80" s="4" t="s">
        <v>28</v>
      </c>
      <c r="G80" s="19">
        <v>47.75</v>
      </c>
      <c r="H80" s="19"/>
      <c r="I80" s="19">
        <v>46.84</v>
      </c>
      <c r="J80" s="19"/>
      <c r="K80" s="19">
        <v>49.8</v>
      </c>
      <c r="M80" s="52">
        <f>AVERAGE(G80,I80,K80)</f>
        <v>48.129999999999995</v>
      </c>
    </row>
    <row r="81" spans="2:13" ht="12.75">
      <c r="B81" s="4" t="s">
        <v>147</v>
      </c>
      <c r="C81" s="4" t="s">
        <v>220</v>
      </c>
      <c r="D81" s="4" t="s">
        <v>28</v>
      </c>
      <c r="G81" s="19">
        <v>0.00151</v>
      </c>
      <c r="H81" s="19"/>
      <c r="I81" s="20">
        <v>0.00137</v>
      </c>
      <c r="J81" s="19"/>
      <c r="K81" s="19">
        <v>0.00104</v>
      </c>
      <c r="M81" s="71">
        <f>AVERAGE(G81,I81,K81)</f>
        <v>0.0013066666666666667</v>
      </c>
    </row>
    <row r="82" spans="2:13" ht="12.75">
      <c r="B82" s="4" t="s">
        <v>27</v>
      </c>
      <c r="C82" s="4" t="s">
        <v>220</v>
      </c>
      <c r="D82" s="4" t="s">
        <v>18</v>
      </c>
      <c r="G82" s="66">
        <f>(G80-G81)/G80</f>
        <v>0.9999683769633507</v>
      </c>
      <c r="H82" s="62"/>
      <c r="I82" s="66">
        <f>(I80-I81)/I80</f>
        <v>0.9999707514944491</v>
      </c>
      <c r="J82" s="62"/>
      <c r="K82" s="66">
        <f>(K80-K81)/K80</f>
        <v>0.9999791164658633</v>
      </c>
      <c r="L82" s="16"/>
      <c r="M82" s="21"/>
    </row>
    <row r="83" spans="2:13" ht="12.75">
      <c r="B83" s="4"/>
      <c r="C83" s="4"/>
      <c r="G83" s="19"/>
      <c r="H83" s="19"/>
      <c r="I83" s="20"/>
      <c r="J83" s="19"/>
      <c r="K83" s="19"/>
      <c r="M83" s="52"/>
    </row>
    <row r="84" spans="2:13" ht="12.75">
      <c r="B84" s="4" t="s">
        <v>56</v>
      </c>
      <c r="C84" s="4" t="s">
        <v>52</v>
      </c>
      <c r="D84" s="4" t="s">
        <v>219</v>
      </c>
      <c r="L84" s="16"/>
      <c r="M84" s="21"/>
    </row>
    <row r="85" spans="2:13" ht="12.75">
      <c r="B85" s="4" t="s">
        <v>51</v>
      </c>
      <c r="C85" s="4"/>
      <c r="D85" s="4" t="s">
        <v>17</v>
      </c>
      <c r="G85" s="19">
        <v>26389</v>
      </c>
      <c r="H85" s="19"/>
      <c r="I85" s="19">
        <v>26719</v>
      </c>
      <c r="J85" s="7"/>
      <c r="K85" s="19">
        <v>27571</v>
      </c>
      <c r="M85" s="21">
        <f>AVERAGE(G85,I85,K85)</f>
        <v>26893</v>
      </c>
    </row>
    <row r="86" spans="2:13" ht="12.75">
      <c r="B86" s="4" t="s">
        <v>53</v>
      </c>
      <c r="C86" s="4"/>
      <c r="D86" s="4" t="s">
        <v>18</v>
      </c>
      <c r="G86" s="24">
        <v>15.7</v>
      </c>
      <c r="H86" s="19"/>
      <c r="I86" s="24">
        <v>16.2</v>
      </c>
      <c r="J86" s="19"/>
      <c r="K86" s="24">
        <v>15.9</v>
      </c>
      <c r="M86" s="18">
        <f>AVERAGE(G86,I86,K86)</f>
        <v>15.933333333333332</v>
      </c>
    </row>
    <row r="87" spans="2:13" ht="12.75">
      <c r="B87" s="4" t="s">
        <v>54</v>
      </c>
      <c r="C87" s="4"/>
      <c r="D87" s="4" t="s">
        <v>18</v>
      </c>
      <c r="G87" s="24">
        <v>9.3</v>
      </c>
      <c r="H87" s="19"/>
      <c r="I87" s="24">
        <v>8.4</v>
      </c>
      <c r="J87" s="19"/>
      <c r="K87" s="24">
        <v>8.7</v>
      </c>
      <c r="M87" s="18">
        <f>AVERAGE(G87,I87,K87)</f>
        <v>8.8</v>
      </c>
    </row>
    <row r="88" spans="2:13" ht="12.75">
      <c r="B88" s="4" t="s">
        <v>50</v>
      </c>
      <c r="C88" s="4"/>
      <c r="D88" s="4" t="s">
        <v>19</v>
      </c>
      <c r="G88" s="63">
        <v>362</v>
      </c>
      <c r="H88" s="7"/>
      <c r="I88" s="63">
        <v>364</v>
      </c>
      <c r="J88" s="7"/>
      <c r="K88" s="63">
        <v>359</v>
      </c>
      <c r="M88" s="21">
        <f>AVERAGE(G88,I88,K88)</f>
        <v>361.6666666666667</v>
      </c>
    </row>
    <row r="89" spans="2:13" ht="12.75">
      <c r="B89" s="4"/>
      <c r="C89" s="4"/>
      <c r="G89" s="19"/>
      <c r="H89" s="19"/>
      <c r="I89" s="20"/>
      <c r="J89" s="19"/>
      <c r="K89" s="19"/>
      <c r="M89" s="18"/>
    </row>
    <row r="90" spans="2:11" ht="12.75">
      <c r="B90" s="4" t="s">
        <v>56</v>
      </c>
      <c r="C90" s="4" t="s">
        <v>150</v>
      </c>
      <c r="D90" s="4" t="s">
        <v>220</v>
      </c>
      <c r="G90" s="19"/>
      <c r="H90" s="19"/>
      <c r="I90" s="20"/>
      <c r="J90" s="19"/>
      <c r="K90" s="19"/>
    </row>
    <row r="91" spans="2:13" ht="12.75">
      <c r="B91" s="4" t="s">
        <v>51</v>
      </c>
      <c r="C91" s="4"/>
      <c r="D91" s="4" t="s">
        <v>17</v>
      </c>
      <c r="G91" s="19">
        <v>26486</v>
      </c>
      <c r="H91" s="19"/>
      <c r="I91" s="20">
        <v>28045</v>
      </c>
      <c r="J91" s="19"/>
      <c r="K91" s="19">
        <v>27363</v>
      </c>
      <c r="M91" s="21">
        <f>AVERAGE(G91,I91,K91)</f>
        <v>27298</v>
      </c>
    </row>
    <row r="92" spans="2:13" ht="12.75">
      <c r="B92" s="4" t="s">
        <v>53</v>
      </c>
      <c r="C92" s="4"/>
      <c r="D92" s="4" t="s">
        <v>18</v>
      </c>
      <c r="G92" s="19">
        <v>15.7</v>
      </c>
      <c r="H92" s="19"/>
      <c r="I92" s="20">
        <v>16.2</v>
      </c>
      <c r="J92" s="19"/>
      <c r="K92" s="19">
        <v>15.9</v>
      </c>
      <c r="M92" s="18">
        <f>AVERAGE(G92,I92,K92)</f>
        <v>15.933333333333332</v>
      </c>
    </row>
    <row r="93" spans="2:13" ht="12.75">
      <c r="B93" s="4" t="s">
        <v>54</v>
      </c>
      <c r="C93" s="4"/>
      <c r="D93" s="4" t="s">
        <v>18</v>
      </c>
      <c r="G93" s="5">
        <v>8</v>
      </c>
      <c r="H93" s="19"/>
      <c r="I93" s="20">
        <v>8.2</v>
      </c>
      <c r="J93" s="19"/>
      <c r="K93" s="5">
        <v>9</v>
      </c>
      <c r="M93" s="18">
        <f>AVERAGE(G93,I93,K93)</f>
        <v>8.4</v>
      </c>
    </row>
    <row r="94" spans="2:13" ht="12.75">
      <c r="B94" s="4" t="s">
        <v>50</v>
      </c>
      <c r="C94" s="4"/>
      <c r="D94" s="4" t="s">
        <v>19</v>
      </c>
      <c r="G94" s="19">
        <v>356</v>
      </c>
      <c r="H94" s="19"/>
      <c r="I94" s="20">
        <v>359</v>
      </c>
      <c r="J94" s="19"/>
      <c r="K94" s="19">
        <v>348</v>
      </c>
      <c r="M94" s="21">
        <f>AVERAGE(G94,I94,K94)</f>
        <v>354.3333333333333</v>
      </c>
    </row>
    <row r="95" spans="2:11" ht="12.75">
      <c r="B95" s="4"/>
      <c r="C95" s="4"/>
      <c r="E95" s="16"/>
      <c r="F95" s="14"/>
      <c r="G95" s="52"/>
      <c r="I95" s="52"/>
      <c r="K95" s="52"/>
    </row>
    <row r="96" spans="1:13" ht="12.75">
      <c r="A96" s="16" t="s">
        <v>58</v>
      </c>
      <c r="B96" s="13" t="s">
        <v>163</v>
      </c>
      <c r="C96" s="14" t="s">
        <v>121</v>
      </c>
      <c r="G96" s="16" t="s">
        <v>170</v>
      </c>
      <c r="H96" s="16"/>
      <c r="I96" s="16" t="s">
        <v>171</v>
      </c>
      <c r="J96" s="16"/>
      <c r="K96" s="16" t="s">
        <v>172</v>
      </c>
      <c r="M96" s="16" t="s">
        <v>169</v>
      </c>
    </row>
    <row r="97" spans="3:13" ht="12.75">
      <c r="C97" s="69"/>
      <c r="D97" s="38"/>
      <c r="E97" s="51"/>
      <c r="F97" s="14"/>
      <c r="G97" s="16"/>
      <c r="H97" s="16"/>
      <c r="I97" s="16"/>
      <c r="J97" s="16"/>
      <c r="K97" s="16"/>
      <c r="M97" s="16"/>
    </row>
    <row r="98" spans="2:13" ht="12.75">
      <c r="B98" s="4" t="s">
        <v>60</v>
      </c>
      <c r="C98" s="4" t="s">
        <v>219</v>
      </c>
      <c r="D98" s="4" t="s">
        <v>16</v>
      </c>
      <c r="E98" s="16" t="s">
        <v>15</v>
      </c>
      <c r="G98" s="18">
        <v>11.7</v>
      </c>
      <c r="H98" s="18"/>
      <c r="I98" s="18">
        <v>14.87</v>
      </c>
      <c r="J98" s="18"/>
      <c r="K98" s="18">
        <v>16.41</v>
      </c>
      <c r="L98" s="18"/>
      <c r="M98" s="18">
        <f>AVERAGE(G98,I98,K98)</f>
        <v>14.326666666666668</v>
      </c>
    </row>
    <row r="99" spans="2:13" ht="12.75">
      <c r="B99" s="4"/>
      <c r="C99" s="4"/>
      <c r="G99" s="24"/>
      <c r="H99" s="19"/>
      <c r="I99" s="24"/>
      <c r="J99" s="19"/>
      <c r="K99" s="24"/>
      <c r="M99" s="18"/>
    </row>
    <row r="100" spans="2:13" ht="12.75">
      <c r="B100" s="4" t="s">
        <v>56</v>
      </c>
      <c r="C100" s="4" t="s">
        <v>150</v>
      </c>
      <c r="D100" s="4" t="s">
        <v>219</v>
      </c>
      <c r="L100" s="16"/>
      <c r="M100" s="21"/>
    </row>
    <row r="101" spans="2:13" ht="12.75">
      <c r="B101" s="4" t="s">
        <v>51</v>
      </c>
      <c r="C101" s="4"/>
      <c r="D101" s="4" t="s">
        <v>17</v>
      </c>
      <c r="G101" s="19">
        <v>20683</v>
      </c>
      <c r="H101" s="19"/>
      <c r="I101" s="19">
        <v>19909</v>
      </c>
      <c r="J101" s="7"/>
      <c r="K101" s="19">
        <v>19711</v>
      </c>
      <c r="M101" s="21">
        <f>AVERAGE(G101,I101,K101)</f>
        <v>20101</v>
      </c>
    </row>
    <row r="102" spans="2:13" ht="12.75">
      <c r="B102" s="4" t="s">
        <v>53</v>
      </c>
      <c r="C102" s="4"/>
      <c r="D102" s="4" t="s">
        <v>18</v>
      </c>
      <c r="G102" s="24">
        <v>16</v>
      </c>
      <c r="H102" s="19"/>
      <c r="I102" s="24">
        <v>16</v>
      </c>
      <c r="J102" s="19"/>
      <c r="K102" s="24">
        <v>15.9</v>
      </c>
      <c r="M102" s="18">
        <f>AVERAGE(G102,I102,K102)</f>
        <v>15.966666666666667</v>
      </c>
    </row>
    <row r="103" spans="2:13" ht="12.75">
      <c r="B103" s="4" t="s">
        <v>54</v>
      </c>
      <c r="C103" s="4"/>
      <c r="D103" s="4" t="s">
        <v>18</v>
      </c>
      <c r="G103" s="24">
        <v>15.6</v>
      </c>
      <c r="H103" s="19"/>
      <c r="I103" s="24">
        <v>16.8</v>
      </c>
      <c r="J103" s="19"/>
      <c r="K103" s="24">
        <v>16.2</v>
      </c>
      <c r="M103" s="18">
        <f>AVERAGE(G103,I103,K103)</f>
        <v>16.2</v>
      </c>
    </row>
    <row r="104" spans="2:13" ht="12.75">
      <c r="B104" s="4" t="s">
        <v>50</v>
      </c>
      <c r="C104" s="4"/>
      <c r="D104" s="4" t="s">
        <v>19</v>
      </c>
      <c r="G104" s="63">
        <v>281</v>
      </c>
      <c r="H104" s="7"/>
      <c r="I104" s="63">
        <v>278</v>
      </c>
      <c r="J104" s="7"/>
      <c r="K104" s="63">
        <v>276</v>
      </c>
      <c r="M104" s="21">
        <f>AVERAGE(G104,I104,K104)</f>
        <v>278.3333333333333</v>
      </c>
    </row>
    <row r="105" spans="2:13" ht="12.75">
      <c r="B105" s="4"/>
      <c r="C105" s="4"/>
      <c r="G105" s="50"/>
      <c r="H105" s="50"/>
      <c r="I105" s="50"/>
      <c r="J105" s="50"/>
      <c r="K105" s="50"/>
      <c r="M105" s="70"/>
    </row>
    <row r="106" spans="2:13" ht="12.75">
      <c r="B106" s="4"/>
      <c r="C106" s="4"/>
      <c r="G106" s="50"/>
      <c r="H106" s="50"/>
      <c r="I106" s="50"/>
      <c r="J106" s="50"/>
      <c r="K106" s="50"/>
      <c r="M106" s="70"/>
    </row>
    <row r="107" spans="2:13" ht="12.75">
      <c r="B107" s="4"/>
      <c r="C107" s="4"/>
      <c r="G107" s="50"/>
      <c r="H107" s="50"/>
      <c r="I107" s="50"/>
      <c r="J107" s="50"/>
      <c r="K107" s="50"/>
      <c r="M107" s="70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I42"/>
  <sheetViews>
    <sheetView workbookViewId="0" topLeftCell="B1">
      <selection activeCell="B34" sqref="A34:IV473"/>
    </sheetView>
  </sheetViews>
  <sheetFormatPr defaultColWidth="9.140625" defaultRowHeight="12.75"/>
  <cols>
    <col min="1" max="1" width="2.7109375" style="0" hidden="1" customWidth="1"/>
    <col min="2" max="2" width="18.8515625" style="0" customWidth="1"/>
    <col min="3" max="3" width="8.7109375" style="0" customWidth="1"/>
    <col min="5" max="5" width="7.28125" style="0" customWidth="1"/>
    <col min="6" max="6" width="3.00390625" style="0" bestFit="1" customWidth="1"/>
    <col min="7" max="7" width="10.7109375" style="0" customWidth="1"/>
    <col min="8" max="8" width="3.00390625" style="0" bestFit="1" customWidth="1"/>
    <col min="9" max="9" width="11.00390625" style="0" customWidth="1"/>
    <col min="10" max="10" width="3.00390625" style="0" bestFit="1" customWidth="1"/>
    <col min="11" max="11" width="9.8515625" style="0" customWidth="1"/>
    <col min="12" max="12" width="3.8515625" style="0" customWidth="1"/>
    <col min="13" max="13" width="10.28125" style="0" customWidth="1"/>
    <col min="14" max="14" width="2.140625" style="0" customWidth="1"/>
    <col min="16" max="16" width="3.00390625" style="0" customWidth="1"/>
    <col min="18" max="18" width="2.8515625" style="0" customWidth="1"/>
  </cols>
  <sheetData>
    <row r="1" ht="12.75">
      <c r="B1" s="2" t="s">
        <v>206</v>
      </c>
    </row>
    <row r="2" ht="12.75">
      <c r="B2" s="2"/>
    </row>
    <row r="3" ht="12.75">
      <c r="B3" s="2"/>
    </row>
    <row r="4" spans="2:13" ht="12.75">
      <c r="B4" s="2" t="s">
        <v>187</v>
      </c>
      <c r="G4" s="86" t="s">
        <v>170</v>
      </c>
      <c r="H4" s="86"/>
      <c r="I4" s="86" t="s">
        <v>171</v>
      </c>
      <c r="J4" s="86"/>
      <c r="K4" s="86" t="s">
        <v>172</v>
      </c>
      <c r="L4" s="86"/>
      <c r="M4" s="86" t="s">
        <v>169</v>
      </c>
    </row>
    <row r="6" spans="1:61" s="79" customFormat="1" ht="12.75">
      <c r="A6" s="79" t="s">
        <v>187</v>
      </c>
      <c r="B6" s="79" t="s">
        <v>13</v>
      </c>
      <c r="C6" s="79" t="s">
        <v>219</v>
      </c>
      <c r="D6" s="79" t="s">
        <v>14</v>
      </c>
      <c r="E6" s="79" t="s">
        <v>15</v>
      </c>
      <c r="F6" s="80" t="s">
        <v>191</v>
      </c>
      <c r="G6" s="79">
        <v>0.0017800176576</v>
      </c>
      <c r="H6" s="80" t="s">
        <v>191</v>
      </c>
      <c r="I6" s="79">
        <v>0.0050100496992</v>
      </c>
      <c r="J6" s="80" t="s">
        <v>191</v>
      </c>
      <c r="K6" s="79">
        <v>0.002900028768</v>
      </c>
      <c r="L6" s="80" t="s">
        <v>191</v>
      </c>
      <c r="M6" s="79">
        <f aca="true" t="shared" si="0" ref="M6:M11">AVERAGE(G6,I6,K6)</f>
        <v>0.0032300320416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61" s="81" customFormat="1" ht="12.75">
      <c r="A7" s="81" t="s">
        <v>187</v>
      </c>
      <c r="B7" s="81" t="s">
        <v>134</v>
      </c>
      <c r="C7" s="79" t="s">
        <v>219</v>
      </c>
      <c r="D7" s="81" t="s">
        <v>16</v>
      </c>
      <c r="E7" s="79" t="s">
        <v>15</v>
      </c>
      <c r="F7" s="80" t="s">
        <v>191</v>
      </c>
      <c r="G7" s="81">
        <v>51.8</v>
      </c>
      <c r="H7" s="80" t="s">
        <v>191</v>
      </c>
      <c r="I7" s="81">
        <v>51.5</v>
      </c>
      <c r="J7" s="80" t="s">
        <v>191</v>
      </c>
      <c r="K7" s="81">
        <v>69.6</v>
      </c>
      <c r="L7" s="80" t="s">
        <v>191</v>
      </c>
      <c r="M7" s="81">
        <f t="shared" si="0"/>
        <v>57.633333333333326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</row>
    <row r="8" spans="1:61" s="81" customFormat="1" ht="12.75">
      <c r="A8" s="81" t="s">
        <v>187</v>
      </c>
      <c r="B8" s="81" t="s">
        <v>192</v>
      </c>
      <c r="C8" s="79" t="s">
        <v>219</v>
      </c>
      <c r="D8" s="81" t="s">
        <v>16</v>
      </c>
      <c r="E8" s="79" t="s">
        <v>15</v>
      </c>
      <c r="F8" s="80" t="s">
        <v>191</v>
      </c>
      <c r="G8" s="81">
        <v>4.2</v>
      </c>
      <c r="H8" s="80" t="s">
        <v>191</v>
      </c>
      <c r="I8" s="81">
        <v>2.4</v>
      </c>
      <c r="J8" s="80" t="s">
        <v>191</v>
      </c>
      <c r="K8" s="81">
        <v>3</v>
      </c>
      <c r="L8" s="80" t="s">
        <v>191</v>
      </c>
      <c r="M8" s="81">
        <f t="shared" si="0"/>
        <v>3.1999999999999997</v>
      </c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</row>
    <row r="9" spans="1:61" s="81" customFormat="1" ht="12.75">
      <c r="A9" s="81" t="s">
        <v>187</v>
      </c>
      <c r="B9" s="81" t="s">
        <v>25</v>
      </c>
      <c r="C9" s="79" t="s">
        <v>219</v>
      </c>
      <c r="D9" s="81" t="s">
        <v>16</v>
      </c>
      <c r="E9" s="79" t="s">
        <v>15</v>
      </c>
      <c r="F9" s="80" t="s">
        <v>191</v>
      </c>
      <c r="G9" s="81">
        <v>994</v>
      </c>
      <c r="H9" s="80" t="s">
        <v>191</v>
      </c>
      <c r="I9" s="81">
        <v>810</v>
      </c>
      <c r="J9" s="80" t="s">
        <v>191</v>
      </c>
      <c r="K9" s="81">
        <v>1058</v>
      </c>
      <c r="L9" s="80" t="s">
        <v>191</v>
      </c>
      <c r="M9" s="81">
        <f t="shared" si="0"/>
        <v>954</v>
      </c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</row>
    <row r="10" spans="1:61" s="81" customFormat="1" ht="12.75">
      <c r="A10" s="81" t="s">
        <v>187</v>
      </c>
      <c r="B10" s="81" t="s">
        <v>26</v>
      </c>
      <c r="C10" s="79" t="s">
        <v>219</v>
      </c>
      <c r="D10" s="81" t="s">
        <v>16</v>
      </c>
      <c r="E10" s="79" t="s">
        <v>15</v>
      </c>
      <c r="F10" s="80" t="s">
        <v>191</v>
      </c>
      <c r="G10" s="81">
        <v>0.399</v>
      </c>
      <c r="H10" s="80" t="s">
        <v>106</v>
      </c>
      <c r="I10" s="81">
        <v>0.332</v>
      </c>
      <c r="J10" s="80" t="s">
        <v>106</v>
      </c>
      <c r="K10" s="81">
        <v>0.34</v>
      </c>
      <c r="L10" s="80" t="s">
        <v>191</v>
      </c>
      <c r="M10" s="81">
        <f t="shared" si="0"/>
        <v>0.35700000000000004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</row>
    <row r="11" spans="2:61" s="81" customFormat="1" ht="12.75">
      <c r="B11" s="81" t="s">
        <v>55</v>
      </c>
      <c r="C11" s="79" t="s">
        <v>219</v>
      </c>
      <c r="D11" s="81" t="s">
        <v>16</v>
      </c>
      <c r="E11" s="79" t="s">
        <v>15</v>
      </c>
      <c r="F11" s="80"/>
      <c r="G11" s="81">
        <f>G9+2*G10</f>
        <v>994.798</v>
      </c>
      <c r="H11" s="80"/>
      <c r="I11" s="81">
        <f>I9+2*I10</f>
        <v>810.664</v>
      </c>
      <c r="J11" s="80"/>
      <c r="K11" s="81">
        <f>K9+2*K10</f>
        <v>1058.68</v>
      </c>
      <c r="L11" s="80"/>
      <c r="M11" s="81">
        <f t="shared" si="0"/>
        <v>954.7139999999999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</row>
    <row r="12" spans="1:61" s="81" customFormat="1" ht="12.75">
      <c r="A12" s="81" t="s">
        <v>187</v>
      </c>
      <c r="B12" s="81" t="s">
        <v>108</v>
      </c>
      <c r="C12" s="81" t="s">
        <v>220</v>
      </c>
      <c r="D12" s="81" t="s">
        <v>34</v>
      </c>
      <c r="E12" s="79" t="s">
        <v>15</v>
      </c>
      <c r="F12" s="80" t="s">
        <v>191</v>
      </c>
      <c r="G12" s="81">
        <v>23.433803069206427</v>
      </c>
      <c r="H12" s="80" t="s">
        <v>191</v>
      </c>
      <c r="I12" s="81">
        <v>5.8952708508185</v>
      </c>
      <c r="J12" s="80" t="s">
        <v>106</v>
      </c>
      <c r="K12" s="81">
        <v>2.305558444707911</v>
      </c>
      <c r="L12" s="80" t="s">
        <v>191</v>
      </c>
      <c r="M12" s="81">
        <f aca="true" t="shared" si="1" ref="M12:M19">AVERAGE(G12,I12,K12)</f>
        <v>10.544877454910946</v>
      </c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</row>
    <row r="13" spans="1:61" s="81" customFormat="1" ht="12.75">
      <c r="A13" s="81" t="s">
        <v>187</v>
      </c>
      <c r="B13" s="81" t="s">
        <v>107</v>
      </c>
      <c r="C13" s="81" t="s">
        <v>220</v>
      </c>
      <c r="D13" s="81" t="s">
        <v>34</v>
      </c>
      <c r="E13" s="79" t="s">
        <v>15</v>
      </c>
      <c r="F13" s="80" t="s">
        <v>191</v>
      </c>
      <c r="G13" s="81">
        <v>12.071959156864</v>
      </c>
      <c r="H13" s="80" t="s">
        <v>191</v>
      </c>
      <c r="I13" s="81">
        <v>3.72332895841168</v>
      </c>
      <c r="J13" s="80" t="s">
        <v>191</v>
      </c>
      <c r="K13" s="81">
        <v>3.1795845009700363</v>
      </c>
      <c r="L13" s="80" t="s">
        <v>191</v>
      </c>
      <c r="M13" s="81">
        <f t="shared" si="1"/>
        <v>6.324957538748573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</row>
    <row r="14" spans="1:61" s="81" customFormat="1" ht="12.75">
      <c r="A14" s="81" t="s">
        <v>187</v>
      </c>
      <c r="B14" s="81" t="s">
        <v>109</v>
      </c>
      <c r="C14" s="81" t="s">
        <v>220</v>
      </c>
      <c r="D14" s="81" t="s">
        <v>34</v>
      </c>
      <c r="E14" s="79" t="s">
        <v>15</v>
      </c>
      <c r="F14" s="80" t="s">
        <v>191</v>
      </c>
      <c r="G14" s="81">
        <v>179.21956171254553</v>
      </c>
      <c r="H14" s="80" t="s">
        <v>191</v>
      </c>
      <c r="I14" s="81">
        <v>24.884248538718</v>
      </c>
      <c r="J14" s="80" t="s">
        <v>191</v>
      </c>
      <c r="K14" s="81">
        <v>24.422374164690666</v>
      </c>
      <c r="L14" s="80" t="s">
        <v>191</v>
      </c>
      <c r="M14" s="81">
        <f t="shared" si="1"/>
        <v>76.17539480531806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</row>
    <row r="15" spans="1:61" s="81" customFormat="1" ht="12.75">
      <c r="A15" s="81" t="s">
        <v>187</v>
      </c>
      <c r="B15" s="81" t="s">
        <v>110</v>
      </c>
      <c r="C15" s="81" t="s">
        <v>220</v>
      </c>
      <c r="D15" s="81" t="s">
        <v>34</v>
      </c>
      <c r="E15" s="79" t="s">
        <v>15</v>
      </c>
      <c r="F15" s="80" t="s">
        <v>106</v>
      </c>
      <c r="G15" s="81">
        <v>0.20728602137696303</v>
      </c>
      <c r="H15" s="80" t="s">
        <v>106</v>
      </c>
      <c r="I15" s="81">
        <v>0.18988977687899564</v>
      </c>
      <c r="J15" s="80" t="s">
        <v>106</v>
      </c>
      <c r="K15" s="81">
        <v>0.2305558444707911</v>
      </c>
      <c r="L15" s="80">
        <v>100</v>
      </c>
      <c r="M15" s="81">
        <f t="shared" si="1"/>
        <v>0.20924388090891657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</row>
    <row r="16" spans="1:61" s="81" customFormat="1" ht="12.75">
      <c r="A16" s="81" t="s">
        <v>187</v>
      </c>
      <c r="B16" s="81" t="s">
        <v>111</v>
      </c>
      <c r="C16" s="81" t="s">
        <v>220</v>
      </c>
      <c r="D16" s="81" t="s">
        <v>34</v>
      </c>
      <c r="E16" s="79" t="s">
        <v>15</v>
      </c>
      <c r="F16" s="80" t="s">
        <v>191</v>
      </c>
      <c r="G16" s="81">
        <v>8.960978085627275</v>
      </c>
      <c r="H16" s="80" t="s">
        <v>191</v>
      </c>
      <c r="I16" s="81">
        <v>9.89784948111105</v>
      </c>
      <c r="J16" s="80" t="s">
        <v>191</v>
      </c>
      <c r="K16" s="81">
        <v>15.250495796507868</v>
      </c>
      <c r="L16" s="80" t="s">
        <v>191</v>
      </c>
      <c r="M16" s="81">
        <f t="shared" si="1"/>
        <v>11.3697744544154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</row>
    <row r="17" spans="1:61" s="81" customFormat="1" ht="12.75">
      <c r="A17" s="81" t="s">
        <v>187</v>
      </c>
      <c r="B17" s="81" t="s">
        <v>112</v>
      </c>
      <c r="C17" s="81" t="s">
        <v>220</v>
      </c>
      <c r="D17" s="81" t="s">
        <v>34</v>
      </c>
      <c r="E17" s="79" t="s">
        <v>15</v>
      </c>
      <c r="F17" s="80" t="s">
        <v>191</v>
      </c>
      <c r="G17" s="81">
        <v>14.100859855496505</v>
      </c>
      <c r="H17" s="80" t="s">
        <v>191</v>
      </c>
      <c r="I17" s="81">
        <v>49.023831285753786</v>
      </c>
      <c r="J17" s="80" t="s">
        <v>191</v>
      </c>
      <c r="K17" s="81">
        <v>17.984075231731</v>
      </c>
      <c r="L17" s="80" t="s">
        <v>191</v>
      </c>
      <c r="M17" s="81">
        <f t="shared" si="1"/>
        <v>27.03625545766043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</row>
    <row r="18" spans="1:61" s="81" customFormat="1" ht="12.75">
      <c r="A18" s="81" t="s">
        <v>187</v>
      </c>
      <c r="B18" s="81" t="s">
        <v>193</v>
      </c>
      <c r="C18" s="81" t="s">
        <v>221</v>
      </c>
      <c r="D18" s="81" t="s">
        <v>34</v>
      </c>
      <c r="E18" s="79" t="s">
        <v>15</v>
      </c>
      <c r="F18" s="80" t="s">
        <v>191</v>
      </c>
      <c r="G18" s="81">
        <v>13.630998535871155</v>
      </c>
      <c r="H18" s="80" t="s">
        <v>191</v>
      </c>
      <c r="I18" s="81">
        <v>19.48422294574643</v>
      </c>
      <c r="J18" s="80" t="s">
        <v>191</v>
      </c>
      <c r="K18" s="81">
        <v>12.470615200348432</v>
      </c>
      <c r="L18" s="80" t="s">
        <v>191</v>
      </c>
      <c r="M18" s="81">
        <f t="shared" si="1"/>
        <v>15.195278893988673</v>
      </c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</row>
    <row r="19" spans="1:61" s="81" customFormat="1" ht="12.75">
      <c r="A19" s="81" t="s">
        <v>187</v>
      </c>
      <c r="B19" s="81" t="s">
        <v>114</v>
      </c>
      <c r="C19" s="81" t="s">
        <v>220</v>
      </c>
      <c r="D19" s="81" t="s">
        <v>34</v>
      </c>
      <c r="E19" s="79" t="s">
        <v>15</v>
      </c>
      <c r="F19" s="80" t="s">
        <v>191</v>
      </c>
      <c r="G19" s="81">
        <v>54.10401863020242</v>
      </c>
      <c r="H19" s="80" t="s">
        <v>191</v>
      </c>
      <c r="I19" s="81">
        <v>65.77881159860634</v>
      </c>
      <c r="J19" s="80" t="s">
        <v>191</v>
      </c>
      <c r="K19" s="81">
        <v>79.84929402888554</v>
      </c>
      <c r="L19" s="80" t="s">
        <v>191</v>
      </c>
      <c r="M19" s="81">
        <f t="shared" si="1"/>
        <v>66.57737475256477</v>
      </c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</row>
    <row r="20" spans="1:61" s="81" customFormat="1" ht="12.75">
      <c r="A20" s="81" t="s">
        <v>187</v>
      </c>
      <c r="B20" s="81" t="s">
        <v>115</v>
      </c>
      <c r="C20" s="81" t="s">
        <v>220</v>
      </c>
      <c r="D20" s="81" t="s">
        <v>34</v>
      </c>
      <c r="E20" s="79" t="s">
        <v>15</v>
      </c>
      <c r="F20" s="80" t="s">
        <v>191</v>
      </c>
      <c r="G20" s="81">
        <v>6.7630023287753</v>
      </c>
      <c r="H20" s="80" t="s">
        <v>191</v>
      </c>
      <c r="I20" s="81">
        <v>9.153183689428714</v>
      </c>
      <c r="J20" s="80" t="s">
        <v>191</v>
      </c>
      <c r="K20" s="81">
        <v>9.1718783681828</v>
      </c>
      <c r="L20" s="80" t="s">
        <v>191</v>
      </c>
      <c r="M20" s="81">
        <f>AVERAGE(G20,I20,K20)</f>
        <v>8.362688128795604</v>
      </c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</row>
    <row r="21" spans="1:61" s="81" customFormat="1" ht="12.75">
      <c r="A21" s="81" t="s">
        <v>187</v>
      </c>
      <c r="B21" s="81" t="s">
        <v>118</v>
      </c>
      <c r="C21" s="81" t="s">
        <v>220</v>
      </c>
      <c r="D21" s="81" t="s">
        <v>34</v>
      </c>
      <c r="E21" s="79" t="s">
        <v>15</v>
      </c>
      <c r="F21" s="80" t="s">
        <v>106</v>
      </c>
      <c r="G21" s="81">
        <v>0.8284677852749744</v>
      </c>
      <c r="H21" s="80" t="s">
        <v>106</v>
      </c>
      <c r="I21" s="81">
        <v>0.7601796623423845</v>
      </c>
      <c r="J21" s="80" t="s">
        <v>106</v>
      </c>
      <c r="K21" s="81">
        <v>0.9207846518646259</v>
      </c>
      <c r="L21" s="80">
        <v>100</v>
      </c>
      <c r="M21" s="81">
        <f>AVERAGE(G21,I21,K21)</f>
        <v>0.836477366493995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</row>
    <row r="22" spans="1:61" s="81" customFormat="1" ht="12.75">
      <c r="A22" s="81" t="s">
        <v>187</v>
      </c>
      <c r="B22" s="81" t="s">
        <v>119</v>
      </c>
      <c r="C22" s="81" t="s">
        <v>220</v>
      </c>
      <c r="D22" s="81" t="s">
        <v>34</v>
      </c>
      <c r="E22" s="79" t="s">
        <v>15</v>
      </c>
      <c r="F22" s="80" t="s">
        <v>106</v>
      </c>
      <c r="G22" s="81">
        <v>2.0728602137696304</v>
      </c>
      <c r="H22" s="80" t="s">
        <v>106</v>
      </c>
      <c r="I22" s="81">
        <v>1.911308865318</v>
      </c>
      <c r="J22" s="80" t="s">
        <v>106</v>
      </c>
      <c r="K22" s="81">
        <v>2.305558444707911</v>
      </c>
      <c r="L22" s="80">
        <v>100</v>
      </c>
      <c r="M22" s="81">
        <f>AVERAGE(G22,I22,K22)</f>
        <v>2.0965758412651803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</row>
    <row r="23" spans="2:61" s="81" customFormat="1" ht="12.75">
      <c r="B23" s="81" t="s">
        <v>35</v>
      </c>
      <c r="C23" s="81" t="s">
        <v>220</v>
      </c>
      <c r="D23" s="81" t="s">
        <v>34</v>
      </c>
      <c r="E23" s="79" t="s">
        <v>15</v>
      </c>
      <c r="F23" s="80"/>
      <c r="G23" s="81">
        <f>G19+G16</f>
        <v>63.06499671582969</v>
      </c>
      <c r="H23" s="80"/>
      <c r="I23" s="81">
        <f>I19+I16</f>
        <v>75.67666107971739</v>
      </c>
      <c r="J23" s="80"/>
      <c r="K23" s="81">
        <f>K19+K16</f>
        <v>95.0997898253934</v>
      </c>
      <c r="L23" s="80"/>
      <c r="M23" s="81">
        <f>AVERAGE(G23,I23,K23)</f>
        <v>77.94714920698017</v>
      </c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</row>
    <row r="24" spans="2:61" s="81" customFormat="1" ht="12.75">
      <c r="B24" s="81" t="s">
        <v>36</v>
      </c>
      <c r="C24" s="81" t="s">
        <v>220</v>
      </c>
      <c r="D24" s="81" t="s">
        <v>34</v>
      </c>
      <c r="E24" s="79" t="s">
        <v>15</v>
      </c>
      <c r="F24" s="80"/>
      <c r="G24" s="81">
        <f>G13+G15+G17</f>
        <v>26.38010503373747</v>
      </c>
      <c r="H24" s="80"/>
      <c r="I24" s="81">
        <f>I13+I15+I17</f>
        <v>52.93705002104446</v>
      </c>
      <c r="J24" s="80"/>
      <c r="K24" s="81">
        <f>K13+K15+K17</f>
        <v>21.394215577171828</v>
      </c>
      <c r="L24" s="80"/>
      <c r="M24" s="81">
        <f>AVERAGE(G24,I24,K24)</f>
        <v>33.57045687731792</v>
      </c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</row>
    <row r="25" spans="7:61" s="82" customFormat="1" ht="12.75">
      <c r="G25" s="80"/>
      <c r="H25" s="80"/>
      <c r="I25" s="80"/>
      <c r="J25" s="80"/>
      <c r="K25" s="80"/>
      <c r="L25" s="80"/>
      <c r="M25" s="80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</row>
    <row r="26" spans="2:61" s="82" customFormat="1" ht="12.75">
      <c r="B26" s="82" t="s">
        <v>56</v>
      </c>
      <c r="C26" s="82" t="s">
        <v>195</v>
      </c>
      <c r="D26" s="82" t="s">
        <v>219</v>
      </c>
      <c r="G26" s="80"/>
      <c r="H26" s="80"/>
      <c r="I26" s="80"/>
      <c r="J26" s="80"/>
      <c r="K26" s="80"/>
      <c r="L26" s="80"/>
      <c r="M26" s="80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</row>
    <row r="27" spans="1:61" s="82" customFormat="1" ht="12.75">
      <c r="A27" s="82" t="s">
        <v>187</v>
      </c>
      <c r="B27" s="4" t="s">
        <v>51</v>
      </c>
      <c r="C27" s="4"/>
      <c r="D27" s="4" t="s">
        <v>17</v>
      </c>
      <c r="G27" s="80">
        <v>17873</v>
      </c>
      <c r="H27" s="80"/>
      <c r="I27" s="80">
        <v>18367</v>
      </c>
      <c r="J27" s="80"/>
      <c r="K27" s="80">
        <v>19244</v>
      </c>
      <c r="L27" s="80"/>
      <c r="M27" s="80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</row>
    <row r="28" spans="1:61" s="82" customFormat="1" ht="12.75">
      <c r="A28" s="82" t="s">
        <v>187</v>
      </c>
      <c r="B28" s="4" t="s">
        <v>53</v>
      </c>
      <c r="C28" s="4"/>
      <c r="D28" s="4" t="s">
        <v>18</v>
      </c>
      <c r="G28" s="80">
        <v>14.4</v>
      </c>
      <c r="H28" s="80"/>
      <c r="I28" s="80">
        <v>14.3</v>
      </c>
      <c r="J28" s="80"/>
      <c r="K28" s="80">
        <v>15.4</v>
      </c>
      <c r="L28" s="80"/>
      <c r="M28" s="80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</row>
    <row r="29" spans="1:61" s="82" customFormat="1" ht="12.75">
      <c r="A29" s="82" t="s">
        <v>187</v>
      </c>
      <c r="B29" s="4" t="s">
        <v>54</v>
      </c>
      <c r="C29" s="4"/>
      <c r="D29" s="4" t="s">
        <v>18</v>
      </c>
      <c r="G29" s="80">
        <v>14.6</v>
      </c>
      <c r="H29" s="80"/>
      <c r="I29" s="80">
        <v>13.9</v>
      </c>
      <c r="J29" s="80"/>
      <c r="K29" s="80">
        <v>12.8</v>
      </c>
      <c r="L29" s="80"/>
      <c r="M29" s="80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</row>
    <row r="30" spans="1:61" s="82" customFormat="1" ht="12.75">
      <c r="A30" s="82" t="s">
        <v>187</v>
      </c>
      <c r="B30" s="4" t="s">
        <v>50</v>
      </c>
      <c r="C30" s="4"/>
      <c r="D30" s="4" t="s">
        <v>19</v>
      </c>
      <c r="G30" s="80">
        <v>308</v>
      </c>
      <c r="H30" s="80"/>
      <c r="I30" s="80">
        <v>319</v>
      </c>
      <c r="J30" s="80"/>
      <c r="K30" s="80">
        <v>322</v>
      </c>
      <c r="L30" s="80"/>
      <c r="M30" s="8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</row>
    <row r="31" spans="7:61" s="82" customFormat="1" ht="12.75">
      <c r="G31" s="80"/>
      <c r="H31" s="80"/>
      <c r="I31" s="80"/>
      <c r="J31" s="80"/>
      <c r="K31" s="80"/>
      <c r="L31" s="80"/>
      <c r="M31" s="80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</row>
    <row r="32" spans="2:61" s="82" customFormat="1" ht="12.75">
      <c r="B32" s="82" t="s">
        <v>56</v>
      </c>
      <c r="C32" s="82" t="s">
        <v>122</v>
      </c>
      <c r="D32" s="82" t="s">
        <v>220</v>
      </c>
      <c r="G32" s="80"/>
      <c r="H32" s="80"/>
      <c r="I32" s="80"/>
      <c r="J32" s="80"/>
      <c r="K32" s="80"/>
      <c r="L32" s="80"/>
      <c r="M32" s="80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</row>
    <row r="33" spans="1:61" s="82" customFormat="1" ht="12.75">
      <c r="A33" s="82" t="s">
        <v>187</v>
      </c>
      <c r="B33" s="4" t="s">
        <v>51</v>
      </c>
      <c r="C33" s="4"/>
      <c r="D33" s="4" t="s">
        <v>17</v>
      </c>
      <c r="G33" s="80">
        <v>16747</v>
      </c>
      <c r="H33" s="80"/>
      <c r="I33" s="80">
        <v>17979</v>
      </c>
      <c r="J33" s="80"/>
      <c r="K33" s="80">
        <v>18556</v>
      </c>
      <c r="L33" s="80"/>
      <c r="M33" s="80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</row>
    <row r="34" spans="1:61" s="82" customFormat="1" ht="12.75">
      <c r="A34" s="82" t="s">
        <v>187</v>
      </c>
      <c r="B34" s="4" t="s">
        <v>53</v>
      </c>
      <c r="C34" s="4"/>
      <c r="D34" s="4" t="s">
        <v>18</v>
      </c>
      <c r="G34" s="80">
        <v>14.4</v>
      </c>
      <c r="H34" s="80"/>
      <c r="I34" s="80">
        <v>14.3</v>
      </c>
      <c r="J34" s="80"/>
      <c r="K34" s="80">
        <v>15.4</v>
      </c>
      <c r="L34" s="80"/>
      <c r="M34" s="80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</row>
    <row r="35" spans="1:61" s="82" customFormat="1" ht="12.75">
      <c r="A35" s="82" t="s">
        <v>187</v>
      </c>
      <c r="B35" s="4" t="s">
        <v>54</v>
      </c>
      <c r="C35" s="4"/>
      <c r="D35" s="4" t="s">
        <v>18</v>
      </c>
      <c r="G35" s="80">
        <v>15.7</v>
      </c>
      <c r="H35" s="80"/>
      <c r="I35" s="80">
        <v>15.8</v>
      </c>
      <c r="J35" s="80"/>
      <c r="K35" s="80">
        <v>14.2</v>
      </c>
      <c r="L35" s="80"/>
      <c r="M35" s="80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</row>
    <row r="36" spans="1:61" s="82" customFormat="1" ht="12.75">
      <c r="A36" s="82" t="s">
        <v>187</v>
      </c>
      <c r="B36" s="4" t="s">
        <v>50</v>
      </c>
      <c r="C36" s="4"/>
      <c r="D36" s="4" t="s">
        <v>19</v>
      </c>
      <c r="G36" s="80">
        <v>308</v>
      </c>
      <c r="H36" s="80"/>
      <c r="I36" s="80">
        <v>324</v>
      </c>
      <c r="J36" s="80"/>
      <c r="K36" s="80">
        <v>323</v>
      </c>
      <c r="L36" s="80"/>
      <c r="M36" s="80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</row>
    <row r="38" spans="2:4" ht="12.75">
      <c r="B38" s="81" t="s">
        <v>56</v>
      </c>
      <c r="C38" s="82" t="s">
        <v>194</v>
      </c>
      <c r="D38" s="81" t="s">
        <v>221</v>
      </c>
    </row>
    <row r="39" spans="1:61" s="82" customFormat="1" ht="12.75">
      <c r="A39" s="82" t="s">
        <v>187</v>
      </c>
      <c r="B39" s="4" t="s">
        <v>51</v>
      </c>
      <c r="C39" s="4"/>
      <c r="D39" s="4" t="s">
        <v>17</v>
      </c>
      <c r="G39" s="80">
        <v>17075</v>
      </c>
      <c r="H39" s="80"/>
      <c r="I39" s="80">
        <v>16205</v>
      </c>
      <c r="J39" s="80"/>
      <c r="K39" s="80">
        <v>22960</v>
      </c>
      <c r="L39" s="80"/>
      <c r="M39" s="80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</row>
    <row r="40" spans="1:61" s="82" customFormat="1" ht="12.75">
      <c r="A40" s="82" t="s">
        <v>187</v>
      </c>
      <c r="B40" s="4" t="s">
        <v>53</v>
      </c>
      <c r="C40" s="4"/>
      <c r="D40" s="4" t="s">
        <v>18</v>
      </c>
      <c r="G40" s="80">
        <v>14.4</v>
      </c>
      <c r="H40" s="80"/>
      <c r="I40" s="80">
        <v>14.3</v>
      </c>
      <c r="J40" s="80"/>
      <c r="K40" s="80">
        <v>15.4</v>
      </c>
      <c r="L40" s="80"/>
      <c r="M40" s="8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</row>
    <row r="41" spans="1:61" s="82" customFormat="1" ht="12.75">
      <c r="A41" s="82" t="s">
        <v>187</v>
      </c>
      <c r="B41" s="4" t="s">
        <v>54</v>
      </c>
      <c r="C41" s="4"/>
      <c r="D41" s="4" t="s">
        <v>18</v>
      </c>
      <c r="G41" s="80">
        <v>19.1</v>
      </c>
      <c r="H41" s="80"/>
      <c r="I41" s="80">
        <v>18.2</v>
      </c>
      <c r="J41" s="80"/>
      <c r="K41" s="80">
        <v>12.4</v>
      </c>
      <c r="L41" s="80"/>
      <c r="M41" s="80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</row>
    <row r="42" spans="1:61" s="82" customFormat="1" ht="12.75">
      <c r="A42" s="82" t="s">
        <v>187</v>
      </c>
      <c r="B42" s="4" t="s">
        <v>50</v>
      </c>
      <c r="C42" s="4"/>
      <c r="D42" s="4" t="s">
        <v>19</v>
      </c>
      <c r="G42" s="80">
        <v>307</v>
      </c>
      <c r="H42" s="80"/>
      <c r="I42" s="80">
        <v>314</v>
      </c>
      <c r="J42" s="80"/>
      <c r="K42" s="80">
        <v>330</v>
      </c>
      <c r="L42" s="80"/>
      <c r="M42" s="80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102"/>
  <sheetViews>
    <sheetView workbookViewId="0" topLeftCell="B1">
      <selection activeCell="B34" sqref="A34:IV473"/>
    </sheetView>
  </sheetViews>
  <sheetFormatPr defaultColWidth="9.140625" defaultRowHeight="12.75"/>
  <cols>
    <col min="1" max="1" width="2.421875" style="14" hidden="1" customWidth="1"/>
    <col min="2" max="2" width="20.28125" style="4" customWidth="1"/>
    <col min="3" max="3" width="6.7109375" style="4" customWidth="1"/>
    <col min="4" max="4" width="8.7109375" style="4" customWidth="1"/>
    <col min="5" max="5" width="2.7109375" style="14" customWidth="1"/>
    <col min="6" max="6" width="9.8515625" style="19" customWidth="1"/>
    <col min="7" max="7" width="2.8515625" style="16" customWidth="1"/>
    <col min="8" max="8" width="10.7109375" style="14" customWidth="1"/>
    <col min="9" max="9" width="2.8515625" style="14" customWidth="1"/>
    <col min="10" max="10" width="10.28125" style="14" customWidth="1"/>
    <col min="11" max="11" width="2.8515625" style="14" customWidth="1"/>
    <col min="12" max="12" width="9.57421875" style="14" customWidth="1"/>
    <col min="13" max="13" width="2.421875" style="14" customWidth="1"/>
    <col min="14" max="14" width="9.57421875" style="14" customWidth="1"/>
    <col min="15" max="15" width="2.421875" style="14" customWidth="1"/>
    <col min="16" max="16" width="9.7109375" style="14" customWidth="1"/>
    <col min="17" max="17" width="2.140625" style="14" customWidth="1"/>
    <col min="18" max="18" width="9.57421875" style="14" customWidth="1"/>
    <col min="19" max="19" width="1.28515625" style="14" customWidth="1"/>
    <col min="20" max="20" width="10.28125" style="14" customWidth="1"/>
    <col min="21" max="21" width="2.140625" style="14" customWidth="1"/>
    <col min="22" max="22" width="9.421875" style="14" customWidth="1"/>
    <col min="23" max="23" width="2.421875" style="14" customWidth="1"/>
    <col min="24" max="24" width="8.8515625" style="14" customWidth="1"/>
    <col min="25" max="25" width="2.421875" style="14" customWidth="1"/>
    <col min="26" max="26" width="8.8515625" style="14" customWidth="1"/>
    <col min="27" max="27" width="2.7109375" style="14" customWidth="1"/>
    <col min="28" max="28" width="8.8515625" style="14" customWidth="1"/>
    <col min="29" max="29" width="2.00390625" style="14" customWidth="1"/>
    <col min="30" max="30" width="10.28125" style="21" customWidth="1"/>
    <col min="31" max="16384" width="8.8515625" style="14" customWidth="1"/>
  </cols>
  <sheetData>
    <row r="1" spans="2:3" ht="12.75">
      <c r="B1" s="17" t="s">
        <v>251</v>
      </c>
      <c r="C1" s="17"/>
    </row>
    <row r="4" spans="1:30" ht="12.75">
      <c r="A4" s="14" t="s">
        <v>58</v>
      </c>
      <c r="B4" s="17" t="s">
        <v>166</v>
      </c>
      <c r="C4" s="4" t="s">
        <v>180</v>
      </c>
      <c r="F4" s="16" t="s">
        <v>170</v>
      </c>
      <c r="H4" s="16" t="s">
        <v>171</v>
      </c>
      <c r="I4" s="16"/>
      <c r="J4" s="16" t="s">
        <v>172</v>
      </c>
      <c r="K4" s="19"/>
      <c r="L4" s="16" t="s">
        <v>170</v>
      </c>
      <c r="M4" s="16"/>
      <c r="N4" s="16" t="s">
        <v>171</v>
      </c>
      <c r="O4" s="16"/>
      <c r="P4" s="16" t="s">
        <v>172</v>
      </c>
      <c r="Q4" s="17"/>
      <c r="R4" s="16" t="s">
        <v>170</v>
      </c>
      <c r="S4" s="16"/>
      <c r="T4" s="16" t="s">
        <v>171</v>
      </c>
      <c r="U4" s="16"/>
      <c r="V4" s="16" t="s">
        <v>172</v>
      </c>
      <c r="W4" s="17"/>
      <c r="X4" s="16" t="s">
        <v>170</v>
      </c>
      <c r="Y4" s="16"/>
      <c r="Z4" s="16" t="s">
        <v>171</v>
      </c>
      <c r="AA4" s="16"/>
      <c r="AB4" s="16" t="s">
        <v>172</v>
      </c>
      <c r="AD4" s="84" t="s">
        <v>169</v>
      </c>
    </row>
    <row r="5" spans="1:7" ht="12.75">
      <c r="A5" s="13"/>
      <c r="F5" s="14"/>
      <c r="G5" s="14"/>
    </row>
    <row r="6" spans="1:30" ht="12.75">
      <c r="A6" s="13"/>
      <c r="B6" s="4" t="s">
        <v>242</v>
      </c>
      <c r="F6" s="14" t="s">
        <v>244</v>
      </c>
      <c r="G6" s="14"/>
      <c r="H6" s="14" t="s">
        <v>244</v>
      </c>
      <c r="J6" s="14" t="s">
        <v>244</v>
      </c>
      <c r="L6" s="14" t="s">
        <v>246</v>
      </c>
      <c r="N6" s="14" t="s">
        <v>246</v>
      </c>
      <c r="P6" s="14" t="s">
        <v>246</v>
      </c>
      <c r="R6" s="14" t="s">
        <v>248</v>
      </c>
      <c r="T6" s="14" t="s">
        <v>248</v>
      </c>
      <c r="V6" s="14" t="s">
        <v>248</v>
      </c>
      <c r="X6" s="14" t="s">
        <v>249</v>
      </c>
      <c r="Z6" s="14" t="s">
        <v>249</v>
      </c>
      <c r="AB6" s="14" t="s">
        <v>249</v>
      </c>
      <c r="AD6" s="21" t="s">
        <v>249</v>
      </c>
    </row>
    <row r="7" spans="1:30" ht="12.75">
      <c r="A7" s="13"/>
      <c r="B7" s="4" t="s">
        <v>243</v>
      </c>
      <c r="F7" s="14" t="s">
        <v>245</v>
      </c>
      <c r="G7" s="14"/>
      <c r="H7" s="14" t="s">
        <v>245</v>
      </c>
      <c r="J7" s="14" t="s">
        <v>245</v>
      </c>
      <c r="L7" s="14" t="s">
        <v>247</v>
      </c>
      <c r="N7" s="14" t="s">
        <v>247</v>
      </c>
      <c r="P7" s="14" t="s">
        <v>247</v>
      </c>
      <c r="R7" s="14" t="s">
        <v>33</v>
      </c>
      <c r="T7" s="14" t="s">
        <v>33</v>
      </c>
      <c r="V7" s="14" t="s">
        <v>33</v>
      </c>
      <c r="X7" s="14" t="s">
        <v>62</v>
      </c>
      <c r="Z7" s="14" t="s">
        <v>62</v>
      </c>
      <c r="AB7" s="14" t="s">
        <v>62</v>
      </c>
      <c r="AD7" s="21" t="s">
        <v>62</v>
      </c>
    </row>
    <row r="8" spans="1:30" ht="12.75">
      <c r="A8" s="13"/>
      <c r="B8" s="4" t="s">
        <v>250</v>
      </c>
      <c r="F8" s="14" t="s">
        <v>139</v>
      </c>
      <c r="G8" s="14"/>
      <c r="H8" s="14" t="s">
        <v>139</v>
      </c>
      <c r="J8" s="14" t="s">
        <v>139</v>
      </c>
      <c r="L8" s="14" t="s">
        <v>40</v>
      </c>
      <c r="N8" s="14" t="s">
        <v>40</v>
      </c>
      <c r="P8" s="14" t="s">
        <v>40</v>
      </c>
      <c r="R8" s="14" t="s">
        <v>33</v>
      </c>
      <c r="T8" s="14" t="s">
        <v>33</v>
      </c>
      <c r="V8" s="14" t="s">
        <v>33</v>
      </c>
      <c r="X8" s="14" t="s">
        <v>62</v>
      </c>
      <c r="Z8" s="14" t="s">
        <v>62</v>
      </c>
      <c r="AB8" s="14" t="s">
        <v>62</v>
      </c>
      <c r="AD8" s="21" t="s">
        <v>62</v>
      </c>
    </row>
    <row r="9" spans="2:30" ht="12.75">
      <c r="B9" s="4" t="s">
        <v>20</v>
      </c>
      <c r="C9" s="17"/>
      <c r="D9" s="38"/>
      <c r="F9" s="87" t="s">
        <v>139</v>
      </c>
      <c r="H9" s="87" t="s">
        <v>139</v>
      </c>
      <c r="J9" s="87" t="s">
        <v>139</v>
      </c>
      <c r="L9" s="87" t="s">
        <v>137</v>
      </c>
      <c r="M9" s="16"/>
      <c r="N9" s="87" t="s">
        <v>137</v>
      </c>
      <c r="P9" s="87" t="s">
        <v>137</v>
      </c>
      <c r="Q9" s="88"/>
      <c r="R9" s="88" t="s">
        <v>33</v>
      </c>
      <c r="S9" s="88"/>
      <c r="T9" s="88" t="s">
        <v>33</v>
      </c>
      <c r="U9" s="88"/>
      <c r="V9" s="88" t="s">
        <v>33</v>
      </c>
      <c r="W9" s="88"/>
      <c r="X9" s="88" t="s">
        <v>62</v>
      </c>
      <c r="Y9" s="88"/>
      <c r="Z9" s="88" t="s">
        <v>62</v>
      </c>
      <c r="AA9" s="88"/>
      <c r="AB9" s="88" t="s">
        <v>62</v>
      </c>
      <c r="AD9" s="84" t="s">
        <v>62</v>
      </c>
    </row>
    <row r="10" spans="2:30" ht="12.75">
      <c r="B10" s="4" t="s">
        <v>61</v>
      </c>
      <c r="D10" s="4" t="s">
        <v>28</v>
      </c>
      <c r="F10" s="19">
        <f>14.13*2000</f>
        <v>28260</v>
      </c>
      <c r="H10" s="19">
        <f>15.08*2000</f>
        <v>30160</v>
      </c>
      <c r="J10" s="19">
        <f>15.13*2000</f>
        <v>30260</v>
      </c>
      <c r="L10" s="19">
        <v>2712.6</v>
      </c>
      <c r="M10" s="16"/>
      <c r="N10" s="19">
        <v>2804.4</v>
      </c>
      <c r="P10" s="19">
        <v>2713.8</v>
      </c>
      <c r="Q10" s="4"/>
      <c r="R10" s="19">
        <v>187.6</v>
      </c>
      <c r="S10" s="16"/>
      <c r="T10" s="14">
        <v>187.6</v>
      </c>
      <c r="V10" s="14">
        <v>187.6</v>
      </c>
      <c r="X10" s="7">
        <f>F10+L10+R10</f>
        <v>31160.199999999997</v>
      </c>
      <c r="Y10" s="16"/>
      <c r="Z10" s="7">
        <f>H10+N10+T10</f>
        <v>33152</v>
      </c>
      <c r="AA10" s="19"/>
      <c r="AB10" s="7">
        <f>J10+P10+V10</f>
        <v>33161.4</v>
      </c>
      <c r="AD10" s="21">
        <f>AVERAGE(X10,Z10,AB10)</f>
        <v>32491.2</v>
      </c>
    </row>
    <row r="11" spans="2:28" ht="12.75">
      <c r="B11" s="4" t="s">
        <v>123</v>
      </c>
      <c r="D11" s="4" t="s">
        <v>124</v>
      </c>
      <c r="H11" s="19"/>
      <c r="J11" s="19"/>
      <c r="L11" s="19">
        <v>0.882</v>
      </c>
      <c r="M11" s="16"/>
      <c r="N11" s="19">
        <v>0.859</v>
      </c>
      <c r="P11" s="19">
        <v>0.862</v>
      </c>
      <c r="Q11" s="4"/>
      <c r="R11" s="19"/>
      <c r="S11" s="16"/>
      <c r="X11" s="5"/>
      <c r="Y11" s="16"/>
      <c r="Z11" s="5"/>
      <c r="AA11" s="19"/>
      <c r="AB11" s="5"/>
    </row>
    <row r="12" spans="2:28" ht="12.75">
      <c r="B12" s="4" t="s">
        <v>21</v>
      </c>
      <c r="D12" s="4" t="s">
        <v>22</v>
      </c>
      <c r="L12" s="19">
        <v>11096</v>
      </c>
      <c r="M12" s="16"/>
      <c r="N12" s="14">
        <v>13738</v>
      </c>
      <c r="P12" s="14">
        <v>15520</v>
      </c>
      <c r="Q12" s="4"/>
      <c r="R12" s="19"/>
      <c r="S12" s="16"/>
      <c r="X12" s="7"/>
      <c r="Y12" s="16"/>
      <c r="Z12" s="7"/>
      <c r="AA12" s="19"/>
      <c r="AB12" s="7"/>
    </row>
    <row r="13" spans="8:28" ht="12.75">
      <c r="H13" s="19"/>
      <c r="J13" s="19"/>
      <c r="L13" s="19"/>
      <c r="M13" s="16"/>
      <c r="Q13" s="4"/>
      <c r="R13" s="6"/>
      <c r="S13" s="16"/>
      <c r="X13" s="57"/>
      <c r="Y13" s="56"/>
      <c r="Z13" s="57"/>
      <c r="AA13" s="39"/>
      <c r="AB13" s="57"/>
    </row>
    <row r="14" spans="2:30" ht="12.75">
      <c r="B14" s="4" t="s">
        <v>23</v>
      </c>
      <c r="D14" s="4" t="s">
        <v>18</v>
      </c>
      <c r="E14" s="16"/>
      <c r="F14" s="6"/>
      <c r="I14" s="5"/>
      <c r="K14" s="19"/>
      <c r="L14" s="5">
        <v>1.36</v>
      </c>
      <c r="M14" s="16"/>
      <c r="N14" s="14">
        <v>1.3</v>
      </c>
      <c r="O14" s="5"/>
      <c r="P14" s="14">
        <v>1.34</v>
      </c>
      <c r="Q14" s="4"/>
      <c r="R14" s="19"/>
      <c r="S14" s="16"/>
      <c r="U14" s="5"/>
      <c r="X14" s="6"/>
      <c r="Y14" s="89"/>
      <c r="Z14" s="6"/>
      <c r="AA14" s="6"/>
      <c r="AB14" s="6"/>
      <c r="AD14" s="65"/>
    </row>
    <row r="15" spans="2:30" ht="12.75">
      <c r="B15" s="4" t="s">
        <v>24</v>
      </c>
      <c r="D15" s="4" t="s">
        <v>138</v>
      </c>
      <c r="E15" s="16" t="s">
        <v>106</v>
      </c>
      <c r="F15" s="5">
        <f>50/2/1000000*F10*454</f>
        <v>320.75100000000003</v>
      </c>
      <c r="G15" s="16" t="s">
        <v>106</v>
      </c>
      <c r="H15" s="5">
        <f>50/2/1000000*H10*454</f>
        <v>342.316</v>
      </c>
      <c r="I15" s="5" t="s">
        <v>106</v>
      </c>
      <c r="J15" s="5">
        <f>50/2/1000000*J10*454</f>
        <v>343.451</v>
      </c>
      <c r="L15" s="19">
        <v>3928.9</v>
      </c>
      <c r="M15" s="16"/>
      <c r="N15" s="14">
        <v>4450.9</v>
      </c>
      <c r="O15" s="5"/>
      <c r="P15" s="14">
        <v>4066.61</v>
      </c>
      <c r="Q15" s="4"/>
      <c r="R15" s="19">
        <v>17595.63</v>
      </c>
      <c r="S15" s="16"/>
      <c r="T15" s="19">
        <v>18044.15</v>
      </c>
      <c r="U15" s="5"/>
      <c r="V15" s="19">
        <v>18004.29</v>
      </c>
      <c r="X15" s="7">
        <f>F15+L15+R15</f>
        <v>21845.281000000003</v>
      </c>
      <c r="Y15" s="16"/>
      <c r="Z15" s="7">
        <f>H15+N15+T15</f>
        <v>22837.366</v>
      </c>
      <c r="AA15" s="19"/>
      <c r="AB15" s="7">
        <f>J15+P15+V15</f>
        <v>22414.351000000002</v>
      </c>
      <c r="AD15" s="21">
        <f>AVERAGE(X15,Z15,AB15)</f>
        <v>22365.666</v>
      </c>
    </row>
    <row r="16" spans="5:30" ht="12.75">
      <c r="E16" s="16"/>
      <c r="I16" s="5"/>
      <c r="L16" s="19"/>
      <c r="M16" s="16"/>
      <c r="O16" s="5"/>
      <c r="Q16" s="4"/>
      <c r="R16" s="19"/>
      <c r="S16" s="16"/>
      <c r="T16" s="19"/>
      <c r="U16" s="5"/>
      <c r="V16" s="19"/>
      <c r="X16" s="90"/>
      <c r="Y16" s="56"/>
      <c r="Z16" s="5"/>
      <c r="AA16" s="39"/>
      <c r="AB16" s="5"/>
      <c r="AC16" s="91"/>
      <c r="AD16" s="65"/>
    </row>
    <row r="17" spans="2:30" ht="12.75">
      <c r="B17" s="4" t="s">
        <v>108</v>
      </c>
      <c r="D17" s="4" t="s">
        <v>138</v>
      </c>
      <c r="E17" s="16" t="s">
        <v>106</v>
      </c>
      <c r="F17" s="6">
        <f>0.5/2*F$10/1000000*454</f>
        <v>3.20751</v>
      </c>
      <c r="G17" s="89" t="s">
        <v>106</v>
      </c>
      <c r="H17" s="6">
        <f>0.5/2*H$10/1000000*454</f>
        <v>3.4231599999999998</v>
      </c>
      <c r="I17" s="6" t="s">
        <v>106</v>
      </c>
      <c r="J17" s="6">
        <f>0.5/2*J$10/1000000*454</f>
        <v>3.43451</v>
      </c>
      <c r="L17" s="92">
        <v>9.7</v>
      </c>
      <c r="M17" s="16"/>
      <c r="N17" s="92">
        <v>5.47</v>
      </c>
      <c r="O17" s="5"/>
      <c r="P17" s="92">
        <v>2.56</v>
      </c>
      <c r="Q17" s="4"/>
      <c r="R17" s="19"/>
      <c r="S17" s="16"/>
      <c r="T17" s="19"/>
      <c r="U17" s="5"/>
      <c r="V17" s="19"/>
      <c r="X17" s="7">
        <f aca="true" t="shared" si="0" ref="X17:X28">F17+L17+R17</f>
        <v>12.907509999999998</v>
      </c>
      <c r="Y17" s="16"/>
      <c r="Z17" s="7">
        <f aca="true" t="shared" si="1" ref="Z17:Z28">H17+N17+T17</f>
        <v>8.89316</v>
      </c>
      <c r="AA17" s="19"/>
      <c r="AB17" s="7">
        <f aca="true" t="shared" si="2" ref="AB17:AB28">J17+P17+V17</f>
        <v>5.99451</v>
      </c>
      <c r="AD17" s="65"/>
    </row>
    <row r="18" spans="2:30" ht="12.75">
      <c r="B18" s="4" t="s">
        <v>107</v>
      </c>
      <c r="D18" s="4" t="s">
        <v>138</v>
      </c>
      <c r="E18" s="16"/>
      <c r="F18" s="5">
        <v>141.01</v>
      </c>
      <c r="H18" s="92">
        <v>118.51</v>
      </c>
      <c r="I18" s="5"/>
      <c r="J18" s="92">
        <v>155</v>
      </c>
      <c r="L18" s="6">
        <v>1.36</v>
      </c>
      <c r="M18" s="89"/>
      <c r="N18" s="6">
        <v>0.72</v>
      </c>
      <c r="O18" s="6"/>
      <c r="P18" s="6">
        <f>0.5/2*P$10/1000000*454</f>
        <v>0.3080163</v>
      </c>
      <c r="Q18" s="4"/>
      <c r="R18" s="19">
        <v>309.18</v>
      </c>
      <c r="S18" s="16"/>
      <c r="T18" s="19">
        <v>494.98</v>
      </c>
      <c r="U18" s="5"/>
      <c r="V18" s="19">
        <v>451</v>
      </c>
      <c r="X18" s="7">
        <f t="shared" si="0"/>
        <v>451.55</v>
      </c>
      <c r="Y18" s="16"/>
      <c r="Z18" s="7">
        <f t="shared" si="1"/>
        <v>614.21</v>
      </c>
      <c r="AA18" s="19"/>
      <c r="AB18" s="7">
        <f t="shared" si="2"/>
        <v>606.3080163</v>
      </c>
      <c r="AD18" s="65"/>
    </row>
    <row r="19" spans="2:30" ht="12.75">
      <c r="B19" s="4" t="s">
        <v>109</v>
      </c>
      <c r="D19" s="4" t="s">
        <v>138</v>
      </c>
      <c r="E19" s="16"/>
      <c r="F19" s="5">
        <v>1538.25</v>
      </c>
      <c r="H19" s="5">
        <v>1856.86</v>
      </c>
      <c r="I19" s="5"/>
      <c r="J19" s="5">
        <v>1646.02</v>
      </c>
      <c r="L19" s="6">
        <v>258</v>
      </c>
      <c r="M19" s="16"/>
      <c r="N19" s="6">
        <v>214.04</v>
      </c>
      <c r="O19" s="5"/>
      <c r="P19" s="6">
        <v>226.94</v>
      </c>
      <c r="Q19" s="4"/>
      <c r="R19" s="19"/>
      <c r="S19" s="16"/>
      <c r="T19" s="19"/>
      <c r="U19" s="5"/>
      <c r="V19" s="19"/>
      <c r="X19" s="7">
        <f t="shared" si="0"/>
        <v>1796.25</v>
      </c>
      <c r="Y19" s="16"/>
      <c r="Z19" s="7">
        <f t="shared" si="1"/>
        <v>2070.9</v>
      </c>
      <c r="AA19" s="19"/>
      <c r="AB19" s="7">
        <f t="shared" si="2"/>
        <v>1872.96</v>
      </c>
      <c r="AD19" s="65"/>
    </row>
    <row r="20" spans="2:30" ht="12.75">
      <c r="B20" s="4" t="s">
        <v>110</v>
      </c>
      <c r="D20" s="4" t="s">
        <v>138</v>
      </c>
      <c r="E20" s="16"/>
      <c r="F20" s="6">
        <v>27.69</v>
      </c>
      <c r="G20" s="89"/>
      <c r="H20" s="6">
        <v>37.96</v>
      </c>
      <c r="I20" s="6"/>
      <c r="J20" s="6">
        <v>29.63</v>
      </c>
      <c r="L20" s="6">
        <f>0.05/2*L$10/1000000*454</f>
        <v>0.03078801</v>
      </c>
      <c r="M20" s="93"/>
      <c r="N20" s="6">
        <f>0.05/2*N$10/1000000*454</f>
        <v>0.03182994</v>
      </c>
      <c r="O20" s="61"/>
      <c r="P20" s="6">
        <f>0.05/2*P$10/1000000*454</f>
        <v>0.030801630000000007</v>
      </c>
      <c r="Q20" s="4"/>
      <c r="R20" s="19">
        <v>88.34</v>
      </c>
      <c r="S20" s="16"/>
      <c r="T20" s="19">
        <v>92.24</v>
      </c>
      <c r="U20" s="5"/>
      <c r="V20" s="19">
        <v>92.76</v>
      </c>
      <c r="X20" s="7">
        <f t="shared" si="0"/>
        <v>116.06078801000001</v>
      </c>
      <c r="Y20" s="16"/>
      <c r="Z20" s="7">
        <f t="shared" si="1"/>
        <v>130.23182994</v>
      </c>
      <c r="AA20" s="19"/>
      <c r="AB20" s="7">
        <f t="shared" si="2"/>
        <v>122.42080163</v>
      </c>
      <c r="AD20" s="65"/>
    </row>
    <row r="21" spans="2:30" ht="12.75">
      <c r="B21" s="4" t="s">
        <v>111</v>
      </c>
      <c r="D21" s="4" t="s">
        <v>138</v>
      </c>
      <c r="E21" s="16" t="s">
        <v>106</v>
      </c>
      <c r="F21" s="6">
        <f>0.2/2*F$10/1000000*454</f>
        <v>1.283004</v>
      </c>
      <c r="G21" s="16" t="s">
        <v>106</v>
      </c>
      <c r="H21" s="6">
        <f>0.2/2*H$10/1000000*454</f>
        <v>1.369264</v>
      </c>
      <c r="I21" s="5" t="s">
        <v>106</v>
      </c>
      <c r="J21" s="6">
        <f>0.2/2*J$10/1000000*454</f>
        <v>1.373804</v>
      </c>
      <c r="L21" s="6">
        <v>3.41</v>
      </c>
      <c r="M21" s="89"/>
      <c r="N21" s="6">
        <v>1.81</v>
      </c>
      <c r="O21" s="6"/>
      <c r="P21" s="6">
        <v>1.12</v>
      </c>
      <c r="Q21" s="4"/>
      <c r="R21" s="19">
        <v>198.54</v>
      </c>
      <c r="S21" s="16"/>
      <c r="T21" s="19">
        <v>192.42</v>
      </c>
      <c r="U21" s="5"/>
      <c r="V21" s="19">
        <v>195.09</v>
      </c>
      <c r="X21" s="7">
        <f t="shared" si="0"/>
        <v>203.233004</v>
      </c>
      <c r="Y21" s="16"/>
      <c r="Z21" s="7">
        <f t="shared" si="1"/>
        <v>195.59926399999998</v>
      </c>
      <c r="AA21" s="19"/>
      <c r="AB21" s="7">
        <f t="shared" si="2"/>
        <v>197.58380400000001</v>
      </c>
      <c r="AD21" s="65"/>
    </row>
    <row r="22" spans="2:30" ht="12.75">
      <c r="B22" s="4" t="s">
        <v>112</v>
      </c>
      <c r="D22" s="4" t="s">
        <v>138</v>
      </c>
      <c r="E22" s="16"/>
      <c r="F22" s="5">
        <v>721.69</v>
      </c>
      <c r="G22" s="94"/>
      <c r="H22" s="5">
        <v>719.53</v>
      </c>
      <c r="I22" s="5"/>
      <c r="J22" s="5">
        <v>663.9</v>
      </c>
      <c r="L22" s="6">
        <v>25.14</v>
      </c>
      <c r="M22" s="89"/>
      <c r="N22" s="6">
        <v>20.95</v>
      </c>
      <c r="O22" s="6"/>
      <c r="P22" s="6">
        <v>18.1</v>
      </c>
      <c r="Q22" s="4"/>
      <c r="R22" s="19">
        <v>1398.98</v>
      </c>
      <c r="S22" s="16"/>
      <c r="T22" s="19">
        <v>1325.9</v>
      </c>
      <c r="U22" s="5"/>
      <c r="V22" s="19">
        <v>1472.05</v>
      </c>
      <c r="X22" s="7">
        <f t="shared" si="0"/>
        <v>2145.81</v>
      </c>
      <c r="Y22" s="16"/>
      <c r="Z22" s="7">
        <f t="shared" si="1"/>
        <v>2066.38</v>
      </c>
      <c r="AA22" s="19"/>
      <c r="AB22" s="7">
        <f t="shared" si="2"/>
        <v>2154.05</v>
      </c>
      <c r="AD22" s="65"/>
    </row>
    <row r="23" spans="2:30" ht="12.75">
      <c r="B23" s="4" t="s">
        <v>114</v>
      </c>
      <c r="D23" s="4" t="s">
        <v>138</v>
      </c>
      <c r="E23" s="16"/>
      <c r="F23" s="5">
        <v>139.72</v>
      </c>
      <c r="G23" s="94"/>
      <c r="H23" s="5">
        <v>158.38</v>
      </c>
      <c r="I23" s="5"/>
      <c r="J23" s="5">
        <v>160.49</v>
      </c>
      <c r="L23" s="6">
        <v>31.96</v>
      </c>
      <c r="M23" s="89"/>
      <c r="N23" s="6">
        <v>17.74</v>
      </c>
      <c r="O23" s="6"/>
      <c r="P23" s="6">
        <v>11.31</v>
      </c>
      <c r="Q23" s="4"/>
      <c r="R23" s="7">
        <v>5229.27</v>
      </c>
      <c r="S23" s="84"/>
      <c r="T23" s="7">
        <v>5282.9</v>
      </c>
      <c r="U23" s="7"/>
      <c r="V23" s="7">
        <v>5468.12</v>
      </c>
      <c r="X23" s="7">
        <f t="shared" si="0"/>
        <v>5400.950000000001</v>
      </c>
      <c r="Y23" s="16"/>
      <c r="Z23" s="7">
        <f t="shared" si="1"/>
        <v>5459.0199999999995</v>
      </c>
      <c r="AA23" s="19"/>
      <c r="AB23" s="7">
        <f t="shared" si="2"/>
        <v>5639.92</v>
      </c>
      <c r="AD23" s="65"/>
    </row>
    <row r="24" spans="2:30" ht="12.75">
      <c r="B24" s="4" t="s">
        <v>136</v>
      </c>
      <c r="D24" s="4" t="s">
        <v>138</v>
      </c>
      <c r="E24" s="16"/>
      <c r="F24" s="7">
        <v>11485.59</v>
      </c>
      <c r="G24" s="84"/>
      <c r="H24" s="7">
        <v>12042.26</v>
      </c>
      <c r="I24" s="7"/>
      <c r="J24" s="7">
        <v>13031.02</v>
      </c>
      <c r="K24" s="16"/>
      <c r="L24" s="5">
        <v>85</v>
      </c>
      <c r="M24" s="94"/>
      <c r="N24" s="5">
        <v>43</v>
      </c>
      <c r="O24" s="5"/>
      <c r="P24" s="5">
        <v>41.45</v>
      </c>
      <c r="Q24" s="4"/>
      <c r="R24" s="19"/>
      <c r="S24" s="16"/>
      <c r="T24" s="19"/>
      <c r="U24" s="5"/>
      <c r="V24" s="19"/>
      <c r="X24" s="7">
        <f t="shared" si="0"/>
        <v>11570.59</v>
      </c>
      <c r="Y24" s="16"/>
      <c r="Z24" s="7">
        <f t="shared" si="1"/>
        <v>12085.26</v>
      </c>
      <c r="AA24" s="19"/>
      <c r="AB24" s="7">
        <f t="shared" si="2"/>
        <v>13072.470000000001</v>
      </c>
      <c r="AD24" s="65"/>
    </row>
    <row r="25" spans="2:30" ht="12.75">
      <c r="B25" s="4" t="s">
        <v>115</v>
      </c>
      <c r="D25" s="4" t="s">
        <v>138</v>
      </c>
      <c r="E25" s="16" t="s">
        <v>106</v>
      </c>
      <c r="F25" s="6">
        <f>0.2/2*F$10/1000000*454</f>
        <v>1.283004</v>
      </c>
      <c r="G25" s="16" t="s">
        <v>106</v>
      </c>
      <c r="H25" s="6">
        <f>0.2/2*H$10/1000000*454</f>
        <v>1.369264</v>
      </c>
      <c r="I25" s="5" t="s">
        <v>106</v>
      </c>
      <c r="J25" s="6">
        <f>0.2/2*J$10/1000000*454</f>
        <v>1.373804</v>
      </c>
      <c r="K25" s="14" t="s">
        <v>106</v>
      </c>
      <c r="L25" s="6">
        <f>0.02*L$10/1000000*454</f>
        <v>0.024630408</v>
      </c>
      <c r="M25" s="89" t="s">
        <v>106</v>
      </c>
      <c r="N25" s="6">
        <f>0.019/2*N$10/1000000*454</f>
        <v>0.0120953772</v>
      </c>
      <c r="O25" s="6" t="s">
        <v>106</v>
      </c>
      <c r="P25" s="6">
        <f>0.02/2*P$10/1000000*454</f>
        <v>0.012320652</v>
      </c>
      <c r="Q25" s="4"/>
      <c r="R25" s="19"/>
      <c r="S25" s="16"/>
      <c r="T25" s="19"/>
      <c r="U25" s="5"/>
      <c r="V25" s="19"/>
      <c r="X25" s="5">
        <f>F25+L25+R25</f>
        <v>1.307634408</v>
      </c>
      <c r="Y25" s="94"/>
      <c r="Z25" s="5">
        <f>H25+N25+T25</f>
        <v>1.3813593772000001</v>
      </c>
      <c r="AA25" s="5"/>
      <c r="AB25" s="5">
        <f>J25+P25+V25</f>
        <v>1.3861246520000001</v>
      </c>
      <c r="AD25" s="65"/>
    </row>
    <row r="26" spans="2:30" ht="12.75">
      <c r="B26" s="4" t="s">
        <v>116</v>
      </c>
      <c r="D26" s="4" t="s">
        <v>138</v>
      </c>
      <c r="E26" s="16"/>
      <c r="F26" s="5">
        <v>439.68</v>
      </c>
      <c r="G26" s="94"/>
      <c r="H26" s="5">
        <v>438.27</v>
      </c>
      <c r="I26" s="5"/>
      <c r="J26" s="5">
        <v>474.6</v>
      </c>
      <c r="L26" s="6">
        <v>2.93</v>
      </c>
      <c r="M26" s="89"/>
      <c r="N26" s="6">
        <v>1.86</v>
      </c>
      <c r="O26" s="6"/>
      <c r="P26" s="6">
        <v>2.53</v>
      </c>
      <c r="Q26" s="4"/>
      <c r="R26" s="19"/>
      <c r="S26" s="16"/>
      <c r="T26" s="19"/>
      <c r="U26" s="5"/>
      <c r="V26" s="19"/>
      <c r="X26" s="7">
        <f>F26+L26+R26</f>
        <v>442.61</v>
      </c>
      <c r="Y26" s="84"/>
      <c r="Z26" s="7">
        <f>H26+N26+T26</f>
        <v>440.13</v>
      </c>
      <c r="AA26" s="7"/>
      <c r="AB26" s="7">
        <f>J26+P26+V26</f>
        <v>477.13</v>
      </c>
      <c r="AD26" s="65"/>
    </row>
    <row r="27" spans="2:30" ht="12.75">
      <c r="B27" s="4" t="s">
        <v>118</v>
      </c>
      <c r="D27" s="4" t="s">
        <v>138</v>
      </c>
      <c r="E27" s="16"/>
      <c r="F27" s="92">
        <v>2.62</v>
      </c>
      <c r="H27" s="92">
        <v>2.8</v>
      </c>
      <c r="I27" s="5"/>
      <c r="J27" s="92">
        <v>3.14</v>
      </c>
      <c r="L27" s="6">
        <v>0.77</v>
      </c>
      <c r="M27" s="89"/>
      <c r="N27" s="6">
        <v>0.72</v>
      </c>
      <c r="O27" s="6"/>
      <c r="P27" s="6">
        <v>0.7</v>
      </c>
      <c r="Q27" s="4"/>
      <c r="R27" s="6"/>
      <c r="S27" s="16"/>
      <c r="T27" s="6"/>
      <c r="U27" s="5"/>
      <c r="V27" s="6"/>
      <c r="X27" s="5">
        <f t="shared" si="0"/>
        <v>3.39</v>
      </c>
      <c r="Y27" s="94"/>
      <c r="Z27" s="5">
        <f t="shared" si="1"/>
        <v>3.5199999999999996</v>
      </c>
      <c r="AA27" s="5"/>
      <c r="AB27" s="5">
        <f t="shared" si="2"/>
        <v>3.84</v>
      </c>
      <c r="AD27" s="65"/>
    </row>
    <row r="28" spans="2:30" ht="12.75">
      <c r="B28" s="4" t="s">
        <v>119</v>
      </c>
      <c r="D28" s="4" t="s">
        <v>138</v>
      </c>
      <c r="E28" s="16"/>
      <c r="F28" s="92">
        <v>6.47</v>
      </c>
      <c r="H28" s="92">
        <v>7.26</v>
      </c>
      <c r="I28" s="5"/>
      <c r="J28" s="92">
        <v>7.71</v>
      </c>
      <c r="K28" s="14" t="s">
        <v>106</v>
      </c>
      <c r="L28" s="6">
        <f>0.02*L$10/1000000*454</f>
        <v>0.024630408</v>
      </c>
      <c r="M28" s="89" t="s">
        <v>106</v>
      </c>
      <c r="N28" s="6">
        <f>0.02*N$10/1000000*454</f>
        <v>0.025463952</v>
      </c>
      <c r="O28" s="6" t="s">
        <v>106</v>
      </c>
      <c r="P28" s="6">
        <f>0.02*P$10/1000000*454</f>
        <v>0.024641304</v>
      </c>
      <c r="Q28" s="4"/>
      <c r="R28" s="6"/>
      <c r="S28" s="16"/>
      <c r="T28" s="6"/>
      <c r="U28" s="5"/>
      <c r="V28" s="6"/>
      <c r="X28" s="5">
        <f t="shared" si="0"/>
        <v>6.494630408</v>
      </c>
      <c r="Y28" s="94"/>
      <c r="Z28" s="5">
        <f t="shared" si="1"/>
        <v>7.285463952</v>
      </c>
      <c r="AA28" s="5"/>
      <c r="AB28" s="5">
        <f t="shared" si="2"/>
        <v>7.734641304</v>
      </c>
      <c r="AD28" s="65"/>
    </row>
    <row r="29" spans="5:30" ht="12.75">
      <c r="E29" s="16"/>
      <c r="I29" s="5"/>
      <c r="L29" s="19"/>
      <c r="M29" s="16"/>
      <c r="O29" s="5"/>
      <c r="Q29" s="4"/>
      <c r="R29" s="19"/>
      <c r="S29" s="16"/>
      <c r="T29" s="19"/>
      <c r="U29" s="5"/>
      <c r="V29" s="19"/>
      <c r="X29" s="5"/>
      <c r="Y29" s="56"/>
      <c r="Z29" s="5"/>
      <c r="AA29" s="39"/>
      <c r="AB29" s="5"/>
      <c r="AC29" s="91"/>
      <c r="AD29" s="65"/>
    </row>
    <row r="30" spans="5:30" ht="12.75">
      <c r="E30" s="16"/>
      <c r="I30" s="19"/>
      <c r="L30" s="19"/>
      <c r="M30" s="16"/>
      <c r="O30" s="19"/>
      <c r="X30" s="57"/>
      <c r="Y30" s="56"/>
      <c r="Z30" s="57"/>
      <c r="AA30" s="39"/>
      <c r="AB30" s="57"/>
      <c r="AC30" s="91"/>
      <c r="AD30" s="65"/>
    </row>
    <row r="31" spans="2:30" ht="12.75">
      <c r="B31" s="4" t="s">
        <v>37</v>
      </c>
      <c r="D31" s="4" t="s">
        <v>17</v>
      </c>
      <c r="E31" s="16"/>
      <c r="F31" s="7">
        <f>'emiss 1'!G38</f>
        <v>25216</v>
      </c>
      <c r="H31" s="7">
        <f>'emiss 1'!I38</f>
        <v>27232</v>
      </c>
      <c r="I31" s="19"/>
      <c r="J31" s="7">
        <f>'emiss 1'!K38</f>
        <v>27760</v>
      </c>
      <c r="K31" s="16"/>
      <c r="L31" s="19">
        <f>$F31</f>
        <v>25216</v>
      </c>
      <c r="M31" s="16"/>
      <c r="N31" s="19">
        <f>$H31</f>
        <v>27232</v>
      </c>
      <c r="O31" s="19"/>
      <c r="P31" s="19">
        <f>$J31</f>
        <v>27760</v>
      </c>
      <c r="R31" s="19">
        <f>$F31</f>
        <v>25216</v>
      </c>
      <c r="S31" s="16"/>
      <c r="T31" s="19">
        <f>$H31</f>
        <v>27232</v>
      </c>
      <c r="U31" s="19"/>
      <c r="V31" s="19">
        <f>$J31</f>
        <v>27760</v>
      </c>
      <c r="X31" s="19">
        <f>$F31</f>
        <v>25216</v>
      </c>
      <c r="Y31" s="16"/>
      <c r="Z31" s="19">
        <f>$H31</f>
        <v>27232</v>
      </c>
      <c r="AA31" s="19"/>
      <c r="AB31" s="19">
        <f>$J31</f>
        <v>27760</v>
      </c>
      <c r="AD31" s="21">
        <f>AVERAGE(X31,Z31,AB31)</f>
        <v>26736</v>
      </c>
    </row>
    <row r="32" spans="2:30" ht="12.75">
      <c r="B32" s="4" t="s">
        <v>38</v>
      </c>
      <c r="D32" s="4" t="s">
        <v>18</v>
      </c>
      <c r="E32" s="16"/>
      <c r="F32" s="5">
        <f>'emiss 1'!G39</f>
        <v>16.5</v>
      </c>
      <c r="G32" s="94"/>
      <c r="H32" s="5">
        <f>'emiss 1'!I39</f>
        <v>16.5</v>
      </c>
      <c r="I32" s="5"/>
      <c r="J32" s="5">
        <f>'emiss 1'!K39</f>
        <v>16.4</v>
      </c>
      <c r="K32" s="16"/>
      <c r="L32" s="19">
        <f>$F32</f>
        <v>16.5</v>
      </c>
      <c r="M32" s="16"/>
      <c r="N32" s="19">
        <f>$H32</f>
        <v>16.5</v>
      </c>
      <c r="O32" s="19"/>
      <c r="P32" s="19">
        <f>$J32</f>
        <v>16.4</v>
      </c>
      <c r="Q32" s="16"/>
      <c r="R32" s="19">
        <f>$F32</f>
        <v>16.5</v>
      </c>
      <c r="S32" s="16"/>
      <c r="T32" s="19">
        <f>$H32</f>
        <v>16.5</v>
      </c>
      <c r="U32" s="19"/>
      <c r="V32" s="19">
        <f>$J32</f>
        <v>16.4</v>
      </c>
      <c r="W32" s="16"/>
      <c r="X32" s="19">
        <f>$F32</f>
        <v>16.5</v>
      </c>
      <c r="Y32" s="16"/>
      <c r="Z32" s="19">
        <f>$H32</f>
        <v>16.5</v>
      </c>
      <c r="AA32" s="19"/>
      <c r="AB32" s="19">
        <f>$J32</f>
        <v>16.4</v>
      </c>
      <c r="AD32" s="21">
        <f>AVERAGE(X32,Z32,AB32)</f>
        <v>16.466666666666665</v>
      </c>
    </row>
    <row r="33" spans="5:11" ht="12.75">
      <c r="E33" s="16"/>
      <c r="I33" s="19"/>
      <c r="J33" s="16"/>
      <c r="K33" s="16"/>
    </row>
    <row r="34" spans="2:30" ht="12.75">
      <c r="B34" s="4" t="s">
        <v>241</v>
      </c>
      <c r="D34" s="4" t="s">
        <v>32</v>
      </c>
      <c r="E34" s="16"/>
      <c r="F34" s="5">
        <f>F10*F12/1000000</f>
        <v>0</v>
      </c>
      <c r="H34" s="5">
        <f>H10*H12/1000000</f>
        <v>0</v>
      </c>
      <c r="I34" s="19"/>
      <c r="J34" s="5">
        <f>J10*J12/1000000</f>
        <v>0</v>
      </c>
      <c r="K34" s="16"/>
      <c r="L34" s="5">
        <f>L10*L12/1000000</f>
        <v>30.0990096</v>
      </c>
      <c r="N34" s="5">
        <f>N10*N12/1000000</f>
        <v>38.526847200000006</v>
      </c>
      <c r="P34" s="5">
        <f>P10*P12/1000000</f>
        <v>42.118176</v>
      </c>
      <c r="R34" s="5"/>
      <c r="S34" s="16"/>
      <c r="T34" s="5"/>
      <c r="U34" s="19"/>
      <c r="V34" s="5"/>
      <c r="X34" s="5">
        <f>F34+L34+R34</f>
        <v>30.0990096</v>
      </c>
      <c r="Y34" s="94"/>
      <c r="Z34" s="5">
        <f>H34+N34+T34</f>
        <v>38.526847200000006</v>
      </c>
      <c r="AA34" s="5"/>
      <c r="AB34" s="5">
        <f>J34+P34+V34</f>
        <v>42.118176</v>
      </c>
      <c r="AD34" s="21">
        <f>AVERAGE(X34,Z34,AB34)</f>
        <v>36.914677600000005</v>
      </c>
    </row>
    <row r="35" spans="2:30" ht="12.75">
      <c r="B35" s="4" t="s">
        <v>252</v>
      </c>
      <c r="D35" s="4" t="s">
        <v>32</v>
      </c>
      <c r="E35" s="16"/>
      <c r="F35" s="18"/>
      <c r="I35" s="5"/>
      <c r="J35" s="16"/>
      <c r="K35" s="16"/>
      <c r="X35" s="52">
        <f>X31/9000*60*(21-X32)/21</f>
        <v>36.02285714285714</v>
      </c>
      <c r="Y35" s="21"/>
      <c r="Z35" s="52">
        <f>Z31/9000*60*(21-Z32)/21</f>
        <v>38.902857142857144</v>
      </c>
      <c r="AA35" s="21"/>
      <c r="AB35" s="52">
        <f>AB31/9000*60*(21-AB32)/21</f>
        <v>40.538412698412714</v>
      </c>
      <c r="AD35" s="21">
        <f>AVERAGE(X35,Z35,AB35)</f>
        <v>38.48804232804233</v>
      </c>
    </row>
    <row r="36" spans="5:11" ht="12.75">
      <c r="E36" s="16"/>
      <c r="F36" s="65"/>
      <c r="H36" s="65"/>
      <c r="I36" s="5"/>
      <c r="J36" s="65"/>
      <c r="K36" s="16"/>
    </row>
    <row r="37" spans="8:30" ht="12.75">
      <c r="H37" s="19"/>
      <c r="J37" s="19"/>
      <c r="X37" s="16"/>
      <c r="Z37" s="16"/>
      <c r="AB37" s="16"/>
      <c r="AD37" s="84"/>
    </row>
    <row r="38" spans="2:30" ht="12.75">
      <c r="B38" s="49" t="s">
        <v>46</v>
      </c>
      <c r="C38" s="49"/>
      <c r="F38" s="16"/>
      <c r="H38" s="16"/>
      <c r="I38" s="16"/>
      <c r="J38" s="16"/>
      <c r="K38" s="19"/>
      <c r="Q38" s="17"/>
      <c r="R38" s="16"/>
      <c r="S38" s="16"/>
      <c r="T38" s="16"/>
      <c r="U38" s="16"/>
      <c r="V38" s="16"/>
      <c r="W38" s="17"/>
      <c r="X38" s="16"/>
      <c r="Y38" s="16"/>
      <c r="Z38" s="16"/>
      <c r="AA38" s="19"/>
      <c r="AB38" s="16"/>
      <c r="AD38" s="84"/>
    </row>
    <row r="39" spans="2:28" ht="12.75">
      <c r="B39" s="4" t="s">
        <v>23</v>
      </c>
      <c r="D39" s="4" t="s">
        <v>39</v>
      </c>
      <c r="F39" s="7"/>
      <c r="G39" s="84"/>
      <c r="H39" s="7"/>
      <c r="I39" s="7"/>
      <c r="J39" s="7"/>
      <c r="K39" s="84"/>
      <c r="L39" s="7">
        <f>L10*L14/100*454*1000/(L31*0.0283)*(21-7)/(21-L32)</f>
        <v>73018.58442001039</v>
      </c>
      <c r="M39" s="7"/>
      <c r="N39" s="7">
        <f>N10*N14/100*454*1000/(N31*0.0283)*(21-7)/(21-N32)</f>
        <v>66817.26756715235</v>
      </c>
      <c r="O39" s="7"/>
      <c r="P39" s="7">
        <f>P10*P14/100*454*1000/(P31*0.0283)*(21-7)/(21-P32)</f>
        <v>63959.16658069982</v>
      </c>
      <c r="R39" s="7"/>
      <c r="S39" s="16"/>
      <c r="T39" s="7"/>
      <c r="U39" s="5"/>
      <c r="V39" s="7"/>
      <c r="X39" s="7"/>
      <c r="Y39" s="7"/>
      <c r="Z39" s="7"/>
      <c r="AA39" s="7"/>
      <c r="AB39" s="7"/>
    </row>
    <row r="40" spans="2:30" ht="12.75">
      <c r="B40" s="4" t="s">
        <v>24</v>
      </c>
      <c r="D40" s="4" t="s">
        <v>34</v>
      </c>
      <c r="F40" s="7">
        <f>F15*1/60*1000000/(F$31*0.0283)*(21-7)/(21-F$32)</f>
        <v>23306.10288006792</v>
      </c>
      <c r="G40" s="85"/>
      <c r="H40" s="7">
        <f>H15*1/60*1000000/(H$31*0.0283)*(21-7)/(21-H$32)</f>
        <v>23031.673554027217</v>
      </c>
      <c r="I40" s="53"/>
      <c r="J40" s="7">
        <f>J15*1/60*1000000/(J$31*0.0283)*(21-7)/(21-J$32)</f>
        <v>22175.72572610243</v>
      </c>
      <c r="K40" s="85"/>
      <c r="L40" s="7">
        <f>L15*1/60*1000000/(L$31*0.0283)*(21-7)/(21-L$32)</f>
        <v>285477.98013256036</v>
      </c>
      <c r="M40" s="85"/>
      <c r="N40" s="7">
        <f>N15*1/60*1000000/(N$31*0.0283)*(21-7)/(21-N$32)</f>
        <v>299465.04347333964</v>
      </c>
      <c r="O40" s="53"/>
      <c r="P40" s="7">
        <f>P15*1/60*1000000/(P$31*0.0283)*(21-7)/(21-P$32)</f>
        <v>262570.28803242795</v>
      </c>
      <c r="Q40" s="95"/>
      <c r="R40" s="7">
        <f>R15*1/60*1000000/(R$31*0.0283)*(21-7)/(21-R$32)</f>
        <v>1278516.865168338</v>
      </c>
      <c r="S40" s="85"/>
      <c r="T40" s="7">
        <f>T15*1/60*1000000/(T$31*0.0283)*(21-7)/(21-T$32)</f>
        <v>1214044.8368171523</v>
      </c>
      <c r="U40" s="53"/>
      <c r="V40" s="7">
        <f>V15*1/60*1000000/(V$31*0.0283)*(21-7)/(21-V$32)</f>
        <v>1162489.5456213807</v>
      </c>
      <c r="W40" s="50"/>
      <c r="X40" s="53">
        <f>F40+L40+R40</f>
        <v>1587300.948180966</v>
      </c>
      <c r="Y40" s="53"/>
      <c r="Z40" s="53">
        <f>H40+N40+T40</f>
        <v>1536541.5538445192</v>
      </c>
      <c r="AA40" s="53"/>
      <c r="AB40" s="53">
        <f>J40+P40+V40</f>
        <v>1447235.559379911</v>
      </c>
      <c r="AD40" s="108">
        <f>AVERAGE(X40,Z40,AB40)</f>
        <v>1523692.687135132</v>
      </c>
    </row>
    <row r="41" spans="5:16" ht="12.75">
      <c r="E41" s="16"/>
      <c r="F41" s="7"/>
      <c r="I41" s="7"/>
      <c r="J41" s="7"/>
      <c r="K41" s="7"/>
      <c r="L41" s="7"/>
      <c r="M41" s="7"/>
      <c r="N41" s="7"/>
      <c r="O41" s="7"/>
      <c r="P41" s="7"/>
    </row>
    <row r="42" spans="2:32" ht="12.75">
      <c r="B42" s="4" t="s">
        <v>108</v>
      </c>
      <c r="D42" s="4" t="s">
        <v>34</v>
      </c>
      <c r="F42" s="7">
        <f>F17*1/60*1000000/(F$31*0.0283)*(21-7)/(21-F$32)</f>
        <v>233.0610288006792</v>
      </c>
      <c r="G42" s="84"/>
      <c r="H42" s="7">
        <f>H17*1/60*1000000/(H$31*0.0283)*(21-7)/(21-H$32)</f>
        <v>230.31673554027222</v>
      </c>
      <c r="I42" s="21"/>
      <c r="J42" s="7">
        <f>J17*1/60*1000000/(J$31*0.0283)*(21-7)/(21-J$32)</f>
        <v>221.7572572610243</v>
      </c>
      <c r="K42" s="21"/>
      <c r="L42" s="7">
        <f>L17*1/60*1000000/(L$31*0.0283)*(21-7)/(21-L$32)</f>
        <v>704.812137566707</v>
      </c>
      <c r="M42" s="84"/>
      <c r="N42" s="7">
        <f>N17*1/60*1000000/(N$31*0.0283)*(21-7)/(21-N$32)</f>
        <v>368.03203572292523</v>
      </c>
      <c r="O42" s="21"/>
      <c r="P42" s="7">
        <f>P17*1/60*1000000/(P$31*0.0283)*(21-7)/(21-P$32)</f>
        <v>165.2924517873648</v>
      </c>
      <c r="Q42" s="21"/>
      <c r="R42" s="7">
        <f>R17*1/60*1000000/(R$31*0.0283)*(21-7)/(21-R$32)</f>
        <v>0</v>
      </c>
      <c r="S42" s="84"/>
      <c r="T42" s="7">
        <f>T17*1/60*1000000/(T$31*0.0283)*(21-7)/(21-T$32)</f>
        <v>0</v>
      </c>
      <c r="U42" s="21"/>
      <c r="V42" s="7">
        <f>V17*1/60*1000000/(V$31*0.0283)*(21-7)/(21-V$32)</f>
        <v>0</v>
      </c>
      <c r="W42" s="21"/>
      <c r="X42" s="7">
        <f aca="true" t="shared" si="3" ref="X42:X53">F42+L42+R42</f>
        <v>937.8731663673861</v>
      </c>
      <c r="Y42" s="7"/>
      <c r="Z42" s="7">
        <f aca="true" t="shared" si="4" ref="Z42:Z53">H42+N42+T42</f>
        <v>598.3487712631975</v>
      </c>
      <c r="AA42" s="7"/>
      <c r="AB42" s="7">
        <f aca="true" t="shared" si="5" ref="AB42:AB53">J42+P42+V42</f>
        <v>387.0497090483891</v>
      </c>
      <c r="AC42" s="21"/>
      <c r="AD42" s="108">
        <f aca="true" t="shared" si="6" ref="AD42:AD53">AVERAGE(X42,Z42,AB42)</f>
        <v>641.0905488929909</v>
      </c>
      <c r="AF42" s="7"/>
    </row>
    <row r="43" spans="2:32" ht="12.75">
      <c r="B43" s="4" t="s">
        <v>107</v>
      </c>
      <c r="D43" s="4" t="s">
        <v>34</v>
      </c>
      <c r="F43" s="7">
        <f aca="true" t="shared" si="7" ref="F43:F53">F18*1/60*1000000/(F$31*0.0283)*(21-7)/(21-F$32)</f>
        <v>10245.93397095684</v>
      </c>
      <c r="G43" s="84"/>
      <c r="H43" s="7">
        <f aca="true" t="shared" si="8" ref="H43:H53">H18*1/60*1000000/(H$31*0.0283)*(21-7)/(21-H$32)</f>
        <v>7973.5788946113125</v>
      </c>
      <c r="I43" s="21"/>
      <c r="J43" s="7">
        <f aca="true" t="shared" si="9" ref="J43:J53">J18*1/60*1000000/(J$31*0.0283)*(21-7)/(21-J$32)</f>
        <v>10007.941416813104</v>
      </c>
      <c r="K43" s="21"/>
      <c r="L43" s="7">
        <f aca="true" t="shared" si="10" ref="L43:L53">L18*1/60*1000000/(L$31*0.0283)*(21-7)/(21-L$32)</f>
        <v>98.81902134955892</v>
      </c>
      <c r="M43" s="84"/>
      <c r="N43" s="7">
        <f aca="true" t="shared" si="11" ref="N43:N53">N18*1/60*1000000/(N$31*0.0283)*(21-7)/(21-N$32)</f>
        <v>48.44297362349292</v>
      </c>
      <c r="O43" s="21"/>
      <c r="P43" s="7">
        <f aca="true" t="shared" si="12" ref="P43:P53">P18*1/60*1000000/(P$31*0.0283)*(21-7)/(21-P$32)</f>
        <v>19.887800553700195</v>
      </c>
      <c r="Q43" s="21"/>
      <c r="R43" s="7">
        <f aca="true" t="shared" si="13" ref="R43:R53">R18*1/60*1000000/(R$31*0.0283)*(21-7)/(21-R$32)</f>
        <v>22465.341927100464</v>
      </c>
      <c r="S43" s="84"/>
      <c r="T43" s="7">
        <f aca="true" t="shared" si="14" ref="T43:T53">T18*1/60*1000000/(T$31*0.0283)*(21-7)/(21-T$32)</f>
        <v>33303.198727995165</v>
      </c>
      <c r="U43" s="21"/>
      <c r="V43" s="7">
        <f aca="true" t="shared" si="15" ref="V43:V53">V18*1/60*1000000/(V$31*0.0283)*(21-7)/(21-V$32)</f>
        <v>29119.881154727158</v>
      </c>
      <c r="W43" s="21"/>
      <c r="X43" s="7">
        <f t="shared" si="3"/>
        <v>32810.09491940686</v>
      </c>
      <c r="Y43" s="7"/>
      <c r="Z43" s="7">
        <f t="shared" si="4"/>
        <v>41325.22059622997</v>
      </c>
      <c r="AA43" s="7"/>
      <c r="AB43" s="7">
        <f t="shared" si="5"/>
        <v>39147.71037209396</v>
      </c>
      <c r="AC43" s="21"/>
      <c r="AD43" s="108">
        <f t="shared" si="6"/>
        <v>37761.008629243595</v>
      </c>
      <c r="AF43" s="7"/>
    </row>
    <row r="44" spans="2:32" ht="12.75">
      <c r="B44" s="4" t="s">
        <v>109</v>
      </c>
      <c r="D44" s="4" t="s">
        <v>34</v>
      </c>
      <c r="F44" s="7">
        <f t="shared" si="7"/>
        <v>111770.85264041105</v>
      </c>
      <c r="G44" s="84"/>
      <c r="H44" s="7">
        <f t="shared" si="8"/>
        <v>124933.083336832</v>
      </c>
      <c r="I44" s="21"/>
      <c r="J44" s="7">
        <f t="shared" si="9"/>
        <v>106279.17245743681</v>
      </c>
      <c r="K44" s="21"/>
      <c r="L44" s="7">
        <f t="shared" si="10"/>
        <v>18746.54963837221</v>
      </c>
      <c r="M44" s="84"/>
      <c r="N44" s="7">
        <f t="shared" si="11"/>
        <v>14401.019547739474</v>
      </c>
      <c r="O44" s="21"/>
      <c r="P44" s="7">
        <f t="shared" si="12"/>
        <v>14652.917581493972</v>
      </c>
      <c r="Q44" s="21"/>
      <c r="R44" s="7">
        <f t="shared" si="13"/>
        <v>0</v>
      </c>
      <c r="S44" s="84"/>
      <c r="T44" s="7">
        <f t="shared" si="14"/>
        <v>0</v>
      </c>
      <c r="U44" s="21"/>
      <c r="V44" s="7">
        <f t="shared" si="15"/>
        <v>0</v>
      </c>
      <c r="W44" s="21"/>
      <c r="X44" s="7">
        <f t="shared" si="3"/>
        <v>130517.40227878325</v>
      </c>
      <c r="Y44" s="7"/>
      <c r="Z44" s="7">
        <f t="shared" si="4"/>
        <v>139334.10288457148</v>
      </c>
      <c r="AA44" s="7"/>
      <c r="AB44" s="7">
        <f t="shared" si="5"/>
        <v>120932.09003893078</v>
      </c>
      <c r="AC44" s="21"/>
      <c r="AD44" s="108">
        <f t="shared" si="6"/>
        <v>130261.19840076183</v>
      </c>
      <c r="AF44" s="7"/>
    </row>
    <row r="45" spans="2:32" ht="12.75">
      <c r="B45" s="4" t="s">
        <v>110</v>
      </c>
      <c r="D45" s="4" t="s">
        <v>34</v>
      </c>
      <c r="F45" s="7">
        <f t="shared" si="7"/>
        <v>2011.9843390950637</v>
      </c>
      <c r="G45" s="84"/>
      <c r="H45" s="7">
        <f t="shared" si="8"/>
        <v>2554.021220483043</v>
      </c>
      <c r="I45" s="21"/>
      <c r="J45" s="7">
        <f t="shared" si="9"/>
        <v>1913.1309947107886</v>
      </c>
      <c r="K45" s="21"/>
      <c r="L45" s="7">
        <f t="shared" si="10"/>
        <v>2.2370889834562013</v>
      </c>
      <c r="M45" s="84"/>
      <c r="N45" s="7">
        <f t="shared" si="11"/>
        <v>2.1415790886907806</v>
      </c>
      <c r="O45" s="21"/>
      <c r="P45" s="7">
        <f t="shared" si="12"/>
        <v>1.9887800553700197</v>
      </c>
      <c r="Q45" s="21"/>
      <c r="R45" s="7">
        <f t="shared" si="13"/>
        <v>6418.876725014732</v>
      </c>
      <c r="S45" s="84"/>
      <c r="T45" s="7">
        <f t="shared" si="14"/>
        <v>6206.0831764319255</v>
      </c>
      <c r="U45" s="21"/>
      <c r="V45" s="7">
        <f t="shared" si="15"/>
        <v>5989.268682732796</v>
      </c>
      <c r="W45" s="21"/>
      <c r="X45" s="7">
        <f t="shared" si="3"/>
        <v>8433.098153093251</v>
      </c>
      <c r="Y45" s="7"/>
      <c r="Z45" s="7">
        <f t="shared" si="4"/>
        <v>8762.24597600366</v>
      </c>
      <c r="AA45" s="7"/>
      <c r="AB45" s="7">
        <f t="shared" si="5"/>
        <v>7904.388457498955</v>
      </c>
      <c r="AC45" s="21"/>
      <c r="AD45" s="108">
        <f t="shared" si="6"/>
        <v>8366.57752886529</v>
      </c>
      <c r="AF45" s="7"/>
    </row>
    <row r="46" spans="2:32" ht="12.75">
      <c r="B46" s="4" t="s">
        <v>111</v>
      </c>
      <c r="D46" s="4" t="s">
        <v>34</v>
      </c>
      <c r="F46" s="7">
        <f>F21*1/60*1000000/(F$31*0.0283)*(21-7)/(21-F$32)</f>
        <v>93.22441152027169</v>
      </c>
      <c r="G46" s="84"/>
      <c r="H46" s="7">
        <f t="shared" si="8"/>
        <v>92.12669421610887</v>
      </c>
      <c r="I46" s="21"/>
      <c r="J46" s="7">
        <f t="shared" si="9"/>
        <v>88.70290290440973</v>
      </c>
      <c r="K46" s="21"/>
      <c r="L46" s="7">
        <f t="shared" si="10"/>
        <v>247.77416382499703</v>
      </c>
      <c r="M46" s="84"/>
      <c r="N46" s="7">
        <f t="shared" si="11"/>
        <v>121.78025313683634</v>
      </c>
      <c r="O46" s="21"/>
      <c r="P46" s="7">
        <f t="shared" si="12"/>
        <v>72.31544765697211</v>
      </c>
      <c r="Q46" s="21"/>
      <c r="R46" s="7">
        <f t="shared" si="13"/>
        <v>14426.1238961334</v>
      </c>
      <c r="S46" s="84"/>
      <c r="T46" s="7">
        <f t="shared" si="14"/>
        <v>12946.384700878481</v>
      </c>
      <c r="U46" s="21"/>
      <c r="V46" s="7">
        <f t="shared" si="15"/>
        <v>12596.447038748825</v>
      </c>
      <c r="W46" s="21"/>
      <c r="X46" s="7">
        <f t="shared" si="3"/>
        <v>14767.12247147867</v>
      </c>
      <c r="Y46" s="7"/>
      <c r="Z46" s="7">
        <f t="shared" si="4"/>
        <v>13160.291648231427</v>
      </c>
      <c r="AA46" s="7"/>
      <c r="AB46" s="7">
        <f t="shared" si="5"/>
        <v>12757.465389310208</v>
      </c>
      <c r="AC46" s="21"/>
      <c r="AD46" s="108">
        <f t="shared" si="6"/>
        <v>13561.626503006768</v>
      </c>
      <c r="AF46" s="7"/>
    </row>
    <row r="47" spans="2:32" ht="12.75">
      <c r="B47" s="4" t="s">
        <v>112</v>
      </c>
      <c r="D47" s="4" t="s">
        <v>34</v>
      </c>
      <c r="F47" s="7">
        <f t="shared" si="7"/>
        <v>52438.7496454141</v>
      </c>
      <c r="G47" s="84"/>
      <c r="H47" s="7">
        <f t="shared" si="8"/>
        <v>48411.35112682202</v>
      </c>
      <c r="I47" s="21"/>
      <c r="J47" s="7">
        <f t="shared" si="9"/>
        <v>42866.2729459498</v>
      </c>
      <c r="K47" s="21"/>
      <c r="L47" s="7">
        <f t="shared" si="10"/>
        <v>1826.698674064641</v>
      </c>
      <c r="M47" s="84"/>
      <c r="N47" s="7">
        <f t="shared" si="11"/>
        <v>1409.5559686280228</v>
      </c>
      <c r="O47" s="21"/>
      <c r="P47" s="7">
        <f t="shared" si="12"/>
        <v>1168.6692880278526</v>
      </c>
      <c r="Q47" s="21"/>
      <c r="R47" s="7">
        <f t="shared" si="13"/>
        <v>101651.34888794554</v>
      </c>
      <c r="S47" s="84"/>
      <c r="T47" s="7">
        <f t="shared" si="14"/>
        <v>89209.08156581841</v>
      </c>
      <c r="U47" s="21"/>
      <c r="V47" s="7">
        <f t="shared" si="15"/>
        <v>95046.38814593373</v>
      </c>
      <c r="W47" s="21"/>
      <c r="X47" s="7">
        <f t="shared" si="3"/>
        <v>155916.79720742427</v>
      </c>
      <c r="Y47" s="7"/>
      <c r="Z47" s="7">
        <f t="shared" si="4"/>
        <v>139029.98866126846</v>
      </c>
      <c r="AA47" s="7"/>
      <c r="AB47" s="7">
        <f t="shared" si="5"/>
        <v>139081.33037991138</v>
      </c>
      <c r="AC47" s="21"/>
      <c r="AD47" s="108">
        <f t="shared" si="6"/>
        <v>144676.03874953472</v>
      </c>
      <c r="AF47" s="7"/>
    </row>
    <row r="48" spans="2:32" ht="12.75">
      <c r="B48" s="4" t="s">
        <v>114</v>
      </c>
      <c r="D48" s="4" t="s">
        <v>34</v>
      </c>
      <c r="F48" s="7">
        <f t="shared" si="7"/>
        <v>10152.201222764978</v>
      </c>
      <c r="G48" s="84"/>
      <c r="H48" s="7">
        <f t="shared" si="8"/>
        <v>10656.108559012231</v>
      </c>
      <c r="I48" s="21"/>
      <c r="J48" s="7">
        <f t="shared" si="9"/>
        <v>10362.416245060225</v>
      </c>
      <c r="K48" s="21"/>
      <c r="L48" s="7">
        <f t="shared" si="10"/>
        <v>2322.247001714635</v>
      </c>
      <c r="M48" s="84"/>
      <c r="N48" s="7">
        <f t="shared" si="11"/>
        <v>1193.5810445566167</v>
      </c>
      <c r="O48" s="21"/>
      <c r="P48" s="7">
        <f t="shared" si="12"/>
        <v>730.2568866074594</v>
      </c>
      <c r="Q48" s="21"/>
      <c r="R48" s="7">
        <f t="shared" si="13"/>
        <v>379964.22336221184</v>
      </c>
      <c r="S48" s="84"/>
      <c r="T48" s="7">
        <f t="shared" si="14"/>
        <v>355443.59077159816</v>
      </c>
      <c r="U48" s="21"/>
      <c r="V48" s="7">
        <f t="shared" si="15"/>
        <v>353062.09432325204</v>
      </c>
      <c r="W48" s="21"/>
      <c r="X48" s="7">
        <f t="shared" si="3"/>
        <v>392438.67158669146</v>
      </c>
      <c r="Y48" s="7"/>
      <c r="Z48" s="7">
        <f t="shared" si="4"/>
        <v>367293.280375167</v>
      </c>
      <c r="AA48" s="7"/>
      <c r="AB48" s="7">
        <f t="shared" si="5"/>
        <v>364154.7674549197</v>
      </c>
      <c r="AC48" s="21"/>
      <c r="AD48" s="108">
        <f t="shared" si="6"/>
        <v>374628.9064722594</v>
      </c>
      <c r="AF48" s="7"/>
    </row>
    <row r="49" spans="2:32" ht="12.75">
      <c r="B49" s="4" t="s">
        <v>136</v>
      </c>
      <c r="D49" s="4" t="s">
        <v>34</v>
      </c>
      <c r="F49" s="7">
        <f t="shared" si="7"/>
        <v>834554.9731046179</v>
      </c>
      <c r="G49" s="84"/>
      <c r="H49" s="7">
        <f t="shared" si="8"/>
        <v>810226.2271489495</v>
      </c>
      <c r="I49" s="21"/>
      <c r="J49" s="7">
        <f t="shared" si="9"/>
        <v>841378.6113633541</v>
      </c>
      <c r="K49" s="21"/>
      <c r="L49" s="7">
        <f t="shared" si="10"/>
        <v>6176.188834347433</v>
      </c>
      <c r="M49" s="84"/>
      <c r="N49" s="7">
        <f t="shared" si="11"/>
        <v>2893.122035847493</v>
      </c>
      <c r="O49" s="21"/>
      <c r="P49" s="7">
        <f t="shared" si="12"/>
        <v>2676.3172369477625</v>
      </c>
      <c r="Q49" s="21"/>
      <c r="R49" s="7">
        <f t="shared" si="13"/>
        <v>0</v>
      </c>
      <c r="S49" s="84"/>
      <c r="T49" s="7">
        <f t="shared" si="14"/>
        <v>0</v>
      </c>
      <c r="U49" s="21"/>
      <c r="V49" s="7">
        <f t="shared" si="15"/>
        <v>0</v>
      </c>
      <c r="W49" s="21"/>
      <c r="X49" s="7">
        <f t="shared" si="3"/>
        <v>840731.1619389653</v>
      </c>
      <c r="Y49" s="7"/>
      <c r="Z49" s="7">
        <f t="shared" si="4"/>
        <v>813119.349184797</v>
      </c>
      <c r="AA49" s="7"/>
      <c r="AB49" s="7">
        <f t="shared" si="5"/>
        <v>844054.9286003018</v>
      </c>
      <c r="AC49" s="21"/>
      <c r="AD49" s="108">
        <f t="shared" si="6"/>
        <v>832635.1465746881</v>
      </c>
      <c r="AF49" s="7"/>
    </row>
    <row r="50" spans="2:32" ht="12.75">
      <c r="B50" s="4" t="s">
        <v>115</v>
      </c>
      <c r="D50" s="4" t="s">
        <v>34</v>
      </c>
      <c r="F50" s="7">
        <f t="shared" si="7"/>
        <v>93.22441152027169</v>
      </c>
      <c r="G50" s="84"/>
      <c r="H50" s="7">
        <f t="shared" si="8"/>
        <v>92.12669421610887</v>
      </c>
      <c r="I50" s="21"/>
      <c r="J50" s="7">
        <f t="shared" si="9"/>
        <v>88.70290290440973</v>
      </c>
      <c r="K50" s="21"/>
      <c r="L50" s="7">
        <f t="shared" si="10"/>
        <v>1.7896711867649608</v>
      </c>
      <c r="M50" s="84"/>
      <c r="N50" s="7">
        <f t="shared" si="11"/>
        <v>0.8138000537024965</v>
      </c>
      <c r="O50" s="21"/>
      <c r="P50" s="7">
        <f t="shared" si="12"/>
        <v>0.7955120221480078</v>
      </c>
      <c r="Q50" s="21"/>
      <c r="R50" s="7">
        <f t="shared" si="13"/>
        <v>0</v>
      </c>
      <c r="S50" s="84"/>
      <c r="T50" s="7">
        <f t="shared" si="14"/>
        <v>0</v>
      </c>
      <c r="U50" s="21"/>
      <c r="V50" s="7">
        <f t="shared" si="15"/>
        <v>0</v>
      </c>
      <c r="W50" s="21"/>
      <c r="X50" s="7">
        <f t="shared" si="3"/>
        <v>95.01408270703665</v>
      </c>
      <c r="Y50" s="7"/>
      <c r="Z50" s="7">
        <f t="shared" si="4"/>
        <v>92.94049426981137</v>
      </c>
      <c r="AA50" s="7"/>
      <c r="AB50" s="7">
        <f t="shared" si="5"/>
        <v>89.49841492655773</v>
      </c>
      <c r="AC50" s="21"/>
      <c r="AD50" s="108">
        <f t="shared" si="6"/>
        <v>92.48433063446858</v>
      </c>
      <c r="AF50" s="7"/>
    </row>
    <row r="51" spans="2:32" ht="12.75">
      <c r="B51" s="4" t="s">
        <v>116</v>
      </c>
      <c r="D51" s="4" t="s">
        <v>34</v>
      </c>
      <c r="F51" s="7">
        <f t="shared" si="7"/>
        <v>31947.608313951518</v>
      </c>
      <c r="G51" s="84"/>
      <c r="H51" s="7">
        <f t="shared" si="8"/>
        <v>29487.641736067</v>
      </c>
      <c r="I51" s="21"/>
      <c r="J51" s="7">
        <f t="shared" si="9"/>
        <v>30643.670944641923</v>
      </c>
      <c r="K51" s="21"/>
      <c r="L51" s="7">
        <f t="shared" si="10"/>
        <v>212.8968621722115</v>
      </c>
      <c r="M51" s="84"/>
      <c r="N51" s="7">
        <f t="shared" si="11"/>
        <v>125.1443485273567</v>
      </c>
      <c r="O51" s="21"/>
      <c r="P51" s="7">
        <f t="shared" si="12"/>
        <v>163.3554308679816</v>
      </c>
      <c r="Q51" s="21"/>
      <c r="R51" s="7">
        <f t="shared" si="13"/>
        <v>0</v>
      </c>
      <c r="S51" s="84"/>
      <c r="T51" s="7">
        <f t="shared" si="14"/>
        <v>0</v>
      </c>
      <c r="U51" s="21"/>
      <c r="V51" s="7">
        <f t="shared" si="15"/>
        <v>0</v>
      </c>
      <c r="W51" s="21"/>
      <c r="X51" s="7">
        <f t="shared" si="3"/>
        <v>32160.50517612373</v>
      </c>
      <c r="Y51" s="7"/>
      <c r="Z51" s="7">
        <f t="shared" si="4"/>
        <v>29612.786084594354</v>
      </c>
      <c r="AA51" s="7"/>
      <c r="AB51" s="7">
        <f t="shared" si="5"/>
        <v>30807.026375509904</v>
      </c>
      <c r="AC51" s="21"/>
      <c r="AD51" s="108">
        <f t="shared" si="6"/>
        <v>30860.105878742663</v>
      </c>
      <c r="AF51" s="7"/>
    </row>
    <row r="52" spans="2:32" ht="12.75">
      <c r="B52" s="4" t="s">
        <v>118</v>
      </c>
      <c r="D52" s="4" t="s">
        <v>34</v>
      </c>
      <c r="F52" s="7">
        <f t="shared" si="7"/>
        <v>190.37193818812085</v>
      </c>
      <c r="G52" s="84"/>
      <c r="H52" s="7">
        <f t="shared" si="8"/>
        <v>188.3893418691391</v>
      </c>
      <c r="I52" s="21"/>
      <c r="J52" s="7">
        <f t="shared" si="9"/>
        <v>202.74152289543966</v>
      </c>
      <c r="K52" s="21"/>
      <c r="L52" s="7">
        <f t="shared" si="10"/>
        <v>55.94900473467675</v>
      </c>
      <c r="M52" s="84"/>
      <c r="N52" s="7">
        <f t="shared" si="11"/>
        <v>48.44297362349292</v>
      </c>
      <c r="O52" s="21"/>
      <c r="P52" s="7">
        <f t="shared" si="12"/>
        <v>45.197154785607566</v>
      </c>
      <c r="Q52" s="21"/>
      <c r="R52" s="7">
        <f t="shared" si="13"/>
        <v>0</v>
      </c>
      <c r="S52" s="84"/>
      <c r="T52" s="7">
        <f t="shared" si="14"/>
        <v>0</v>
      </c>
      <c r="U52" s="21"/>
      <c r="V52" s="7">
        <f t="shared" si="15"/>
        <v>0</v>
      </c>
      <c r="W52" s="21"/>
      <c r="X52" s="7">
        <f t="shared" si="3"/>
        <v>246.3209429227976</v>
      </c>
      <c r="Y52" s="7"/>
      <c r="Z52" s="7">
        <f t="shared" si="4"/>
        <v>236.832315492632</v>
      </c>
      <c r="AA52" s="7"/>
      <c r="AB52" s="7">
        <f t="shared" si="5"/>
        <v>247.93867768104724</v>
      </c>
      <c r="AC52" s="21"/>
      <c r="AD52" s="108">
        <f t="shared" si="6"/>
        <v>243.69731203215895</v>
      </c>
      <c r="AF52" s="7"/>
    </row>
    <row r="53" spans="2:32" ht="12.75">
      <c r="B53" s="4" t="s">
        <v>119</v>
      </c>
      <c r="D53" s="4" t="s">
        <v>34</v>
      </c>
      <c r="F53" s="7">
        <f t="shared" si="7"/>
        <v>470.11696186150454</v>
      </c>
      <c r="G53" s="84"/>
      <c r="H53" s="7">
        <f t="shared" si="8"/>
        <v>488.46665070355346</v>
      </c>
      <c r="I53" s="21"/>
      <c r="J53" s="7">
        <f t="shared" si="9"/>
        <v>497.81437628147756</v>
      </c>
      <c r="K53" s="21"/>
      <c r="L53" s="7">
        <f t="shared" si="10"/>
        <v>1.7896711867649608</v>
      </c>
      <c r="M53" s="84"/>
      <c r="N53" s="7">
        <f t="shared" si="11"/>
        <v>1.7132632709526243</v>
      </c>
      <c r="O53" s="21"/>
      <c r="P53" s="7">
        <f t="shared" si="12"/>
        <v>1.5910240442960155</v>
      </c>
      <c r="Q53" s="21"/>
      <c r="R53" s="7">
        <f t="shared" si="13"/>
        <v>0</v>
      </c>
      <c r="S53" s="84"/>
      <c r="T53" s="7">
        <f t="shared" si="14"/>
        <v>0</v>
      </c>
      <c r="U53" s="21"/>
      <c r="V53" s="7">
        <f t="shared" si="15"/>
        <v>0</v>
      </c>
      <c r="W53" s="21"/>
      <c r="X53" s="7">
        <f t="shared" si="3"/>
        <v>471.9066330482695</v>
      </c>
      <c r="Y53" s="7"/>
      <c r="Z53" s="7">
        <f t="shared" si="4"/>
        <v>490.17991397450606</v>
      </c>
      <c r="AA53" s="7"/>
      <c r="AB53" s="7">
        <f t="shared" si="5"/>
        <v>499.4054003257736</v>
      </c>
      <c r="AC53" s="21"/>
      <c r="AD53" s="108">
        <f t="shared" si="6"/>
        <v>487.1639824495164</v>
      </c>
      <c r="AF53" s="7"/>
    </row>
    <row r="54" spans="6:32" ht="12.75">
      <c r="F54" s="7"/>
      <c r="H54" s="7"/>
      <c r="J54" s="7"/>
      <c r="L54" s="7"/>
      <c r="M54" s="16"/>
      <c r="N54" s="7"/>
      <c r="P54" s="7"/>
      <c r="R54" s="7"/>
      <c r="S54" s="16"/>
      <c r="T54" s="7"/>
      <c r="V54" s="7"/>
      <c r="X54" s="7"/>
      <c r="Y54" s="96"/>
      <c r="Z54" s="7"/>
      <c r="AA54" s="57"/>
      <c r="AB54" s="7"/>
      <c r="AF54" s="7"/>
    </row>
    <row r="55" spans="2:32" ht="12.75">
      <c r="B55" s="4" t="s">
        <v>35</v>
      </c>
      <c r="D55" s="4" t="s">
        <v>34</v>
      </c>
      <c r="F55" s="7">
        <f>F46+F48</f>
        <v>10245.42563428525</v>
      </c>
      <c r="H55" s="7">
        <f>H46+H48</f>
        <v>10748.23525322834</v>
      </c>
      <c r="J55" s="7">
        <f>J46+J48</f>
        <v>10451.119147964635</v>
      </c>
      <c r="L55" s="7">
        <f>L46+L48</f>
        <v>2570.0211655396324</v>
      </c>
      <c r="M55" s="16"/>
      <c r="N55" s="7">
        <f>N46+N48</f>
        <v>1315.361297693453</v>
      </c>
      <c r="P55" s="7">
        <f>P46+P48</f>
        <v>802.5723342644314</v>
      </c>
      <c r="R55" s="7">
        <f>R46+R48</f>
        <v>394390.3472583452</v>
      </c>
      <c r="S55" s="16"/>
      <c r="T55" s="7">
        <f>T46+T48</f>
        <v>368389.9754724766</v>
      </c>
      <c r="V55" s="7">
        <f>V46+V48</f>
        <v>365658.54136200086</v>
      </c>
      <c r="X55" s="7">
        <f>F55+L55+R55</f>
        <v>407205.7940581701</v>
      </c>
      <c r="Y55" s="7"/>
      <c r="Z55" s="7">
        <f>H55+N55+T55</f>
        <v>380453.5720233984</v>
      </c>
      <c r="AA55" s="7"/>
      <c r="AB55" s="7">
        <f>J55+P55+V55</f>
        <v>376912.2328442299</v>
      </c>
      <c r="AD55" s="21">
        <f>AVERAGE(X55,Z55,AB55)</f>
        <v>388190.53297526616</v>
      </c>
      <c r="AF55" s="7"/>
    </row>
    <row r="56" spans="2:32" ht="12.75">
      <c r="B56" s="4" t="s">
        <v>36</v>
      </c>
      <c r="D56" s="4" t="s">
        <v>34</v>
      </c>
      <c r="F56" s="7">
        <f>F43+F45+F47</f>
        <v>64696.66795546601</v>
      </c>
      <c r="H56" s="7">
        <f>H43+H45+H47</f>
        <v>58938.95124191637</v>
      </c>
      <c r="J56" s="7">
        <f>J43+J45+J47</f>
        <v>54787.34535747369</v>
      </c>
      <c r="L56" s="7">
        <f>L43+L45+L47</f>
        <v>1927.754784397656</v>
      </c>
      <c r="M56" s="16"/>
      <c r="N56" s="7">
        <f>N43+N45+N47</f>
        <v>1460.1405213402065</v>
      </c>
      <c r="P56" s="7">
        <f>P43+P45+P47</f>
        <v>1190.545868636923</v>
      </c>
      <c r="R56" s="7">
        <f>R43+R45+R47</f>
        <v>130535.56754006073</v>
      </c>
      <c r="S56" s="16"/>
      <c r="T56" s="7">
        <f>T43+T45+T47</f>
        <v>128718.3634702455</v>
      </c>
      <c r="V56" s="7">
        <f>V43+V45+V47</f>
        <v>130155.53798339367</v>
      </c>
      <c r="X56" s="7">
        <f>F56+L56+R56</f>
        <v>197159.9902799244</v>
      </c>
      <c r="Y56" s="7"/>
      <c r="Z56" s="7">
        <f>H56+N56+T56</f>
        <v>189117.45523350209</v>
      </c>
      <c r="AA56" s="7"/>
      <c r="AB56" s="7">
        <f>J56+P56+V56</f>
        <v>186133.42920950428</v>
      </c>
      <c r="AD56" s="21">
        <f>AVERAGE(X56,Z56,AB56)</f>
        <v>190803.62490764356</v>
      </c>
      <c r="AF56" s="7"/>
    </row>
    <row r="59" spans="1:30" ht="12.75">
      <c r="A59" s="14" t="s">
        <v>58</v>
      </c>
      <c r="B59" s="17" t="s">
        <v>164</v>
      </c>
      <c r="C59" s="4" t="s">
        <v>57</v>
      </c>
      <c r="F59" s="16" t="s">
        <v>170</v>
      </c>
      <c r="H59" s="16" t="s">
        <v>171</v>
      </c>
      <c r="I59" s="16"/>
      <c r="J59" s="16" t="s">
        <v>172</v>
      </c>
      <c r="K59" s="19"/>
      <c r="L59" s="16" t="s">
        <v>170</v>
      </c>
      <c r="M59" s="16"/>
      <c r="N59" s="16" t="s">
        <v>171</v>
      </c>
      <c r="O59" s="16"/>
      <c r="P59" s="16" t="s">
        <v>172</v>
      </c>
      <c r="Q59" s="17"/>
      <c r="R59" s="16" t="s">
        <v>170</v>
      </c>
      <c r="S59" s="16"/>
      <c r="T59" s="16" t="s">
        <v>171</v>
      </c>
      <c r="U59" s="16"/>
      <c r="V59" s="16" t="s">
        <v>172</v>
      </c>
      <c r="W59" s="17"/>
      <c r="X59" s="16" t="s">
        <v>170</v>
      </c>
      <c r="Y59" s="16"/>
      <c r="Z59" s="16" t="s">
        <v>171</v>
      </c>
      <c r="AA59" s="16"/>
      <c r="AB59" s="16" t="s">
        <v>172</v>
      </c>
      <c r="AD59" s="84" t="s">
        <v>169</v>
      </c>
    </row>
    <row r="60" spans="1:7" ht="12.75">
      <c r="A60" s="13"/>
      <c r="F60" s="14"/>
      <c r="G60" s="14"/>
    </row>
    <row r="61" spans="1:30" ht="12.75">
      <c r="A61" s="13"/>
      <c r="B61" s="4" t="s">
        <v>242</v>
      </c>
      <c r="F61" s="14" t="s">
        <v>244</v>
      </c>
      <c r="G61" s="14"/>
      <c r="H61" s="14" t="s">
        <v>244</v>
      </c>
      <c r="J61" s="14" t="s">
        <v>244</v>
      </c>
      <c r="L61" s="14" t="s">
        <v>246</v>
      </c>
      <c r="N61" s="14" t="s">
        <v>246</v>
      </c>
      <c r="P61" s="14" t="s">
        <v>246</v>
      </c>
      <c r="R61" s="14" t="s">
        <v>248</v>
      </c>
      <c r="T61" s="14" t="s">
        <v>248</v>
      </c>
      <c r="V61" s="14" t="s">
        <v>248</v>
      </c>
      <c r="X61" s="14" t="s">
        <v>249</v>
      </c>
      <c r="Z61" s="14" t="s">
        <v>249</v>
      </c>
      <c r="AB61" s="14" t="s">
        <v>249</v>
      </c>
      <c r="AD61" s="21" t="s">
        <v>249</v>
      </c>
    </row>
    <row r="62" spans="1:30" ht="12.75">
      <c r="A62" s="13"/>
      <c r="B62" s="4" t="s">
        <v>243</v>
      </c>
      <c r="F62" s="14" t="s">
        <v>245</v>
      </c>
      <c r="G62" s="14"/>
      <c r="H62" s="14" t="s">
        <v>245</v>
      </c>
      <c r="J62" s="14" t="s">
        <v>245</v>
      </c>
      <c r="L62" s="14" t="s">
        <v>247</v>
      </c>
      <c r="N62" s="14" t="s">
        <v>247</v>
      </c>
      <c r="P62" s="14" t="s">
        <v>247</v>
      </c>
      <c r="R62" s="14" t="s">
        <v>33</v>
      </c>
      <c r="T62" s="14" t="s">
        <v>33</v>
      </c>
      <c r="V62" s="14" t="s">
        <v>33</v>
      </c>
      <c r="X62" s="14" t="s">
        <v>62</v>
      </c>
      <c r="Z62" s="14" t="s">
        <v>62</v>
      </c>
      <c r="AB62" s="14" t="s">
        <v>62</v>
      </c>
      <c r="AD62" s="21" t="s">
        <v>62</v>
      </c>
    </row>
    <row r="63" spans="1:30" ht="12.75">
      <c r="A63" s="13"/>
      <c r="B63" s="4" t="s">
        <v>250</v>
      </c>
      <c r="F63" s="14" t="s">
        <v>139</v>
      </c>
      <c r="G63" s="14"/>
      <c r="H63" s="14" t="s">
        <v>139</v>
      </c>
      <c r="J63" s="14" t="s">
        <v>139</v>
      </c>
      <c r="L63" s="14" t="s">
        <v>40</v>
      </c>
      <c r="N63" s="14" t="s">
        <v>40</v>
      </c>
      <c r="P63" s="14" t="s">
        <v>40</v>
      </c>
      <c r="R63" s="14" t="s">
        <v>33</v>
      </c>
      <c r="T63" s="14" t="s">
        <v>33</v>
      </c>
      <c r="V63" s="14" t="s">
        <v>33</v>
      </c>
      <c r="X63" s="14" t="s">
        <v>62</v>
      </c>
      <c r="Z63" s="14" t="s">
        <v>62</v>
      </c>
      <c r="AB63" s="14" t="s">
        <v>62</v>
      </c>
      <c r="AD63" s="21" t="s">
        <v>62</v>
      </c>
    </row>
    <row r="64" spans="2:30" ht="12.75">
      <c r="B64" s="4" t="s">
        <v>20</v>
      </c>
      <c r="C64" s="17"/>
      <c r="D64" s="38"/>
      <c r="F64" s="87" t="s">
        <v>139</v>
      </c>
      <c r="H64" s="87" t="s">
        <v>139</v>
      </c>
      <c r="J64" s="87" t="s">
        <v>139</v>
      </c>
      <c r="L64" s="87" t="s">
        <v>137</v>
      </c>
      <c r="M64" s="16"/>
      <c r="N64" s="87" t="s">
        <v>137</v>
      </c>
      <c r="P64" s="87" t="s">
        <v>137</v>
      </c>
      <c r="Q64" s="88"/>
      <c r="R64" s="88" t="s">
        <v>33</v>
      </c>
      <c r="S64" s="88"/>
      <c r="T64" s="88" t="s">
        <v>33</v>
      </c>
      <c r="U64" s="88"/>
      <c r="V64" s="88" t="s">
        <v>33</v>
      </c>
      <c r="W64" s="88"/>
      <c r="X64" s="88" t="s">
        <v>62</v>
      </c>
      <c r="Y64" s="88"/>
      <c r="Z64" s="88" t="s">
        <v>62</v>
      </c>
      <c r="AA64" s="88"/>
      <c r="AB64" s="88" t="s">
        <v>62</v>
      </c>
      <c r="AD64" s="84" t="s">
        <v>62</v>
      </c>
    </row>
    <row r="65" spans="2:28" ht="12.75">
      <c r="B65" s="4" t="s">
        <v>61</v>
      </c>
      <c r="D65" s="4" t="s">
        <v>256</v>
      </c>
      <c r="H65" s="19"/>
      <c r="J65" s="19"/>
      <c r="L65" s="19">
        <v>23.76</v>
      </c>
      <c r="M65" s="16"/>
      <c r="N65" s="19">
        <v>37.2</v>
      </c>
      <c r="P65" s="19">
        <v>37.71</v>
      </c>
      <c r="Q65" s="4"/>
      <c r="R65" s="19"/>
      <c r="S65" s="16"/>
      <c r="X65" s="7"/>
      <c r="Y65" s="16"/>
      <c r="Z65" s="7"/>
      <c r="AA65" s="19"/>
      <c r="AB65" s="7"/>
    </row>
    <row r="66" spans="2:28" ht="12.75">
      <c r="B66" s="4" t="s">
        <v>123</v>
      </c>
      <c r="D66" s="4" t="s">
        <v>124</v>
      </c>
      <c r="H66" s="19"/>
      <c r="J66" s="19"/>
      <c r="L66" s="19">
        <v>0.882</v>
      </c>
      <c r="M66" s="16"/>
      <c r="N66" s="19">
        <v>0.909</v>
      </c>
      <c r="P66" s="19">
        <v>0.942</v>
      </c>
      <c r="Q66" s="4"/>
      <c r="R66" s="19"/>
      <c r="S66" s="16"/>
      <c r="X66" s="5"/>
      <c r="Y66" s="16"/>
      <c r="Z66" s="5"/>
      <c r="AA66" s="19"/>
      <c r="AB66" s="5"/>
    </row>
    <row r="67" spans="12:13" ht="12.75">
      <c r="L67" s="19"/>
      <c r="M67" s="16"/>
    </row>
    <row r="68" spans="2:16" ht="12.75">
      <c r="B68" s="4" t="s">
        <v>21</v>
      </c>
      <c r="D68" s="4" t="s">
        <v>22</v>
      </c>
      <c r="L68" s="19">
        <v>12835</v>
      </c>
      <c r="M68" s="16"/>
      <c r="N68" s="14">
        <v>11735</v>
      </c>
      <c r="P68" s="14">
        <v>11111</v>
      </c>
    </row>
    <row r="69" spans="12:13" ht="12.75">
      <c r="L69" s="19"/>
      <c r="M69" s="16"/>
    </row>
    <row r="70" spans="2:16" ht="12.75">
      <c r="B70" s="4" t="s">
        <v>23</v>
      </c>
      <c r="D70" s="4" t="s">
        <v>18</v>
      </c>
      <c r="L70" s="19">
        <v>1.94</v>
      </c>
      <c r="M70" s="16"/>
      <c r="N70" s="14">
        <v>2.01</v>
      </c>
      <c r="P70" s="14">
        <v>3.55</v>
      </c>
    </row>
    <row r="71" spans="2:16" ht="12.75">
      <c r="B71" s="4" t="s">
        <v>24</v>
      </c>
      <c r="D71" s="4" t="s">
        <v>18</v>
      </c>
      <c r="F71" s="19">
        <f>0.038/2</f>
        <v>0.019</v>
      </c>
      <c r="H71" s="19">
        <f>0.036/2</f>
        <v>0.018</v>
      </c>
      <c r="J71" s="19">
        <f>0.036/2</f>
        <v>0.018</v>
      </c>
      <c r="L71" s="19">
        <v>0.62</v>
      </c>
      <c r="M71" s="16"/>
      <c r="N71" s="14">
        <v>0.67</v>
      </c>
      <c r="P71" s="14">
        <v>0.56</v>
      </c>
    </row>
    <row r="73" spans="2:30" ht="12.75">
      <c r="B73" s="4" t="s">
        <v>24</v>
      </c>
      <c r="D73" s="4" t="s">
        <v>138</v>
      </c>
      <c r="AD73" s="21">
        <v>39239</v>
      </c>
    </row>
    <row r="75" spans="2:30" ht="12.75">
      <c r="B75" s="4" t="s">
        <v>37</v>
      </c>
      <c r="D75" s="4" t="s">
        <v>17</v>
      </c>
      <c r="E75" s="16"/>
      <c r="F75" s="7">
        <f>'emiss 1'!G85</f>
        <v>26389</v>
      </c>
      <c r="H75" s="7">
        <f>'emiss 1'!I85</f>
        <v>26719</v>
      </c>
      <c r="J75" s="7">
        <f>'emiss 1'!K85</f>
        <v>27571</v>
      </c>
      <c r="K75" s="16"/>
      <c r="L75" s="19">
        <f>$F75</f>
        <v>26389</v>
      </c>
      <c r="M75" s="16"/>
      <c r="N75" s="19">
        <f>$H75</f>
        <v>26719</v>
      </c>
      <c r="O75" s="19"/>
      <c r="P75" s="19">
        <f>$J75</f>
        <v>27571</v>
      </c>
      <c r="R75" s="19">
        <f>$F75</f>
        <v>26389</v>
      </c>
      <c r="S75" s="16"/>
      <c r="T75" s="19">
        <f>$H75</f>
        <v>26719</v>
      </c>
      <c r="U75" s="19"/>
      <c r="V75" s="19">
        <f>$J75</f>
        <v>27571</v>
      </c>
      <c r="X75" s="19">
        <f>$F75</f>
        <v>26389</v>
      </c>
      <c r="Y75" s="16"/>
      <c r="Z75" s="19">
        <f>$H75</f>
        <v>26719</v>
      </c>
      <c r="AA75" s="19"/>
      <c r="AB75" s="19">
        <f>$J75</f>
        <v>27571</v>
      </c>
      <c r="AD75" s="21">
        <f>AVERAGE(X75,Z75,AB75)</f>
        <v>26893</v>
      </c>
    </row>
    <row r="76" spans="2:30" ht="12.75">
      <c r="B76" s="4" t="s">
        <v>38</v>
      </c>
      <c r="D76" s="4" t="s">
        <v>18</v>
      </c>
      <c r="E76" s="16"/>
      <c r="F76" s="5">
        <f>'emiss 1'!G86</f>
        <v>15.7</v>
      </c>
      <c r="H76" s="5">
        <f>'emiss 1'!I86</f>
        <v>16.2</v>
      </c>
      <c r="J76" s="5">
        <f>'emiss 1'!K86</f>
        <v>15.9</v>
      </c>
      <c r="K76" s="16"/>
      <c r="L76" s="19">
        <f>$F76</f>
        <v>15.7</v>
      </c>
      <c r="M76" s="16"/>
      <c r="N76" s="19">
        <f>$H76</f>
        <v>16.2</v>
      </c>
      <c r="O76" s="19"/>
      <c r="P76" s="19">
        <f>$J76</f>
        <v>15.9</v>
      </c>
      <c r="Q76" s="16"/>
      <c r="R76" s="19">
        <f>$F76</f>
        <v>15.7</v>
      </c>
      <c r="S76" s="16"/>
      <c r="T76" s="19">
        <f>$H76</f>
        <v>16.2</v>
      </c>
      <c r="U76" s="19"/>
      <c r="V76" s="19">
        <f>$J76</f>
        <v>15.9</v>
      </c>
      <c r="W76" s="16"/>
      <c r="X76" s="19">
        <f>$F76</f>
        <v>15.7</v>
      </c>
      <c r="Y76" s="16"/>
      <c r="Z76" s="19">
        <f>$H76</f>
        <v>16.2</v>
      </c>
      <c r="AA76" s="19"/>
      <c r="AB76" s="19">
        <f>$J76</f>
        <v>15.9</v>
      </c>
      <c r="AD76" s="21">
        <f>AVERAGE(X76,Z76,AB76)</f>
        <v>15.933333333333332</v>
      </c>
    </row>
    <row r="77" ht="12.75">
      <c r="E77" s="16"/>
    </row>
    <row r="78" spans="2:30" ht="12.75">
      <c r="B78" s="4" t="s">
        <v>241</v>
      </c>
      <c r="D78" s="4" t="s">
        <v>32</v>
      </c>
      <c r="E78" s="16"/>
      <c r="F78" s="5"/>
      <c r="L78" s="52">
        <f>L65*L68*60/1000000</f>
        <v>18.297576000000003</v>
      </c>
      <c r="N78" s="52">
        <f>N65*N68*60/1000000</f>
        <v>26.192520000000005</v>
      </c>
      <c r="P78" s="52">
        <f>P65*P68*60/1000000</f>
        <v>25.1397486</v>
      </c>
      <c r="X78" s="52">
        <f>L78</f>
        <v>18.297576000000003</v>
      </c>
      <c r="Z78" s="52">
        <f>N78</f>
        <v>26.192520000000005</v>
      </c>
      <c r="AB78" s="52">
        <f>P78</f>
        <v>25.1397486</v>
      </c>
      <c r="AD78" s="21">
        <f>AVERAGE(X78,Z78,AB78)</f>
        <v>23.209948200000003</v>
      </c>
    </row>
    <row r="79" spans="2:30" ht="12.75">
      <c r="B79" s="4" t="s">
        <v>252</v>
      </c>
      <c r="D79" s="4" t="s">
        <v>32</v>
      </c>
      <c r="E79" s="16"/>
      <c r="F79" s="18"/>
      <c r="X79" s="52">
        <f>X75/9000*60*(21-X76)/21</f>
        <v>44.40053968253968</v>
      </c>
      <c r="Y79" s="21"/>
      <c r="Z79" s="52">
        <f>Z75/9000*60*(21-Z76)/21</f>
        <v>40.71466666666667</v>
      </c>
      <c r="AA79" s="21"/>
      <c r="AB79" s="52">
        <f>AB75/9000*60*(21-AB76)/21</f>
        <v>44.63876190476191</v>
      </c>
      <c r="AD79" s="21">
        <f>AVERAGE(X79,Z79,AB79)</f>
        <v>43.25132275132275</v>
      </c>
    </row>
    <row r="81" ht="12.75">
      <c r="B81" s="49" t="s">
        <v>46</v>
      </c>
    </row>
    <row r="82" spans="2:30" ht="12.75">
      <c r="B82" s="4" t="s">
        <v>24</v>
      </c>
      <c r="D82" s="4" t="s">
        <v>34</v>
      </c>
      <c r="AD82" s="21">
        <f>AD73*1/60*1000000/(AD75*0.0283)*(21-7)/(21-AD$76)</f>
        <v>2374360.7016975866</v>
      </c>
    </row>
    <row r="85" spans="1:30" ht="12.75">
      <c r="A85" s="14" t="s">
        <v>58</v>
      </c>
      <c r="B85" s="17" t="s">
        <v>163</v>
      </c>
      <c r="C85" s="4" t="s">
        <v>57</v>
      </c>
      <c r="F85" s="16" t="s">
        <v>170</v>
      </c>
      <c r="H85" s="16" t="s">
        <v>171</v>
      </c>
      <c r="I85" s="16"/>
      <c r="J85" s="16" t="s">
        <v>172</v>
      </c>
      <c r="K85" s="19"/>
      <c r="L85" s="16" t="s">
        <v>170</v>
      </c>
      <c r="M85" s="16"/>
      <c r="N85" s="16" t="s">
        <v>171</v>
      </c>
      <c r="O85" s="16"/>
      <c r="P85" s="16" t="s">
        <v>172</v>
      </c>
      <c r="Q85" s="17"/>
      <c r="R85" s="16" t="s">
        <v>170</v>
      </c>
      <c r="S85" s="16"/>
      <c r="T85" s="16" t="s">
        <v>171</v>
      </c>
      <c r="U85" s="16"/>
      <c r="V85" s="16" t="s">
        <v>172</v>
      </c>
      <c r="W85" s="17"/>
      <c r="X85" s="16" t="s">
        <v>170</v>
      </c>
      <c r="Y85" s="16"/>
      <c r="Z85" s="16" t="s">
        <v>171</v>
      </c>
      <c r="AA85" s="16"/>
      <c r="AB85" s="16" t="s">
        <v>172</v>
      </c>
      <c r="AD85" s="84" t="s">
        <v>169</v>
      </c>
    </row>
    <row r="86" spans="1:7" ht="12.75">
      <c r="A86" s="13"/>
      <c r="F86" s="14"/>
      <c r="G86" s="14"/>
    </row>
    <row r="87" spans="1:30" ht="12.75">
      <c r="A87" s="13"/>
      <c r="B87" s="4" t="s">
        <v>250</v>
      </c>
      <c r="F87" s="14" t="s">
        <v>139</v>
      </c>
      <c r="G87" s="14"/>
      <c r="H87" s="14" t="s">
        <v>139</v>
      </c>
      <c r="J87" s="14" t="s">
        <v>139</v>
      </c>
      <c r="L87" s="14" t="s">
        <v>40</v>
      </c>
      <c r="N87" s="14" t="s">
        <v>40</v>
      </c>
      <c r="P87" s="14" t="s">
        <v>40</v>
      </c>
      <c r="R87" s="14" t="s">
        <v>33</v>
      </c>
      <c r="T87" s="14" t="s">
        <v>33</v>
      </c>
      <c r="V87" s="14" t="s">
        <v>33</v>
      </c>
      <c r="X87" s="14" t="s">
        <v>62</v>
      </c>
      <c r="Z87" s="14" t="s">
        <v>62</v>
      </c>
      <c r="AB87" s="14" t="s">
        <v>62</v>
      </c>
      <c r="AD87" s="21" t="s">
        <v>62</v>
      </c>
    </row>
    <row r="88" spans="2:30" ht="12.75">
      <c r="B88" s="4" t="s">
        <v>20</v>
      </c>
      <c r="C88" s="17"/>
      <c r="D88" s="38"/>
      <c r="F88" s="87" t="s">
        <v>139</v>
      </c>
      <c r="H88" s="87" t="s">
        <v>139</v>
      </c>
      <c r="J88" s="87" t="s">
        <v>139</v>
      </c>
      <c r="L88" s="87" t="s">
        <v>137</v>
      </c>
      <c r="M88" s="16"/>
      <c r="N88" s="87" t="s">
        <v>137</v>
      </c>
      <c r="P88" s="87" t="s">
        <v>137</v>
      </c>
      <c r="Q88" s="88"/>
      <c r="R88" s="88" t="s">
        <v>33</v>
      </c>
      <c r="S88" s="88"/>
      <c r="T88" s="88" t="s">
        <v>33</v>
      </c>
      <c r="U88" s="88"/>
      <c r="V88" s="88" t="s">
        <v>33</v>
      </c>
      <c r="W88" s="88"/>
      <c r="X88" s="88" t="s">
        <v>62</v>
      </c>
      <c r="Y88" s="88"/>
      <c r="Z88" s="88" t="s">
        <v>62</v>
      </c>
      <c r="AA88" s="88"/>
      <c r="AB88" s="88" t="s">
        <v>62</v>
      </c>
      <c r="AD88" s="84" t="s">
        <v>62</v>
      </c>
    </row>
    <row r="89" spans="2:28" ht="12.75">
      <c r="B89" s="4" t="s">
        <v>61</v>
      </c>
      <c r="D89" s="4" t="s">
        <v>28</v>
      </c>
      <c r="H89" s="19"/>
      <c r="J89" s="19"/>
      <c r="L89" s="19">
        <v>40.7</v>
      </c>
      <c r="M89" s="16"/>
      <c r="N89" s="19">
        <v>40.2</v>
      </c>
      <c r="P89" s="19">
        <v>38.83</v>
      </c>
      <c r="Q89" s="4"/>
      <c r="R89" s="19"/>
      <c r="S89" s="16"/>
      <c r="X89" s="7"/>
      <c r="Y89" s="16"/>
      <c r="Z89" s="7"/>
      <c r="AA89" s="19"/>
      <c r="AB89" s="7"/>
    </row>
    <row r="90" spans="2:28" ht="12.75">
      <c r="B90" s="4" t="s">
        <v>123</v>
      </c>
      <c r="D90" s="4" t="s">
        <v>124</v>
      </c>
      <c r="H90" s="19"/>
      <c r="J90" s="19"/>
      <c r="L90" s="19">
        <v>0.93</v>
      </c>
      <c r="M90" s="16"/>
      <c r="N90" s="19">
        <v>0.916</v>
      </c>
      <c r="P90" s="19">
        <v>0.91</v>
      </c>
      <c r="Q90" s="4"/>
      <c r="R90" s="19"/>
      <c r="S90" s="16"/>
      <c r="X90" s="5"/>
      <c r="Y90" s="16"/>
      <c r="Z90" s="5"/>
      <c r="AA90" s="19"/>
      <c r="AB90" s="5"/>
    </row>
    <row r="91" spans="12:13" ht="12.75">
      <c r="L91" s="19"/>
      <c r="M91" s="16"/>
    </row>
    <row r="92" spans="2:16" ht="12.75">
      <c r="B92" s="4" t="s">
        <v>21</v>
      </c>
      <c r="D92" s="4" t="s">
        <v>22</v>
      </c>
      <c r="L92" s="19">
        <v>11126</v>
      </c>
      <c r="M92" s="16"/>
      <c r="N92" s="14">
        <v>11484</v>
      </c>
      <c r="P92" s="14">
        <v>11770</v>
      </c>
    </row>
    <row r="93" spans="12:13" ht="12.75">
      <c r="L93" s="19"/>
      <c r="M93" s="16"/>
    </row>
    <row r="94" spans="2:16" ht="12.75">
      <c r="B94" s="4" t="s">
        <v>23</v>
      </c>
      <c r="D94" s="4" t="s">
        <v>18</v>
      </c>
      <c r="L94" s="19">
        <v>3.73</v>
      </c>
      <c r="M94" s="16"/>
      <c r="N94" s="14">
        <v>2.93</v>
      </c>
      <c r="P94" s="14">
        <v>1.83</v>
      </c>
    </row>
    <row r="95" spans="2:16" ht="12.75">
      <c r="B95" s="4" t="s">
        <v>24</v>
      </c>
      <c r="D95" s="4" t="s">
        <v>18</v>
      </c>
      <c r="F95" s="19">
        <f>0.019/2</f>
        <v>0.0095</v>
      </c>
      <c r="G95" s="14"/>
      <c r="H95" s="19">
        <f>0.018/2</f>
        <v>0.009</v>
      </c>
      <c r="J95" s="19">
        <f>0.016/2</f>
        <v>0.008</v>
      </c>
      <c r="L95" s="19">
        <v>2.55</v>
      </c>
      <c r="M95" s="16"/>
      <c r="N95" s="14">
        <v>1.96</v>
      </c>
      <c r="P95" s="14">
        <v>2.6</v>
      </c>
    </row>
    <row r="98" spans="2:30" ht="12.75">
      <c r="B98" s="4" t="s">
        <v>37</v>
      </c>
      <c r="D98" s="4" t="s">
        <v>17</v>
      </c>
      <c r="E98" s="16"/>
      <c r="F98" s="7">
        <f>'emiss 1'!G101</f>
        <v>20683</v>
      </c>
      <c r="H98" s="7">
        <f>'emiss 1'!I101</f>
        <v>19909</v>
      </c>
      <c r="J98" s="7">
        <f>'emiss 1'!K101</f>
        <v>19711</v>
      </c>
      <c r="K98" s="16"/>
      <c r="L98" s="19">
        <f>$F98</f>
        <v>20683</v>
      </c>
      <c r="M98" s="16"/>
      <c r="N98" s="19">
        <f>$H98</f>
        <v>19909</v>
      </c>
      <c r="O98" s="19"/>
      <c r="P98" s="19">
        <f>$J98</f>
        <v>19711</v>
      </c>
      <c r="R98" s="19">
        <f>$F98</f>
        <v>20683</v>
      </c>
      <c r="S98" s="16"/>
      <c r="T98" s="19">
        <f>$H98</f>
        <v>19909</v>
      </c>
      <c r="U98" s="19"/>
      <c r="V98" s="19">
        <f>$J98</f>
        <v>19711</v>
      </c>
      <c r="X98" s="19">
        <f>$F98</f>
        <v>20683</v>
      </c>
      <c r="Y98" s="16"/>
      <c r="Z98" s="19">
        <f>$H98</f>
        <v>19909</v>
      </c>
      <c r="AA98" s="19"/>
      <c r="AB98" s="19">
        <f>$J98</f>
        <v>19711</v>
      </c>
      <c r="AD98" s="21">
        <f>AVERAGE(X98,Z98,AB98)</f>
        <v>20101</v>
      </c>
    </row>
    <row r="99" spans="2:30" ht="12.75">
      <c r="B99" s="4" t="s">
        <v>38</v>
      </c>
      <c r="D99" s="4" t="s">
        <v>18</v>
      </c>
      <c r="E99" s="16"/>
      <c r="F99" s="5">
        <f>'emiss 1'!G102</f>
        <v>16</v>
      </c>
      <c r="H99" s="5">
        <f>'emiss 1'!I102</f>
        <v>16</v>
      </c>
      <c r="J99" s="5">
        <f>'emiss 1'!K102</f>
        <v>15.9</v>
      </c>
      <c r="K99" s="16"/>
      <c r="L99" s="19">
        <f>$F99</f>
        <v>16</v>
      </c>
      <c r="M99" s="16"/>
      <c r="N99" s="19">
        <f>$H99</f>
        <v>16</v>
      </c>
      <c r="O99" s="19"/>
      <c r="P99" s="19">
        <f>$J99</f>
        <v>15.9</v>
      </c>
      <c r="Q99" s="16"/>
      <c r="R99" s="19">
        <f>$F99</f>
        <v>16</v>
      </c>
      <c r="S99" s="16"/>
      <c r="T99" s="19">
        <f>$H99</f>
        <v>16</v>
      </c>
      <c r="U99" s="19"/>
      <c r="V99" s="19">
        <f>$J99</f>
        <v>15.9</v>
      </c>
      <c r="W99" s="16"/>
      <c r="X99" s="19">
        <f>$F99</f>
        <v>16</v>
      </c>
      <c r="Y99" s="16"/>
      <c r="Z99" s="19">
        <f>$H99</f>
        <v>16</v>
      </c>
      <c r="AA99" s="19"/>
      <c r="AB99" s="19">
        <f>$J99</f>
        <v>15.9</v>
      </c>
      <c r="AD99" s="21">
        <f>AVERAGE(X99,Z99,AB99)</f>
        <v>15.966666666666667</v>
      </c>
    </row>
    <row r="100" ht="12.75">
      <c r="E100" s="16"/>
    </row>
    <row r="101" spans="2:30" ht="12.75">
      <c r="B101" s="4" t="s">
        <v>241</v>
      </c>
      <c r="D101" s="4" t="s">
        <v>32</v>
      </c>
      <c r="E101" s="16"/>
      <c r="F101" s="5"/>
      <c r="L101" s="52">
        <f>L89*L92/1000000*60</f>
        <v>27.169692</v>
      </c>
      <c r="N101" s="52">
        <f>N89*N92/1000000*60</f>
        <v>27.699408000000002</v>
      </c>
      <c r="P101" s="52">
        <f>P89*P92/1000000*60</f>
        <v>27.421746</v>
      </c>
      <c r="X101" s="52">
        <f>L101</f>
        <v>27.169692</v>
      </c>
      <c r="Z101" s="52">
        <f>N101</f>
        <v>27.699408000000002</v>
      </c>
      <c r="AB101" s="52">
        <f>P101</f>
        <v>27.421746</v>
      </c>
      <c r="AD101" s="21">
        <f>AVERAGE(X101,Z101,AB101)</f>
        <v>27.430282000000002</v>
      </c>
    </row>
    <row r="102" spans="2:30" ht="12.75">
      <c r="B102" s="4" t="s">
        <v>252</v>
      </c>
      <c r="D102" s="4" t="s">
        <v>32</v>
      </c>
      <c r="E102" s="16"/>
      <c r="F102" s="18"/>
      <c r="X102" s="52">
        <f>X98/9000*60*(21-X99)/21</f>
        <v>32.83015873015873</v>
      </c>
      <c r="Y102" s="21"/>
      <c r="Z102" s="52">
        <f>Z98/9000*60*(21-Z99)/21</f>
        <v>31.6015873015873</v>
      </c>
      <c r="AA102" s="21"/>
      <c r="AB102" s="52">
        <f>AB98/9000*60*(21-AB99)/21</f>
        <v>31.913047619047617</v>
      </c>
      <c r="AD102" s="21">
        <f>AVERAGE(X102,Z102,AB102)</f>
        <v>32.11493121693122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E45"/>
  <sheetViews>
    <sheetView workbookViewId="0" topLeftCell="B16">
      <selection activeCell="B34" sqref="A34:IV473"/>
    </sheetView>
  </sheetViews>
  <sheetFormatPr defaultColWidth="9.140625" defaultRowHeight="12.75"/>
  <cols>
    <col min="1" max="1" width="7.421875" style="82" hidden="1" customWidth="1"/>
    <col min="2" max="2" width="14.57421875" style="82" bestFit="1" customWidth="1"/>
    <col min="3" max="3" width="8.7109375" style="82" customWidth="1"/>
    <col min="4" max="4" width="10.140625" style="82" customWidth="1"/>
    <col min="5" max="5" width="1.57421875" style="82" customWidth="1"/>
    <col min="6" max="6" width="9.7109375" style="82" customWidth="1"/>
    <col min="7" max="7" width="2.00390625" style="82" customWidth="1"/>
    <col min="8" max="8" width="9.00390625" style="82" customWidth="1"/>
    <col min="9" max="9" width="2.00390625" style="82" customWidth="1"/>
    <col min="10" max="10" width="9.28125" style="82" customWidth="1"/>
    <col min="11" max="11" width="1.8515625" style="82" customWidth="1"/>
    <col min="12" max="12" width="8.57421875" style="82" customWidth="1"/>
    <col min="13" max="13" width="1.7109375" style="82" customWidth="1"/>
    <col min="14" max="14" width="10.8515625" style="82" customWidth="1"/>
    <col min="15" max="15" width="2.421875" style="82" customWidth="1"/>
    <col min="16" max="16" width="10.140625" style="82" customWidth="1"/>
    <col min="17" max="17" width="2.57421875" style="82" customWidth="1"/>
    <col min="18" max="18" width="9.57421875" style="82" customWidth="1"/>
    <col min="19" max="19" width="2.8515625" style="82" customWidth="1"/>
    <col min="20" max="20" width="8.57421875" style="82" customWidth="1"/>
    <col min="21" max="21" width="2.28125" style="82" customWidth="1"/>
    <col min="22" max="22" width="8.28125" style="82" customWidth="1"/>
    <col min="23" max="23" width="2.28125" style="82" customWidth="1"/>
    <col min="24" max="24" width="9.140625" style="82" customWidth="1"/>
    <col min="25" max="25" width="2.140625" style="82" customWidth="1"/>
    <col min="26" max="26" width="9.140625" style="82" customWidth="1"/>
    <col min="27" max="27" width="2.28125" style="82" customWidth="1"/>
    <col min="28" max="28" width="9.140625" style="82" customWidth="1"/>
    <col min="29" max="29" width="2.421875" style="82" customWidth="1"/>
    <col min="30" max="16384" width="9.140625" style="82" customWidth="1"/>
  </cols>
  <sheetData>
    <row r="1" spans="2:3" ht="12.75">
      <c r="B1" s="13" t="s">
        <v>208</v>
      </c>
      <c r="C1" s="13"/>
    </row>
    <row r="4" spans="2:30" ht="12.75">
      <c r="B4" s="13" t="s">
        <v>187</v>
      </c>
      <c r="C4" s="13"/>
      <c r="F4" s="101" t="s">
        <v>170</v>
      </c>
      <c r="G4" s="101"/>
      <c r="H4" s="101" t="s">
        <v>171</v>
      </c>
      <c r="I4" s="101"/>
      <c r="J4" s="101" t="s">
        <v>172</v>
      </c>
      <c r="K4" s="101"/>
      <c r="L4" s="101" t="s">
        <v>170</v>
      </c>
      <c r="M4" s="101"/>
      <c r="N4" s="101" t="s">
        <v>171</v>
      </c>
      <c r="O4" s="101"/>
      <c r="P4" s="101" t="s">
        <v>172</v>
      </c>
      <c r="Q4" s="101"/>
      <c r="R4" s="101" t="s">
        <v>170</v>
      </c>
      <c r="S4" s="101"/>
      <c r="T4" s="101" t="s">
        <v>171</v>
      </c>
      <c r="U4" s="101"/>
      <c r="V4" s="101" t="s">
        <v>172</v>
      </c>
      <c r="W4" s="101"/>
      <c r="X4" s="101" t="s">
        <v>170</v>
      </c>
      <c r="Y4" s="101"/>
      <c r="Z4" s="101" t="s">
        <v>171</v>
      </c>
      <c r="AA4" s="101"/>
      <c r="AB4" s="101" t="s">
        <v>172</v>
      </c>
      <c r="AC4" s="101"/>
      <c r="AD4" s="101" t="s">
        <v>169</v>
      </c>
    </row>
    <row r="6" spans="2:30" ht="12.75">
      <c r="B6" s="82" t="s">
        <v>242</v>
      </c>
      <c r="F6" s="82" t="s">
        <v>244</v>
      </c>
      <c r="H6" s="82" t="s">
        <v>244</v>
      </c>
      <c r="J6" s="82" t="s">
        <v>244</v>
      </c>
      <c r="L6" s="82" t="s">
        <v>246</v>
      </c>
      <c r="N6" s="82" t="s">
        <v>246</v>
      </c>
      <c r="P6" s="82" t="s">
        <v>246</v>
      </c>
      <c r="R6" s="82" t="s">
        <v>248</v>
      </c>
      <c r="T6" s="82" t="s">
        <v>248</v>
      </c>
      <c r="V6" s="82" t="s">
        <v>248</v>
      </c>
      <c r="X6" s="82" t="s">
        <v>249</v>
      </c>
      <c r="Z6" s="82" t="s">
        <v>249</v>
      </c>
      <c r="AB6" s="82" t="s">
        <v>249</v>
      </c>
      <c r="AD6" s="82" t="s">
        <v>249</v>
      </c>
    </row>
    <row r="7" spans="2:30" ht="12.75">
      <c r="B7" s="82" t="s">
        <v>243</v>
      </c>
      <c r="F7" s="82" t="s">
        <v>247</v>
      </c>
      <c r="H7" s="82" t="s">
        <v>247</v>
      </c>
      <c r="J7" s="82" t="s">
        <v>247</v>
      </c>
      <c r="L7" s="82" t="s">
        <v>197</v>
      </c>
      <c r="N7" s="82" t="s">
        <v>197</v>
      </c>
      <c r="P7" s="82" t="s">
        <v>197</v>
      </c>
      <c r="R7" s="82" t="s">
        <v>33</v>
      </c>
      <c r="T7" s="82" t="s">
        <v>33</v>
      </c>
      <c r="V7" s="82" t="s">
        <v>33</v>
      </c>
      <c r="X7" s="82" t="s">
        <v>62</v>
      </c>
      <c r="Z7" s="82" t="s">
        <v>62</v>
      </c>
      <c r="AB7" s="82" t="s">
        <v>62</v>
      </c>
      <c r="AD7" s="82" t="s">
        <v>62</v>
      </c>
    </row>
    <row r="8" spans="2:30" ht="12.75">
      <c r="B8" s="82" t="s">
        <v>250</v>
      </c>
      <c r="F8" s="82" t="s">
        <v>40</v>
      </c>
      <c r="H8" s="82" t="s">
        <v>40</v>
      </c>
      <c r="J8" s="82" t="s">
        <v>40</v>
      </c>
      <c r="L8" s="82" t="s">
        <v>139</v>
      </c>
      <c r="N8" s="82" t="s">
        <v>139</v>
      </c>
      <c r="P8" s="82" t="s">
        <v>139</v>
      </c>
      <c r="R8" s="82" t="s">
        <v>33</v>
      </c>
      <c r="T8" s="82" t="s">
        <v>33</v>
      </c>
      <c r="V8" s="82" t="s">
        <v>33</v>
      </c>
      <c r="X8" s="82" t="s">
        <v>62</v>
      </c>
      <c r="Z8" s="82" t="s">
        <v>62</v>
      </c>
      <c r="AB8" s="82" t="s">
        <v>62</v>
      </c>
      <c r="AD8" s="82" t="s">
        <v>62</v>
      </c>
    </row>
    <row r="9" spans="2:24" ht="12.75">
      <c r="B9" s="82" t="s">
        <v>20</v>
      </c>
      <c r="F9" s="82" t="s">
        <v>196</v>
      </c>
      <c r="L9" s="82" t="s">
        <v>197</v>
      </c>
      <c r="R9" s="82" t="s">
        <v>33</v>
      </c>
      <c r="X9" s="82" t="s">
        <v>62</v>
      </c>
    </row>
    <row r="10" spans="1:22" ht="12.75">
      <c r="A10" s="82" t="s">
        <v>187</v>
      </c>
      <c r="B10" s="82" t="s">
        <v>198</v>
      </c>
      <c r="D10" s="82" t="s">
        <v>28</v>
      </c>
      <c r="F10" s="83">
        <v>3051.2193104</v>
      </c>
      <c r="G10" s="83"/>
      <c r="H10" s="83">
        <v>2897.8783574</v>
      </c>
      <c r="I10" s="83"/>
      <c r="J10" s="83">
        <v>2895.0498556</v>
      </c>
      <c r="K10" s="80"/>
      <c r="L10" s="80">
        <v>25160</v>
      </c>
      <c r="M10" s="80"/>
      <c r="N10" s="80">
        <v>25220</v>
      </c>
      <c r="O10" s="80"/>
      <c r="P10" s="80">
        <v>25700</v>
      </c>
      <c r="Q10" s="80"/>
      <c r="R10" s="81">
        <v>0.73898192</v>
      </c>
      <c r="S10" s="81"/>
      <c r="T10" s="81">
        <v>0.68761474</v>
      </c>
      <c r="U10" s="81"/>
      <c r="V10" s="81">
        <v>0.56746404</v>
      </c>
    </row>
    <row r="11" spans="1:22" ht="12.75">
      <c r="A11" s="82" t="s">
        <v>187</v>
      </c>
      <c r="B11" s="82" t="s">
        <v>199</v>
      </c>
      <c r="D11" s="82" t="s">
        <v>22</v>
      </c>
      <c r="F11" s="83">
        <v>10618.705738248793</v>
      </c>
      <c r="G11" s="83"/>
      <c r="H11" s="83">
        <v>10766.49746885611</v>
      </c>
      <c r="I11" s="83"/>
      <c r="J11" s="83">
        <v>10984.266795436391</v>
      </c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</row>
    <row r="12" spans="1:22" ht="12.75">
      <c r="A12" s="82" t="s">
        <v>187</v>
      </c>
      <c r="B12" s="82" t="s">
        <v>24</v>
      </c>
      <c r="D12" s="82" t="s">
        <v>28</v>
      </c>
      <c r="F12" s="107">
        <v>45.2031184</v>
      </c>
      <c r="G12" s="107"/>
      <c r="H12" s="107">
        <v>38.75091558</v>
      </c>
      <c r="I12" s="107"/>
      <c r="J12" s="107">
        <v>42.26791396</v>
      </c>
      <c r="K12" s="107"/>
      <c r="L12" s="107">
        <v>7.20838062</v>
      </c>
      <c r="M12" s="107"/>
      <c r="N12" s="107">
        <v>6.03376974</v>
      </c>
      <c r="O12" s="107"/>
      <c r="P12" s="107">
        <v>6.26238676</v>
      </c>
      <c r="Q12" s="80"/>
      <c r="R12" s="80"/>
      <c r="S12" s="80"/>
      <c r="T12" s="80"/>
      <c r="U12" s="80"/>
      <c r="V12" s="80"/>
    </row>
    <row r="13" spans="1:22" ht="12.75">
      <c r="A13" s="82" t="s">
        <v>187</v>
      </c>
      <c r="B13" s="82" t="s">
        <v>108</v>
      </c>
      <c r="D13" s="82" t="s">
        <v>28</v>
      </c>
      <c r="F13" s="107">
        <v>0.03108486</v>
      </c>
      <c r="G13" s="107"/>
      <c r="H13" s="107">
        <v>0.02821888</v>
      </c>
      <c r="I13" s="107"/>
      <c r="J13" s="107">
        <v>0.05996512</v>
      </c>
      <c r="K13" s="107"/>
      <c r="L13" s="107">
        <v>0.02513244</v>
      </c>
      <c r="M13" s="107"/>
      <c r="N13" s="107">
        <v>0.02513244</v>
      </c>
      <c r="O13" s="107"/>
      <c r="P13" s="107">
        <v>0.02579382</v>
      </c>
      <c r="Q13" s="80"/>
      <c r="R13" s="80"/>
      <c r="S13" s="80"/>
      <c r="T13" s="80"/>
      <c r="U13" s="80"/>
      <c r="V13" s="80"/>
    </row>
    <row r="14" spans="1:22" ht="12.75">
      <c r="A14" s="82" t="s">
        <v>187</v>
      </c>
      <c r="B14" s="82" t="s">
        <v>107</v>
      </c>
      <c r="D14" s="82" t="s">
        <v>28</v>
      </c>
      <c r="F14" s="107">
        <v>0.88536736</v>
      </c>
      <c r="G14" s="107"/>
      <c r="H14" s="107">
        <v>0.60714684</v>
      </c>
      <c r="I14" s="107"/>
      <c r="J14" s="107">
        <v>0.65410482</v>
      </c>
      <c r="K14" s="107"/>
      <c r="L14" s="107">
        <v>0.3439176</v>
      </c>
      <c r="M14" s="107"/>
      <c r="N14" s="107">
        <v>0.2910072</v>
      </c>
      <c r="O14" s="107"/>
      <c r="P14" s="107">
        <v>0.33333552</v>
      </c>
      <c r="Q14" s="80"/>
      <c r="R14" s="80"/>
      <c r="S14" s="80"/>
      <c r="T14" s="80"/>
      <c r="U14" s="80"/>
      <c r="V14" s="80"/>
    </row>
    <row r="15" spans="1:22" ht="12.75">
      <c r="A15" s="82" t="s">
        <v>187</v>
      </c>
      <c r="B15" s="82" t="s">
        <v>109</v>
      </c>
      <c r="D15" s="82" t="s">
        <v>28</v>
      </c>
      <c r="F15" s="107">
        <v>0.24867888</v>
      </c>
      <c r="G15" s="107"/>
      <c r="H15" s="107">
        <v>0.18805238</v>
      </c>
      <c r="I15" s="107"/>
      <c r="J15" s="107">
        <v>0.4706821</v>
      </c>
      <c r="K15" s="107"/>
      <c r="L15" s="107">
        <v>9.71192438</v>
      </c>
      <c r="M15" s="107"/>
      <c r="N15" s="107">
        <v>9.634102</v>
      </c>
      <c r="O15" s="107"/>
      <c r="P15" s="107">
        <v>7.63298658</v>
      </c>
      <c r="Q15" s="80"/>
      <c r="R15" s="80"/>
      <c r="S15" s="80"/>
      <c r="T15" s="80"/>
      <c r="U15" s="80"/>
      <c r="V15" s="80"/>
    </row>
    <row r="16" spans="1:22" ht="12.75">
      <c r="A16" s="82" t="s">
        <v>187</v>
      </c>
      <c r="B16" s="82" t="s">
        <v>110</v>
      </c>
      <c r="D16" s="82" t="s">
        <v>28</v>
      </c>
      <c r="F16" s="107">
        <v>0.27623638</v>
      </c>
      <c r="G16" s="107"/>
      <c r="H16" s="107">
        <v>0.26653614</v>
      </c>
      <c r="I16" s="107"/>
      <c r="J16" s="107">
        <v>0.253529</v>
      </c>
      <c r="K16" s="107"/>
      <c r="L16" s="107">
        <v>0.09722286</v>
      </c>
      <c r="M16" s="107"/>
      <c r="N16" s="107">
        <v>0.10824586</v>
      </c>
      <c r="O16" s="107"/>
      <c r="P16" s="107">
        <v>0.08686124</v>
      </c>
      <c r="Q16" s="80"/>
      <c r="R16" s="80"/>
      <c r="S16" s="80"/>
      <c r="T16" s="80"/>
      <c r="U16" s="80"/>
      <c r="V16" s="80"/>
    </row>
    <row r="17" spans="1:22" ht="12.75">
      <c r="A17" s="82" t="s">
        <v>187</v>
      </c>
      <c r="B17" s="82" t="s">
        <v>111</v>
      </c>
      <c r="D17" s="82" t="s">
        <v>28</v>
      </c>
      <c r="F17" s="107">
        <v>1.77955312</v>
      </c>
      <c r="G17" s="107"/>
      <c r="H17" s="107">
        <v>1.79851268</v>
      </c>
      <c r="I17" s="107"/>
      <c r="J17" s="107">
        <v>1.7008489</v>
      </c>
      <c r="K17" s="107"/>
      <c r="L17" s="107">
        <v>0.48148464</v>
      </c>
      <c r="M17" s="107"/>
      <c r="N17" s="107">
        <v>0.48655522</v>
      </c>
      <c r="O17" s="107"/>
      <c r="P17" s="107">
        <v>0.4607614</v>
      </c>
      <c r="Q17" s="80"/>
      <c r="R17" s="80"/>
      <c r="S17" s="80"/>
      <c r="T17" s="80"/>
      <c r="U17" s="80"/>
      <c r="V17" s="80"/>
    </row>
    <row r="18" spans="1:22" ht="12.75">
      <c r="A18" s="82" t="s">
        <v>187</v>
      </c>
      <c r="B18" s="82" t="s">
        <v>112</v>
      </c>
      <c r="D18" s="82" t="s">
        <v>28</v>
      </c>
      <c r="F18" s="107">
        <v>0.17769076</v>
      </c>
      <c r="G18" s="107"/>
      <c r="H18" s="107">
        <v>0.16269948</v>
      </c>
      <c r="I18" s="107"/>
      <c r="J18" s="107">
        <v>0.41644894</v>
      </c>
      <c r="K18" s="107"/>
      <c r="L18" s="107">
        <v>2.86906644</v>
      </c>
      <c r="M18" s="107"/>
      <c r="N18" s="107">
        <v>2.9133789</v>
      </c>
      <c r="O18" s="107"/>
      <c r="P18" s="107">
        <v>2.5231647</v>
      </c>
      <c r="Q18" s="80"/>
      <c r="R18" s="107">
        <v>0.73898192</v>
      </c>
      <c r="S18" s="107"/>
      <c r="T18" s="107">
        <v>0.68761474</v>
      </c>
      <c r="U18" s="107"/>
      <c r="V18" s="107">
        <v>0.56746404</v>
      </c>
    </row>
    <row r="19" spans="1:22" ht="12.75">
      <c r="A19" s="82" t="s">
        <v>187</v>
      </c>
      <c r="B19" s="82" t="s">
        <v>193</v>
      </c>
      <c r="D19" s="82" t="s">
        <v>28</v>
      </c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80"/>
      <c r="R19" s="107">
        <v>0.73898192</v>
      </c>
      <c r="S19" s="107"/>
      <c r="T19" s="107">
        <v>0.68761474</v>
      </c>
      <c r="U19" s="107"/>
      <c r="V19" s="107">
        <v>0.56746404</v>
      </c>
    </row>
    <row r="20" spans="1:22" ht="12.75">
      <c r="A20" s="82" t="s">
        <v>187</v>
      </c>
      <c r="B20" s="82" t="s">
        <v>114</v>
      </c>
      <c r="D20" s="82" t="s">
        <v>28</v>
      </c>
      <c r="F20" s="107">
        <v>21.41592532</v>
      </c>
      <c r="G20" s="107"/>
      <c r="H20" s="107">
        <v>17.66281428</v>
      </c>
      <c r="I20" s="107"/>
      <c r="J20" s="107">
        <v>21.79533698</v>
      </c>
      <c r="K20" s="107"/>
      <c r="L20" s="107">
        <v>6.94911966</v>
      </c>
      <c r="M20" s="107"/>
      <c r="N20" s="107">
        <v>0.96098514</v>
      </c>
      <c r="O20" s="107"/>
      <c r="P20" s="107">
        <v>0.89749266</v>
      </c>
      <c r="Q20" s="80"/>
      <c r="R20" s="80"/>
      <c r="S20" s="80"/>
      <c r="T20" s="80"/>
      <c r="U20" s="80"/>
      <c r="V20" s="80"/>
    </row>
    <row r="21" spans="1:22" ht="12.75">
      <c r="A21" s="82" t="s">
        <v>187</v>
      </c>
      <c r="B21" s="82" t="s">
        <v>115</v>
      </c>
      <c r="D21" s="82" t="s">
        <v>28</v>
      </c>
      <c r="F21" s="107">
        <v>0.00022046</v>
      </c>
      <c r="G21" s="107"/>
      <c r="H21" s="107">
        <v>0.00022046</v>
      </c>
      <c r="I21" s="107"/>
      <c r="J21" s="107">
        <v>0.00022046</v>
      </c>
      <c r="K21" s="107"/>
      <c r="L21" s="107">
        <v>0.0011023</v>
      </c>
      <c r="M21" s="107"/>
      <c r="N21" s="107">
        <v>0.0011023</v>
      </c>
      <c r="O21" s="107"/>
      <c r="P21" s="107">
        <v>0.0011023</v>
      </c>
      <c r="Q21" s="80"/>
      <c r="R21" s="80"/>
      <c r="S21" s="80"/>
      <c r="T21" s="80"/>
      <c r="U21" s="80"/>
      <c r="V21" s="80"/>
    </row>
    <row r="22" spans="1:22" ht="12.75">
      <c r="A22" s="82" t="s">
        <v>187</v>
      </c>
      <c r="B22" s="82" t="s">
        <v>118</v>
      </c>
      <c r="D22" s="82" t="s">
        <v>28</v>
      </c>
      <c r="F22" s="107">
        <v>0.0011023</v>
      </c>
      <c r="G22" s="107"/>
      <c r="H22" s="107">
        <v>0.0011023</v>
      </c>
      <c r="I22" s="107"/>
      <c r="J22" s="107">
        <v>0.0011023</v>
      </c>
      <c r="K22" s="107"/>
      <c r="L22" s="107">
        <v>0.01014116</v>
      </c>
      <c r="M22" s="107"/>
      <c r="N22" s="107">
        <v>0.01014116</v>
      </c>
      <c r="O22" s="107"/>
      <c r="P22" s="107">
        <v>0.01036162</v>
      </c>
      <c r="Q22" s="80"/>
      <c r="R22" s="80"/>
      <c r="S22" s="80"/>
      <c r="T22" s="80"/>
      <c r="U22" s="80"/>
      <c r="V22" s="80"/>
    </row>
    <row r="23" spans="1:22" ht="12.75">
      <c r="A23" s="82" t="s">
        <v>187</v>
      </c>
      <c r="B23" s="82" t="s">
        <v>119</v>
      </c>
      <c r="D23" s="82" t="s">
        <v>28</v>
      </c>
      <c r="F23" s="107">
        <v>0.00264552</v>
      </c>
      <c r="G23" s="107"/>
      <c r="H23" s="107">
        <v>0.00264552</v>
      </c>
      <c r="I23" s="107"/>
      <c r="J23" s="107">
        <v>0.00264552</v>
      </c>
      <c r="K23" s="107"/>
      <c r="L23" s="107">
        <v>0.02513244</v>
      </c>
      <c r="M23" s="107"/>
      <c r="N23" s="107">
        <v>0.02513244</v>
      </c>
      <c r="O23" s="107"/>
      <c r="P23" s="107">
        <v>0.02579382</v>
      </c>
      <c r="Q23" s="80"/>
      <c r="R23" s="80"/>
      <c r="S23" s="80"/>
      <c r="T23" s="80"/>
      <c r="U23" s="80"/>
      <c r="V23" s="80"/>
    </row>
    <row r="25" spans="2:30" ht="12.75">
      <c r="B25" s="82" t="s">
        <v>200</v>
      </c>
      <c r="F25" s="82">
        <f>'emiss 2'!$G$33</f>
        <v>16747</v>
      </c>
      <c r="H25" s="82">
        <f>'emiss 2'!$I$33</f>
        <v>17979</v>
      </c>
      <c r="J25" s="82">
        <f>'emiss 2'!$K$33</f>
        <v>18556</v>
      </c>
      <c r="L25" s="82">
        <f>'emiss 2'!$G$33</f>
        <v>16747</v>
      </c>
      <c r="N25" s="82">
        <f>'emiss 2'!$I$33</f>
        <v>17979</v>
      </c>
      <c r="P25" s="82">
        <f>'emiss 2'!$K$33</f>
        <v>18556</v>
      </c>
      <c r="R25" s="82">
        <f>'emiss 2'!$G$33</f>
        <v>16747</v>
      </c>
      <c r="T25" s="82">
        <f>'emiss 2'!$I$33</f>
        <v>17979</v>
      </c>
      <c r="V25" s="82">
        <f>'emiss 2'!$K$33</f>
        <v>18556</v>
      </c>
      <c r="X25" s="82">
        <f>F25</f>
        <v>16747</v>
      </c>
      <c r="Z25" s="82">
        <f>H25</f>
        <v>17979</v>
      </c>
      <c r="AB25" s="82">
        <f>J25</f>
        <v>18556</v>
      </c>
      <c r="AD25" s="82">
        <f>AVERAGE(X25,Z25,AB25)</f>
        <v>17760.666666666668</v>
      </c>
    </row>
    <row r="26" spans="2:30" ht="12.75">
      <c r="B26" s="82" t="s">
        <v>38</v>
      </c>
      <c r="F26" s="82">
        <f>'emiss 2'!$G$34</f>
        <v>14.4</v>
      </c>
      <c r="H26" s="82">
        <f>'emiss 2'!$I$34</f>
        <v>14.3</v>
      </c>
      <c r="J26" s="82">
        <f>'emiss 2'!$K$34</f>
        <v>15.4</v>
      </c>
      <c r="L26" s="82">
        <f>'emiss 2'!$G$34</f>
        <v>14.4</v>
      </c>
      <c r="N26" s="82">
        <f>'emiss 2'!$I$34</f>
        <v>14.3</v>
      </c>
      <c r="P26" s="82">
        <f>'emiss 2'!$K$34</f>
        <v>15.4</v>
      </c>
      <c r="R26" s="82">
        <f>'emiss 2'!$G$34</f>
        <v>14.4</v>
      </c>
      <c r="T26" s="82">
        <f>'emiss 2'!$I$34</f>
        <v>14.3</v>
      </c>
      <c r="V26" s="82">
        <f>'emiss 2'!$K$34</f>
        <v>15.4</v>
      </c>
      <c r="X26" s="82">
        <f>F26</f>
        <v>14.4</v>
      </c>
      <c r="Z26" s="82">
        <f>H26</f>
        <v>14.3</v>
      </c>
      <c r="AB26" s="82">
        <f>J26</f>
        <v>15.4</v>
      </c>
      <c r="AD26" s="82">
        <f>AVERAGE(X26,Z26,AB26)</f>
        <v>14.700000000000001</v>
      </c>
    </row>
    <row r="28" spans="2:30" ht="12.75">
      <c r="B28" s="4" t="s">
        <v>241</v>
      </c>
      <c r="C28" s="4"/>
      <c r="D28" s="4" t="s">
        <v>32</v>
      </c>
      <c r="F28" s="82">
        <f>F10*F11/1000000</f>
        <v>32.400000000000006</v>
      </c>
      <c r="H28" s="82">
        <f>H10*H11/1000000</f>
        <v>31.200000000000003</v>
      </c>
      <c r="J28" s="82">
        <f>J10*J11/1000000</f>
        <v>31.799999999999997</v>
      </c>
      <c r="X28" s="82">
        <f>F28+L28+R28</f>
        <v>32.400000000000006</v>
      </c>
      <c r="Z28" s="82">
        <f>H28+N28+T28</f>
        <v>31.200000000000003</v>
      </c>
      <c r="AB28" s="82">
        <f>J28+P28+V28</f>
        <v>31.799999999999997</v>
      </c>
      <c r="AD28" s="82">
        <f>AVERAGE(X28,Z28,AB28)</f>
        <v>31.8</v>
      </c>
    </row>
    <row r="29" spans="2:30" ht="12.75">
      <c r="B29" s="4" t="s">
        <v>252</v>
      </c>
      <c r="C29" s="4"/>
      <c r="D29" s="4" t="s">
        <v>32</v>
      </c>
      <c r="X29" s="52">
        <f>X25/9000*60*(21-X26)/21</f>
        <v>35.088952380952385</v>
      </c>
      <c r="Z29" s="52">
        <f>Z25/9000*60*(21-Z26)/21</f>
        <v>38.24104761904761</v>
      </c>
      <c r="AB29" s="52">
        <f>AB25/9000*60*(21-AB26)/21</f>
        <v>32.98844444444445</v>
      </c>
      <c r="AD29" s="52">
        <f>AD25/9000*60*(21-AD26)/21</f>
        <v>35.521333333333324</v>
      </c>
    </row>
    <row r="31" ht="12.75">
      <c r="B31" s="82" t="s">
        <v>201</v>
      </c>
    </row>
    <row r="32" spans="2:31" ht="12.75">
      <c r="B32" s="82" t="s">
        <v>24</v>
      </c>
      <c r="D32" s="82" t="s">
        <v>34</v>
      </c>
      <c r="F32" s="83">
        <f>F12*454/F$25*14/(21-F$26)/0.0283/60*1000000</f>
        <v>1530853.5407275686</v>
      </c>
      <c r="H32" s="83">
        <f>H12*454/H$25*14/(21-H$26)/0.0283/60*1000000</f>
        <v>1204170.0899547855</v>
      </c>
      <c r="J32" s="83">
        <f aca="true" t="shared" si="0" ref="J32:J43">J12*454/J$25*14/(21-J$26)/0.0283/60*1000000</f>
        <v>1522595.7965015206</v>
      </c>
      <c r="L32" s="83">
        <f aca="true" t="shared" si="1" ref="L32:L43">L12*454/L$25*14/(21-L$26)/0.0283/60*1000000</f>
        <v>244119.77283051747</v>
      </c>
      <c r="N32" s="83">
        <f aca="true" t="shared" si="2" ref="N32:N43">N12*454/N$25*14/(21-N$26)/0.0283/60*1000000</f>
        <v>187497.1195346983</v>
      </c>
      <c r="P32" s="83">
        <f aca="true" t="shared" si="3" ref="P32:P43">P12*454/P$25*14/(21-P$26)/0.0283/60*1000000</f>
        <v>225586.8071905855</v>
      </c>
      <c r="R32" s="83">
        <f aca="true" t="shared" si="4" ref="R32:R43">R12*454/R$25*14/(21-R$26)/0.0283/60*1000000</f>
        <v>0</v>
      </c>
      <c r="T32" s="83">
        <f aca="true" t="shared" si="5" ref="T32:T43">T12*454/T$25*14/(21-T$26)/0.0283/60*1000000</f>
        <v>0</v>
      </c>
      <c r="V32" s="83">
        <f aca="true" t="shared" si="6" ref="V32:V43">V12*454/V$25*14/(21-V$26)/0.0283/60*1000000</f>
        <v>0</v>
      </c>
      <c r="X32" s="83">
        <f>F32+L32+R32</f>
        <v>1774973.313558086</v>
      </c>
      <c r="Z32" s="83">
        <f>H32+N32+T32</f>
        <v>1391667.2094894839</v>
      </c>
      <c r="AB32" s="83">
        <f>J32+P32+V32</f>
        <v>1748182.603692106</v>
      </c>
      <c r="AD32" s="83">
        <f>AVERAGE(X32,Z32,AB32)</f>
        <v>1638274.375579892</v>
      </c>
      <c r="AE32" s="106"/>
    </row>
    <row r="33" spans="2:30" ht="12.75">
      <c r="B33" s="82" t="s">
        <v>108</v>
      </c>
      <c r="D33" s="82" t="s">
        <v>34</v>
      </c>
      <c r="F33" s="83">
        <f aca="true" t="shared" si="7" ref="F33:H43">F13*454/F$25*14/(21-F$26)/0.0283/60*1000000</f>
        <v>1052.723123500718</v>
      </c>
      <c r="H33" s="83">
        <f t="shared" si="7"/>
        <v>876.8910555899514</v>
      </c>
      <c r="J33" s="83">
        <f t="shared" si="0"/>
        <v>2160.093344921469</v>
      </c>
      <c r="L33" s="83">
        <f t="shared" si="1"/>
        <v>851.1378445324951</v>
      </c>
      <c r="N33" s="83">
        <f t="shared" si="2"/>
        <v>780.9810963848005</v>
      </c>
      <c r="P33" s="83">
        <f t="shared" si="3"/>
        <v>929.1577991022496</v>
      </c>
      <c r="R33" s="83">
        <f t="shared" si="4"/>
        <v>0</v>
      </c>
      <c r="T33" s="83">
        <f t="shared" si="5"/>
        <v>0</v>
      </c>
      <c r="V33" s="83">
        <f t="shared" si="6"/>
        <v>0</v>
      </c>
      <c r="X33" s="83">
        <f aca="true" t="shared" si="8" ref="X33:AB45">F33+L33+R33</f>
        <v>1903.860968033213</v>
      </c>
      <c r="Z33" s="83">
        <f t="shared" si="8"/>
        <v>1657.872151974752</v>
      </c>
      <c r="AB33" s="83">
        <f t="shared" si="8"/>
        <v>3089.2511440237186</v>
      </c>
      <c r="AD33" s="83">
        <f aca="true" t="shared" si="9" ref="AD33:AD45">AVERAGE(X33,Z33,AB33)</f>
        <v>2216.994754677228</v>
      </c>
    </row>
    <row r="34" spans="2:30" ht="12.75">
      <c r="B34" s="82" t="s">
        <v>107</v>
      </c>
      <c r="D34" s="82" t="s">
        <v>34</v>
      </c>
      <c r="F34" s="83">
        <f t="shared" si="7"/>
        <v>29983.943716162295</v>
      </c>
      <c r="H34" s="83">
        <f t="shared" si="7"/>
        <v>18866.85911792755</v>
      </c>
      <c r="J34" s="83">
        <f t="shared" si="0"/>
        <v>23562.488802875</v>
      </c>
      <c r="L34" s="83">
        <f t="shared" si="1"/>
        <v>11647.149451497304</v>
      </c>
      <c r="N34" s="83">
        <f t="shared" si="2"/>
        <v>9042.939010771375</v>
      </c>
      <c r="P34" s="83">
        <f t="shared" si="3"/>
        <v>12007.577711475229</v>
      </c>
      <c r="R34" s="83">
        <f t="shared" si="4"/>
        <v>0</v>
      </c>
      <c r="T34" s="83">
        <f t="shared" si="5"/>
        <v>0</v>
      </c>
      <c r="V34" s="83">
        <f t="shared" si="6"/>
        <v>0</v>
      </c>
      <c r="X34" s="83">
        <f t="shared" si="8"/>
        <v>41631.0931676596</v>
      </c>
      <c r="Z34" s="83">
        <f t="shared" si="8"/>
        <v>27909.798128698923</v>
      </c>
      <c r="AB34" s="83">
        <f t="shared" si="8"/>
        <v>35570.06651435023</v>
      </c>
      <c r="AD34" s="83">
        <f t="shared" si="9"/>
        <v>35036.985936902915</v>
      </c>
    </row>
    <row r="35" spans="2:30" ht="12.75">
      <c r="B35" s="82" t="s">
        <v>109</v>
      </c>
      <c r="D35" s="82" t="s">
        <v>34</v>
      </c>
      <c r="F35" s="83">
        <f t="shared" si="7"/>
        <v>8421.784988005744</v>
      </c>
      <c r="H35" s="83">
        <f t="shared" si="7"/>
        <v>5843.65680014241</v>
      </c>
      <c r="J35" s="83">
        <f t="shared" si="0"/>
        <v>16955.144453703444</v>
      </c>
      <c r="L35" s="83">
        <f t="shared" si="1"/>
        <v>328905.04794026323</v>
      </c>
      <c r="N35" s="83">
        <f t="shared" si="2"/>
        <v>299376.0869475068</v>
      </c>
      <c r="P35" s="83">
        <f t="shared" si="3"/>
        <v>274959.2348574119</v>
      </c>
      <c r="R35" s="83">
        <f t="shared" si="4"/>
        <v>0</v>
      </c>
      <c r="T35" s="83">
        <f t="shared" si="5"/>
        <v>0</v>
      </c>
      <c r="V35" s="83">
        <f t="shared" si="6"/>
        <v>0</v>
      </c>
      <c r="X35" s="83">
        <f t="shared" si="8"/>
        <v>337326.832928269</v>
      </c>
      <c r="Z35" s="83">
        <f t="shared" si="8"/>
        <v>305219.74374764925</v>
      </c>
      <c r="AB35" s="83">
        <f t="shared" si="8"/>
        <v>291914.3793111153</v>
      </c>
      <c r="AD35" s="83">
        <f t="shared" si="9"/>
        <v>311486.98532901116</v>
      </c>
    </row>
    <row r="36" spans="2:30" ht="12.75">
      <c r="B36" s="82" t="s">
        <v>110</v>
      </c>
      <c r="D36" s="82" t="s">
        <v>34</v>
      </c>
      <c r="F36" s="83">
        <f t="shared" si="7"/>
        <v>9355.050168414178</v>
      </c>
      <c r="H36" s="83">
        <f t="shared" si="7"/>
        <v>8282.510048501963</v>
      </c>
      <c r="J36" s="83">
        <f t="shared" si="0"/>
        <v>9132.747598013564</v>
      </c>
      <c r="L36" s="83">
        <f t="shared" si="1"/>
        <v>3292.5595564809673</v>
      </c>
      <c r="N36" s="83">
        <f t="shared" si="2"/>
        <v>3363.6992835520787</v>
      </c>
      <c r="P36" s="83">
        <f t="shared" si="3"/>
        <v>3128.9587422759523</v>
      </c>
      <c r="R36" s="83">
        <f t="shared" si="4"/>
        <v>0</v>
      </c>
      <c r="T36" s="83">
        <f t="shared" si="5"/>
        <v>0</v>
      </c>
      <c r="V36" s="83">
        <f t="shared" si="6"/>
        <v>0</v>
      </c>
      <c r="X36" s="83">
        <f t="shared" si="8"/>
        <v>12647.609724895145</v>
      </c>
      <c r="Z36" s="83">
        <f t="shared" si="8"/>
        <v>11646.20933205404</v>
      </c>
      <c r="AB36" s="83">
        <f t="shared" si="8"/>
        <v>12261.706340289516</v>
      </c>
      <c r="AD36" s="83">
        <f t="shared" si="9"/>
        <v>12185.1751324129</v>
      </c>
    </row>
    <row r="37" spans="2:30" ht="12.75">
      <c r="B37" s="82" t="s">
        <v>111</v>
      </c>
      <c r="D37" s="82" t="s">
        <v>34</v>
      </c>
      <c r="F37" s="83">
        <f t="shared" si="7"/>
        <v>60266.53229005527</v>
      </c>
      <c r="H37" s="83">
        <f t="shared" si="7"/>
        <v>55888.10337111581</v>
      </c>
      <c r="J37" s="83">
        <f t="shared" si="0"/>
        <v>61268.824103195344</v>
      </c>
      <c r="L37" s="83">
        <f t="shared" si="1"/>
        <v>16306.009232096221</v>
      </c>
      <c r="N37" s="83">
        <f t="shared" si="2"/>
        <v>15119.519997554864</v>
      </c>
      <c r="P37" s="83">
        <f t="shared" si="3"/>
        <v>16597.77606943335</v>
      </c>
      <c r="R37" s="83">
        <f t="shared" si="4"/>
        <v>0</v>
      </c>
      <c r="T37" s="83">
        <f t="shared" si="5"/>
        <v>0</v>
      </c>
      <c r="V37" s="83">
        <f t="shared" si="6"/>
        <v>0</v>
      </c>
      <c r="X37" s="83">
        <f t="shared" si="8"/>
        <v>76572.5415221515</v>
      </c>
      <c r="Z37" s="83">
        <f t="shared" si="8"/>
        <v>71007.62336867067</v>
      </c>
      <c r="AB37" s="83">
        <f t="shared" si="8"/>
        <v>77866.60017262869</v>
      </c>
      <c r="AD37" s="83">
        <f t="shared" si="9"/>
        <v>75148.92168781695</v>
      </c>
    </row>
    <row r="38" spans="2:30" ht="12.75">
      <c r="B38" s="82" t="s">
        <v>112</v>
      </c>
      <c r="D38" s="82" t="s">
        <v>34</v>
      </c>
      <c r="F38" s="83">
        <f t="shared" si="7"/>
        <v>6017.693883273606</v>
      </c>
      <c r="H38" s="83">
        <f t="shared" si="7"/>
        <v>5055.824992385813</v>
      </c>
      <c r="J38" s="83">
        <f t="shared" si="0"/>
        <v>15001.530619693587</v>
      </c>
      <c r="L38" s="83">
        <f t="shared" si="1"/>
        <v>97164.10446268327</v>
      </c>
      <c r="N38" s="83">
        <f t="shared" si="2"/>
        <v>90532.1507782907</v>
      </c>
      <c r="P38" s="83">
        <f t="shared" si="3"/>
        <v>90890.69239936108</v>
      </c>
      <c r="R38" s="83">
        <f t="shared" si="4"/>
        <v>25026.43907783266</v>
      </c>
      <c r="T38" s="83">
        <f t="shared" si="5"/>
        <v>21367.368768633267</v>
      </c>
      <c r="V38" s="83">
        <f t="shared" si="6"/>
        <v>20441.471580249494</v>
      </c>
      <c r="X38" s="83">
        <f t="shared" si="8"/>
        <v>128208.23742378954</v>
      </c>
      <c r="Z38" s="83">
        <f t="shared" si="8"/>
        <v>116955.34453930978</v>
      </c>
      <c r="AB38" s="83">
        <f t="shared" si="8"/>
        <v>126333.69459930416</v>
      </c>
      <c r="AD38" s="83">
        <f t="shared" si="9"/>
        <v>123832.42552080116</v>
      </c>
    </row>
    <row r="39" spans="2:30" ht="12.75">
      <c r="B39" s="82" t="s">
        <v>193</v>
      </c>
      <c r="D39" s="82" t="s">
        <v>34</v>
      </c>
      <c r="F39" s="83">
        <f t="shared" si="7"/>
        <v>0</v>
      </c>
      <c r="H39" s="83">
        <f t="shared" si="7"/>
        <v>0</v>
      </c>
      <c r="J39" s="83">
        <f t="shared" si="0"/>
        <v>0</v>
      </c>
      <c r="L39" s="83">
        <f t="shared" si="1"/>
        <v>0</v>
      </c>
      <c r="N39" s="83">
        <f t="shared" si="2"/>
        <v>0</v>
      </c>
      <c r="P39" s="83">
        <f t="shared" si="3"/>
        <v>0</v>
      </c>
      <c r="R39" s="83">
        <f t="shared" si="4"/>
        <v>25026.43907783266</v>
      </c>
      <c r="T39" s="83">
        <f t="shared" si="5"/>
        <v>21367.368768633267</v>
      </c>
      <c r="V39" s="83">
        <f t="shared" si="6"/>
        <v>20441.471580249494</v>
      </c>
      <c r="X39" s="83">
        <f t="shared" si="8"/>
        <v>25026.43907783266</v>
      </c>
      <c r="Z39" s="83">
        <f t="shared" si="8"/>
        <v>21367.368768633267</v>
      </c>
      <c r="AB39" s="83">
        <f t="shared" si="8"/>
        <v>20441.471580249494</v>
      </c>
      <c r="AD39" s="83">
        <f t="shared" si="9"/>
        <v>22278.426475571807</v>
      </c>
    </row>
    <row r="40" spans="2:30" ht="12.75">
      <c r="B40" s="82" t="s">
        <v>114</v>
      </c>
      <c r="D40" s="82" t="s">
        <v>34</v>
      </c>
      <c r="F40" s="83">
        <f t="shared" si="7"/>
        <v>725273.9692418916</v>
      </c>
      <c r="H40" s="83">
        <f t="shared" si="7"/>
        <v>548865.2936855914</v>
      </c>
      <c r="J40" s="83">
        <f t="shared" si="0"/>
        <v>785122.4572021</v>
      </c>
      <c r="L40" s="83">
        <f t="shared" si="1"/>
        <v>235339.6140132349</v>
      </c>
      <c r="N40" s="83">
        <f t="shared" si="2"/>
        <v>29862.250869660922</v>
      </c>
      <c r="P40" s="83">
        <f t="shared" si="3"/>
        <v>32329.926496968023</v>
      </c>
      <c r="R40" s="83">
        <f t="shared" si="4"/>
        <v>0</v>
      </c>
      <c r="T40" s="83">
        <f t="shared" si="5"/>
        <v>0</v>
      </c>
      <c r="V40" s="83">
        <f t="shared" si="6"/>
        <v>0</v>
      </c>
      <c r="X40" s="83">
        <f t="shared" si="8"/>
        <v>960613.5832551266</v>
      </c>
      <c r="Z40" s="83">
        <f t="shared" si="8"/>
        <v>578727.5445552523</v>
      </c>
      <c r="AB40" s="83">
        <f t="shared" si="8"/>
        <v>817452.383699068</v>
      </c>
      <c r="AD40" s="83">
        <f t="shared" si="9"/>
        <v>785597.8371698157</v>
      </c>
    </row>
    <row r="41" spans="2:30" ht="12.75">
      <c r="B41" s="82" t="s">
        <v>115</v>
      </c>
      <c r="D41" s="82" t="s">
        <v>34</v>
      </c>
      <c r="F41" s="83">
        <f t="shared" si="7"/>
        <v>7.466121443267501</v>
      </c>
      <c r="H41" s="83">
        <f t="shared" si="7"/>
        <v>6.850711371796495</v>
      </c>
      <c r="J41" s="83">
        <f t="shared" si="0"/>
        <v>7.941519650446579</v>
      </c>
      <c r="L41" s="83">
        <f t="shared" si="1"/>
        <v>37.330607216337505</v>
      </c>
      <c r="N41" s="83">
        <f t="shared" si="2"/>
        <v>34.25355685898248</v>
      </c>
      <c r="P41" s="83">
        <f t="shared" si="3"/>
        <v>39.70759825223289</v>
      </c>
      <c r="R41" s="83">
        <f t="shared" si="4"/>
        <v>0</v>
      </c>
      <c r="T41" s="83">
        <f t="shared" si="5"/>
        <v>0</v>
      </c>
      <c r="V41" s="83">
        <f t="shared" si="6"/>
        <v>0</v>
      </c>
      <c r="X41" s="83">
        <f t="shared" si="8"/>
        <v>44.79672865960501</v>
      </c>
      <c r="Z41" s="83">
        <f t="shared" si="8"/>
        <v>41.10426823077897</v>
      </c>
      <c r="AB41" s="83">
        <f t="shared" si="8"/>
        <v>47.64911790267947</v>
      </c>
      <c r="AD41" s="83">
        <f t="shared" si="9"/>
        <v>44.516704931021145</v>
      </c>
    </row>
    <row r="42" spans="2:30" ht="12.75">
      <c r="B42" s="82" t="s">
        <v>118</v>
      </c>
      <c r="D42" s="82" t="s">
        <v>34</v>
      </c>
      <c r="F42" s="83">
        <f t="shared" si="7"/>
        <v>37.330607216337505</v>
      </c>
      <c r="H42" s="83">
        <f t="shared" si="7"/>
        <v>34.25355685898248</v>
      </c>
      <c r="J42" s="83">
        <f t="shared" si="0"/>
        <v>39.70759825223289</v>
      </c>
      <c r="L42" s="83">
        <f t="shared" si="1"/>
        <v>343.4415863903051</v>
      </c>
      <c r="N42" s="83">
        <f t="shared" si="2"/>
        <v>315.1327231026388</v>
      </c>
      <c r="P42" s="83">
        <f t="shared" si="3"/>
        <v>373.2514235709892</v>
      </c>
      <c r="R42" s="83">
        <f t="shared" si="4"/>
        <v>0</v>
      </c>
      <c r="T42" s="83">
        <f t="shared" si="5"/>
        <v>0</v>
      </c>
      <c r="V42" s="83">
        <f t="shared" si="6"/>
        <v>0</v>
      </c>
      <c r="X42" s="83">
        <f t="shared" si="8"/>
        <v>380.7721936066426</v>
      </c>
      <c r="Z42" s="83">
        <f t="shared" si="8"/>
        <v>349.3862799616213</v>
      </c>
      <c r="AB42" s="83">
        <f t="shared" si="8"/>
        <v>412.9590218232221</v>
      </c>
      <c r="AD42" s="83">
        <f t="shared" si="9"/>
        <v>381.03916513049535</v>
      </c>
    </row>
    <row r="43" spans="2:30" ht="12.75">
      <c r="B43" s="82" t="s">
        <v>119</v>
      </c>
      <c r="D43" s="82" t="s">
        <v>34</v>
      </c>
      <c r="F43" s="83">
        <f t="shared" si="7"/>
        <v>89.59345731921003</v>
      </c>
      <c r="H43" s="83">
        <f t="shared" si="7"/>
        <v>82.20853646155794</v>
      </c>
      <c r="J43" s="83">
        <f t="shared" si="0"/>
        <v>95.29823580535894</v>
      </c>
      <c r="L43" s="83">
        <f t="shared" si="1"/>
        <v>851.1378445324951</v>
      </c>
      <c r="N43" s="83">
        <f t="shared" si="2"/>
        <v>780.9810963848005</v>
      </c>
      <c r="P43" s="83">
        <f t="shared" si="3"/>
        <v>929.1577991022496</v>
      </c>
      <c r="R43" s="83">
        <f t="shared" si="4"/>
        <v>0</v>
      </c>
      <c r="T43" s="83">
        <f t="shared" si="5"/>
        <v>0</v>
      </c>
      <c r="V43" s="83">
        <f t="shared" si="6"/>
        <v>0</v>
      </c>
      <c r="X43" s="83">
        <f t="shared" si="8"/>
        <v>940.7313018517052</v>
      </c>
      <c r="Z43" s="83">
        <f t="shared" si="8"/>
        <v>863.1896328463584</v>
      </c>
      <c r="AB43" s="83">
        <f t="shared" si="8"/>
        <v>1024.4560349076085</v>
      </c>
      <c r="AD43" s="83">
        <f t="shared" si="9"/>
        <v>942.7923232018908</v>
      </c>
    </row>
    <row r="44" spans="2:30" ht="12.75">
      <c r="B44" s="82" t="s">
        <v>35</v>
      </c>
      <c r="D44" s="82" t="s">
        <v>34</v>
      </c>
      <c r="F44" s="83">
        <f>F40+F37</f>
        <v>785540.5015319469</v>
      </c>
      <c r="H44" s="83">
        <f>H40+H37</f>
        <v>604753.3970567072</v>
      </c>
      <c r="J44" s="83">
        <f>J40+J37</f>
        <v>846391.2813052953</v>
      </c>
      <c r="L44" s="83">
        <f>L40+L37</f>
        <v>251645.62324533114</v>
      </c>
      <c r="N44" s="83">
        <f>N40+N37</f>
        <v>44981.77086721579</v>
      </c>
      <c r="P44" s="83">
        <f>P40+P37</f>
        <v>48927.70256640137</v>
      </c>
      <c r="R44" s="83">
        <f>R40+R37</f>
        <v>0</v>
      </c>
      <c r="T44" s="83">
        <f>T40+T37</f>
        <v>0</v>
      </c>
      <c r="V44" s="83">
        <f>V40+V37</f>
        <v>0</v>
      </c>
      <c r="X44" s="83">
        <f t="shared" si="8"/>
        <v>1037186.124777278</v>
      </c>
      <c r="Z44" s="83">
        <f t="shared" si="8"/>
        <v>649735.167923923</v>
      </c>
      <c r="AB44" s="83">
        <f t="shared" si="8"/>
        <v>895318.9838716966</v>
      </c>
      <c r="AD44" s="83">
        <f t="shared" si="9"/>
        <v>860746.7588576325</v>
      </c>
    </row>
    <row r="45" spans="2:30" ht="12.75">
      <c r="B45" s="82" t="s">
        <v>36</v>
      </c>
      <c r="D45" s="82" t="s">
        <v>34</v>
      </c>
      <c r="F45" s="83">
        <f>F34+F36+F38</f>
        <v>45356.687767850075</v>
      </c>
      <c r="H45" s="83">
        <f>H34+H36+H38</f>
        <v>32205.194158815324</v>
      </c>
      <c r="J45" s="83">
        <f>J34+J36+J38</f>
        <v>47696.76702058215</v>
      </c>
      <c r="L45" s="83">
        <f>L34+L36+L38</f>
        <v>112103.81347066155</v>
      </c>
      <c r="N45" s="83">
        <f>N34+N36+N38</f>
        <v>102938.78907261415</v>
      </c>
      <c r="P45" s="83">
        <f>P34+P36+P38</f>
        <v>106027.22885311226</v>
      </c>
      <c r="R45" s="83">
        <f>R34+R36+R38</f>
        <v>25026.43907783266</v>
      </c>
      <c r="T45" s="83">
        <f>T34+T36+T38</f>
        <v>21367.368768633267</v>
      </c>
      <c r="V45" s="83">
        <f>V34+V36+V38</f>
        <v>20441.471580249494</v>
      </c>
      <c r="X45" s="83">
        <f t="shared" si="8"/>
        <v>182486.9403163443</v>
      </c>
      <c r="Z45" s="83">
        <f t="shared" si="8"/>
        <v>156511.35200006273</v>
      </c>
      <c r="AB45" s="83">
        <f t="shared" si="8"/>
        <v>174165.46745394391</v>
      </c>
      <c r="AD45" s="83">
        <f t="shared" si="9"/>
        <v>171054.586590117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B1">
      <selection activeCell="B34" sqref="A34:IV473"/>
    </sheetView>
  </sheetViews>
  <sheetFormatPr defaultColWidth="9.140625" defaultRowHeight="12.75"/>
  <cols>
    <col min="1" max="1" width="3.7109375" style="0" hidden="1" customWidth="1"/>
    <col min="2" max="2" width="38.8515625" style="0" customWidth="1"/>
    <col min="3" max="3" width="6.421875" style="0" customWidth="1"/>
    <col min="4" max="4" width="3.140625" style="0" customWidth="1"/>
    <col min="5" max="5" width="8.28125" style="0" customWidth="1"/>
    <col min="6" max="6" width="8.140625" style="0" customWidth="1"/>
    <col min="8" max="8" width="12.28125" style="0" customWidth="1"/>
    <col min="9" max="9" width="12.421875" style="0" customWidth="1"/>
  </cols>
  <sheetData>
    <row r="1" spans="2:9" ht="12.75">
      <c r="B1" s="2" t="s">
        <v>216</v>
      </c>
      <c r="C1" s="9"/>
      <c r="D1" s="9"/>
      <c r="E1" s="9"/>
      <c r="F1" s="9"/>
      <c r="G1" s="9"/>
      <c r="H1" s="9"/>
      <c r="I1" s="9"/>
    </row>
    <row r="2" spans="2:9" ht="12.75">
      <c r="B2" s="9"/>
      <c r="C2" s="9" t="s">
        <v>12</v>
      </c>
      <c r="D2" s="9"/>
      <c r="E2" s="29" t="s">
        <v>170</v>
      </c>
      <c r="F2" s="29" t="s">
        <v>171</v>
      </c>
      <c r="G2" s="29" t="s">
        <v>172</v>
      </c>
      <c r="H2" s="29" t="s">
        <v>169</v>
      </c>
      <c r="I2" s="9"/>
    </row>
    <row r="3" spans="1:9" ht="12.75">
      <c r="A3" t="s">
        <v>58</v>
      </c>
      <c r="B3" s="2" t="s">
        <v>166</v>
      </c>
      <c r="C3" s="9"/>
      <c r="D3" s="9" t="s">
        <v>180</v>
      </c>
      <c r="E3" s="9"/>
      <c r="F3" s="9"/>
      <c r="G3" s="9"/>
      <c r="H3" s="9"/>
      <c r="I3" s="9"/>
    </row>
    <row r="4" spans="2:9" ht="12.75">
      <c r="B4" s="2"/>
      <c r="C4" s="54"/>
      <c r="D4" s="9"/>
      <c r="E4" s="9"/>
      <c r="F4" s="9"/>
      <c r="G4" s="9"/>
      <c r="H4" s="9"/>
      <c r="I4" s="9"/>
    </row>
    <row r="5" spans="2:9" ht="12.75">
      <c r="B5" s="9" t="s">
        <v>174</v>
      </c>
      <c r="C5" s="9" t="s">
        <v>19</v>
      </c>
      <c r="D5" s="9"/>
      <c r="E5" s="9">
        <v>2930</v>
      </c>
      <c r="F5" s="9">
        <v>2882</v>
      </c>
      <c r="G5" s="9">
        <v>2941</v>
      </c>
      <c r="H5" s="9">
        <v>2917.7</v>
      </c>
      <c r="I5" s="9"/>
    </row>
    <row r="6" spans="2:9" ht="12.75">
      <c r="B6" s="9" t="s">
        <v>141</v>
      </c>
      <c r="C6" s="9" t="s">
        <v>19</v>
      </c>
      <c r="D6" s="9"/>
      <c r="E6" s="9">
        <v>434.3</v>
      </c>
      <c r="F6" s="9">
        <v>434.6</v>
      </c>
      <c r="G6" s="9">
        <v>428.8</v>
      </c>
      <c r="H6" s="9">
        <v>432.6</v>
      </c>
      <c r="I6" s="9"/>
    </row>
    <row r="7" spans="2:10" ht="12.75">
      <c r="B7" s="9" t="s">
        <v>175</v>
      </c>
      <c r="C7" s="9" t="s">
        <v>125</v>
      </c>
      <c r="D7" s="9"/>
      <c r="E7" s="9">
        <v>4.47</v>
      </c>
      <c r="F7" s="9">
        <v>4.31</v>
      </c>
      <c r="G7" s="9">
        <v>4.37</v>
      </c>
      <c r="H7" s="9">
        <v>4.38</v>
      </c>
      <c r="I7" s="9"/>
      <c r="J7" s="32"/>
    </row>
    <row r="8" spans="2:9" ht="12.75">
      <c r="B8" s="9"/>
      <c r="C8" s="9"/>
      <c r="D8" s="9"/>
      <c r="E8" s="9"/>
      <c r="F8" s="9"/>
      <c r="G8" s="9"/>
      <c r="H8" s="9"/>
      <c r="I8" s="9"/>
    </row>
    <row r="9" spans="1:9" ht="12.75">
      <c r="A9" t="s">
        <v>58</v>
      </c>
      <c r="B9" s="2" t="s">
        <v>164</v>
      </c>
      <c r="C9" s="9"/>
      <c r="D9" s="9" t="s">
        <v>121</v>
      </c>
      <c r="E9" s="9"/>
      <c r="F9" s="9"/>
      <c r="G9" s="9"/>
      <c r="H9" s="9"/>
      <c r="I9" s="9"/>
    </row>
    <row r="10" spans="2:9" ht="12.75">
      <c r="B10" s="2"/>
      <c r="C10" s="54"/>
      <c r="D10" s="9"/>
      <c r="E10" s="9"/>
      <c r="F10" s="9"/>
      <c r="G10" s="9"/>
      <c r="H10" s="9"/>
      <c r="I10" s="9"/>
    </row>
    <row r="11" spans="2:9" ht="12.75">
      <c r="B11" s="9" t="s">
        <v>179</v>
      </c>
      <c r="C11" s="9" t="s">
        <v>19</v>
      </c>
      <c r="D11" s="9"/>
      <c r="E11" s="9">
        <v>1615</v>
      </c>
      <c r="F11" s="9">
        <v>1559</v>
      </c>
      <c r="G11" s="9">
        <v>1656</v>
      </c>
      <c r="H11" s="26">
        <f>AVERAGE(E11:G11)</f>
        <v>1610</v>
      </c>
      <c r="I11" s="9"/>
    </row>
    <row r="12" spans="2:9" ht="12.75">
      <c r="B12" s="9" t="s">
        <v>173</v>
      </c>
      <c r="C12" s="9" t="s">
        <v>19</v>
      </c>
      <c r="D12" s="9"/>
      <c r="E12" s="9">
        <v>1086</v>
      </c>
      <c r="F12" s="9">
        <v>1079</v>
      </c>
      <c r="G12" s="9">
        <v>1067</v>
      </c>
      <c r="H12" s="9">
        <v>1077</v>
      </c>
      <c r="I12" s="9"/>
    </row>
    <row r="13" spans="2:9" ht="12.75">
      <c r="B13" s="9" t="s">
        <v>176</v>
      </c>
      <c r="C13" s="9" t="s">
        <v>19</v>
      </c>
      <c r="D13" s="9"/>
      <c r="E13" s="9">
        <v>481</v>
      </c>
      <c r="F13" s="9">
        <v>474</v>
      </c>
      <c r="G13" s="9">
        <v>481</v>
      </c>
      <c r="H13" s="26">
        <f>AVERAGE(E13:G13)</f>
        <v>478.6666666666667</v>
      </c>
      <c r="I13" s="9"/>
    </row>
    <row r="14" spans="2:9" ht="12.75">
      <c r="B14" s="9" t="s">
        <v>141</v>
      </c>
      <c r="C14" s="9" t="s">
        <v>19</v>
      </c>
      <c r="D14" s="9"/>
      <c r="E14" s="9">
        <v>436</v>
      </c>
      <c r="F14" s="9">
        <v>437</v>
      </c>
      <c r="G14" s="9">
        <v>438</v>
      </c>
      <c r="H14" s="9">
        <v>437</v>
      </c>
      <c r="I14" s="9"/>
    </row>
    <row r="15" spans="2:9" ht="12.75">
      <c r="B15" s="9" t="s">
        <v>151</v>
      </c>
      <c r="C15" s="9" t="s">
        <v>125</v>
      </c>
      <c r="D15" s="9"/>
      <c r="E15" s="9"/>
      <c r="F15" s="9"/>
      <c r="G15" s="9"/>
      <c r="H15" s="9">
        <v>-4.37</v>
      </c>
      <c r="I15" s="9"/>
    </row>
    <row r="16" spans="2:9" ht="12.75">
      <c r="B16" s="9"/>
      <c r="C16" s="9"/>
      <c r="D16" s="9"/>
      <c r="E16" s="9"/>
      <c r="F16" s="9"/>
      <c r="G16" s="9"/>
      <c r="H16" s="9"/>
      <c r="I16" s="9"/>
    </row>
    <row r="17" spans="1:9" ht="12.75">
      <c r="A17" t="s">
        <v>58</v>
      </c>
      <c r="B17" s="2" t="s">
        <v>163</v>
      </c>
      <c r="C17" s="9"/>
      <c r="D17" s="9" t="s">
        <v>121</v>
      </c>
      <c r="E17" s="9"/>
      <c r="F17" s="9"/>
      <c r="G17" s="9"/>
      <c r="H17" s="9"/>
      <c r="I17" s="9"/>
    </row>
    <row r="18" spans="2:9" ht="12.75">
      <c r="B18" s="2"/>
      <c r="C18" s="54"/>
      <c r="D18" s="9"/>
      <c r="E18" s="9"/>
      <c r="F18" s="9"/>
      <c r="G18" s="9"/>
      <c r="H18" s="9"/>
      <c r="I18" s="9"/>
    </row>
    <row r="19" spans="2:9" ht="12.75">
      <c r="B19" s="9" t="s">
        <v>178</v>
      </c>
      <c r="C19" s="9" t="s">
        <v>19</v>
      </c>
      <c r="D19" s="9"/>
      <c r="E19" s="9">
        <v>1976</v>
      </c>
      <c r="F19" s="9">
        <v>1982</v>
      </c>
      <c r="G19" s="9">
        <v>1980</v>
      </c>
      <c r="H19" s="9">
        <v>1980</v>
      </c>
      <c r="I19" s="9"/>
    </row>
    <row r="20" spans="2:9" ht="12.75">
      <c r="B20" t="s">
        <v>177</v>
      </c>
      <c r="C20" s="9" t="s">
        <v>19</v>
      </c>
      <c r="E20">
        <v>973</v>
      </c>
      <c r="F20">
        <v>892</v>
      </c>
      <c r="G20">
        <v>929</v>
      </c>
      <c r="H20">
        <v>931</v>
      </c>
      <c r="I20" s="9"/>
    </row>
    <row r="21" spans="2:9" ht="12.75">
      <c r="B21" t="s">
        <v>176</v>
      </c>
      <c r="C21" s="9" t="s">
        <v>19</v>
      </c>
      <c r="E21">
        <v>385</v>
      </c>
      <c r="F21">
        <v>364</v>
      </c>
      <c r="G21">
        <v>368</v>
      </c>
      <c r="H21" s="26">
        <f>AVERAGE(E21:G21)</f>
        <v>372.3333333333333</v>
      </c>
      <c r="I21" s="9"/>
    </row>
    <row r="22" spans="2:9" ht="12.75">
      <c r="B22" s="9" t="s">
        <v>159</v>
      </c>
      <c r="C22" s="9" t="s">
        <v>19</v>
      </c>
      <c r="D22" s="9"/>
      <c r="E22" s="9">
        <v>354</v>
      </c>
      <c r="F22" s="9">
        <v>353</v>
      </c>
      <c r="G22" s="9">
        <v>352</v>
      </c>
      <c r="H22" s="9">
        <v>353</v>
      </c>
      <c r="I22" s="9"/>
    </row>
    <row r="23" spans="2:9" ht="12.75">
      <c r="B23" s="9" t="s">
        <v>151</v>
      </c>
      <c r="C23" s="9" t="s">
        <v>125</v>
      </c>
      <c r="D23" s="9"/>
      <c r="E23" s="9"/>
      <c r="F23" s="9"/>
      <c r="G23" s="9"/>
      <c r="H23" s="9">
        <v>-4.24</v>
      </c>
      <c r="I23" s="9"/>
    </row>
    <row r="24" spans="2:9" ht="12.75">
      <c r="B24" s="2"/>
      <c r="C24" s="54"/>
      <c r="D24" s="9"/>
      <c r="E24" s="9"/>
      <c r="F24" s="9"/>
      <c r="G24" s="9"/>
      <c r="H24" s="9"/>
      <c r="I24" s="9"/>
    </row>
    <row r="25" spans="2:8" ht="12.75">
      <c r="B25" s="9"/>
      <c r="C25" s="9"/>
      <c r="D25" s="9"/>
      <c r="E25" s="9"/>
      <c r="F25" s="9"/>
      <c r="G25" s="9"/>
      <c r="H25" s="9"/>
    </row>
    <row r="26" spans="2:8" ht="12.75">
      <c r="B26" s="9"/>
      <c r="C26" s="9"/>
      <c r="D26" s="9"/>
      <c r="E26" s="9"/>
      <c r="F26" s="9"/>
      <c r="G26" s="9"/>
      <c r="H26" s="9"/>
    </row>
    <row r="27" spans="2:8" ht="12.75">
      <c r="B27" s="9"/>
      <c r="C27" s="9"/>
      <c r="D27" s="9"/>
      <c r="E27" s="9"/>
      <c r="F27" s="9"/>
      <c r="G27" s="9"/>
      <c r="H27" s="9"/>
    </row>
    <row r="28" spans="2:8" ht="12.75">
      <c r="B28" s="9"/>
      <c r="C28" s="9"/>
      <c r="D28" s="9"/>
      <c r="E28" s="9"/>
      <c r="F28" s="9"/>
      <c r="G28" s="9"/>
      <c r="H28" s="9"/>
    </row>
    <row r="29" spans="2:8" ht="14.25">
      <c r="B29" s="9"/>
      <c r="C29" s="9"/>
      <c r="D29" s="3"/>
      <c r="E29" s="3"/>
      <c r="F29" s="3"/>
      <c r="G29" s="3"/>
      <c r="H29" s="9"/>
    </row>
    <row r="30" spans="2:8" ht="14.25">
      <c r="B30" s="9"/>
      <c r="C30" s="9"/>
      <c r="D30" s="3"/>
      <c r="E30" s="3"/>
      <c r="F30" s="3"/>
      <c r="G30" s="3"/>
      <c r="H30" s="9"/>
    </row>
    <row r="32" spans="2:8" ht="12.75">
      <c r="B32" s="2"/>
      <c r="C32" s="9"/>
      <c r="D32" s="9"/>
      <c r="E32" s="9"/>
      <c r="F32" s="9"/>
      <c r="G32" s="9"/>
      <c r="H32" s="9"/>
    </row>
    <row r="33" spans="2:8" ht="12.75">
      <c r="B33" s="2"/>
      <c r="C33" s="54"/>
      <c r="D33" s="9"/>
      <c r="E33" s="9"/>
      <c r="F33" s="9"/>
      <c r="G33" s="9"/>
      <c r="H33" s="9"/>
    </row>
    <row r="34" spans="2:8" ht="12.75">
      <c r="B34" s="9"/>
      <c r="C34" s="9"/>
      <c r="D34" s="9"/>
      <c r="E34" s="9"/>
      <c r="F34" s="9"/>
      <c r="G34" s="9"/>
      <c r="H34" s="9"/>
    </row>
    <row r="35" spans="2:8" ht="12.75">
      <c r="B35" s="9"/>
      <c r="C35" s="9"/>
      <c r="D35" s="9"/>
      <c r="E35" s="9"/>
      <c r="F35" s="9"/>
      <c r="G35" s="9"/>
      <c r="H35" s="9"/>
    </row>
    <row r="36" spans="2:8" ht="12.75">
      <c r="B36" s="9"/>
      <c r="C36" s="9"/>
      <c r="D36" s="9"/>
      <c r="E36" s="9"/>
      <c r="F36" s="9"/>
      <c r="G36" s="9"/>
      <c r="H36" s="9"/>
    </row>
    <row r="37" spans="2:8" ht="12.75">
      <c r="B37" s="9"/>
      <c r="C37" s="9"/>
      <c r="D37" s="9"/>
      <c r="E37" s="9"/>
      <c r="F37" s="9"/>
      <c r="G37" s="9"/>
      <c r="H37" s="9"/>
    </row>
    <row r="38" spans="2:8" ht="14.25">
      <c r="B38" s="9"/>
      <c r="C38" s="9"/>
      <c r="D38" s="3"/>
      <c r="E38" s="3"/>
      <c r="F38" s="3"/>
      <c r="G38" s="3"/>
      <c r="H38" s="9"/>
    </row>
    <row r="41" spans="2:8" ht="12.75">
      <c r="B41" s="2"/>
      <c r="C41" s="9"/>
      <c r="D41" s="9"/>
      <c r="E41" s="9"/>
      <c r="F41" s="9"/>
      <c r="G41" s="9"/>
      <c r="H41" s="9"/>
    </row>
    <row r="42" spans="2:8" ht="12.75">
      <c r="B42" s="2"/>
      <c r="C42" s="54"/>
      <c r="D42" s="9"/>
      <c r="E42" s="9"/>
      <c r="F42" s="9"/>
      <c r="G42" s="9"/>
      <c r="H42" s="9"/>
    </row>
    <row r="43" spans="2:8" ht="12.75">
      <c r="B43" s="9"/>
      <c r="C43" s="9"/>
      <c r="D43" s="9"/>
      <c r="E43" s="9"/>
      <c r="F43" s="9"/>
      <c r="G43" s="9"/>
      <c r="H43" s="9"/>
    </row>
    <row r="44" spans="2:8" ht="12.75">
      <c r="B44" s="9"/>
      <c r="C44" s="9"/>
      <c r="D44" s="9"/>
      <c r="E44" s="9"/>
      <c r="F44" s="9"/>
      <c r="G44" s="9"/>
      <c r="H44" s="9"/>
    </row>
    <row r="45" spans="2:8" ht="12.75">
      <c r="B45" s="9"/>
      <c r="C45" s="9"/>
      <c r="D45" s="9"/>
      <c r="E45" s="9"/>
      <c r="F45" s="9"/>
      <c r="G45" s="9"/>
      <c r="H45" s="9"/>
    </row>
    <row r="46" spans="2:8" ht="12.75">
      <c r="B46" s="9"/>
      <c r="C46" s="9"/>
      <c r="D46" s="9"/>
      <c r="E46" s="9"/>
      <c r="F46" s="9"/>
      <c r="G46" s="9"/>
      <c r="H46" s="9"/>
    </row>
    <row r="47" spans="2:8" ht="14.25">
      <c r="B47" s="9"/>
      <c r="C47" s="9"/>
      <c r="D47" s="3"/>
      <c r="E47" s="3"/>
      <c r="F47" s="3"/>
      <c r="G47" s="3"/>
      <c r="H47" s="9"/>
    </row>
    <row r="50" spans="2:8" ht="12.75">
      <c r="B50" s="2"/>
      <c r="C50" s="9"/>
      <c r="D50" s="9"/>
      <c r="E50" s="9"/>
      <c r="F50" s="9"/>
      <c r="G50" s="9"/>
      <c r="H50" s="9"/>
    </row>
    <row r="51" spans="2:8" ht="12.75">
      <c r="B51" s="2"/>
      <c r="C51" s="54"/>
      <c r="D51" s="9"/>
      <c r="E51" s="9"/>
      <c r="F51" s="9"/>
      <c r="G51" s="9"/>
      <c r="H51" s="9"/>
    </row>
    <row r="52" spans="2:8" ht="12.75">
      <c r="B52" s="9"/>
      <c r="C52" s="9"/>
      <c r="D52" s="9"/>
      <c r="E52" s="9"/>
      <c r="F52" s="9"/>
      <c r="G52" s="9"/>
      <c r="H52" s="9"/>
    </row>
    <row r="53" spans="2:8" ht="12.75">
      <c r="B53" s="9"/>
      <c r="C53" s="9"/>
      <c r="D53" s="9"/>
      <c r="E53" s="9"/>
      <c r="F53" s="9"/>
      <c r="G53" s="9"/>
      <c r="H53" s="9"/>
    </row>
    <row r="54" spans="2:8" ht="12.75">
      <c r="B54" s="9"/>
      <c r="C54" s="9"/>
      <c r="D54" s="9"/>
      <c r="E54" s="9"/>
      <c r="F54" s="9"/>
      <c r="G54" s="9"/>
      <c r="H54" s="9"/>
    </row>
    <row r="55" spans="2:8" ht="12.75">
      <c r="B55" s="9"/>
      <c r="C55" s="9"/>
      <c r="D55" s="9"/>
      <c r="E55" s="9"/>
      <c r="F55" s="9"/>
      <c r="G55" s="9"/>
      <c r="H55" s="9"/>
    </row>
    <row r="56" spans="2:8" ht="14.25">
      <c r="B56" s="9"/>
      <c r="C56" s="9"/>
      <c r="D56" s="3"/>
      <c r="E56" s="3"/>
      <c r="F56" s="3"/>
      <c r="G56" s="3"/>
      <c r="H56" s="9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7"/>
  <sheetViews>
    <sheetView workbookViewId="0" topLeftCell="C1">
      <selection activeCell="B34" sqref="A34:IV473"/>
    </sheetView>
  </sheetViews>
  <sheetFormatPr defaultColWidth="9.140625" defaultRowHeight="12.75"/>
  <cols>
    <col min="1" max="1" width="9.140625" style="0" hidden="1" customWidth="1"/>
    <col min="2" max="2" width="0" style="0" hidden="1" customWidth="1"/>
    <col min="3" max="3" width="24.57421875" style="0" customWidth="1"/>
    <col min="4" max="4" width="7.421875" style="0" customWidth="1"/>
  </cols>
  <sheetData>
    <row r="1" ht="12.75">
      <c r="C1" s="2" t="s">
        <v>215</v>
      </c>
    </row>
    <row r="3" spans="3:7" ht="12.75">
      <c r="C3" s="13" t="s">
        <v>187</v>
      </c>
      <c r="E3" s="86" t="s">
        <v>170</v>
      </c>
      <c r="F3" s="86" t="s">
        <v>171</v>
      </c>
      <c r="G3" s="86" t="s">
        <v>172</v>
      </c>
    </row>
    <row r="5" spans="1:31" s="82" customFormat="1" ht="12.75">
      <c r="A5" s="82" t="s">
        <v>187</v>
      </c>
      <c r="B5" s="82" t="s">
        <v>209</v>
      </c>
      <c r="C5" s="82" t="s">
        <v>210</v>
      </c>
      <c r="D5" s="82" t="s">
        <v>211</v>
      </c>
      <c r="E5" s="80">
        <v>2490</v>
      </c>
      <c r="F5" s="80">
        <v>2403</v>
      </c>
      <c r="G5" s="80">
        <v>2613</v>
      </c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</row>
    <row r="6" spans="1:22" s="82" customFormat="1" ht="12.75">
      <c r="A6" s="82" t="s">
        <v>187</v>
      </c>
      <c r="B6" s="82" t="s">
        <v>209</v>
      </c>
      <c r="C6" s="82" t="s">
        <v>213</v>
      </c>
      <c r="D6" s="82" t="s">
        <v>211</v>
      </c>
      <c r="E6" s="80">
        <v>405</v>
      </c>
      <c r="F6" s="80">
        <v>411</v>
      </c>
      <c r="G6" s="80">
        <v>407</v>
      </c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spans="1:23" s="82" customFormat="1" ht="12.75">
      <c r="A7" s="82" t="s">
        <v>187</v>
      </c>
      <c r="B7" s="82" t="s">
        <v>209</v>
      </c>
      <c r="C7" s="82" t="s">
        <v>214</v>
      </c>
      <c r="D7" s="82" t="s">
        <v>212</v>
      </c>
      <c r="E7" s="80">
        <v>4.9</v>
      </c>
      <c r="F7" s="80">
        <v>5.89</v>
      </c>
      <c r="G7" s="80">
        <v>7.3</v>
      </c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2004-02-25T18:44:15Z</cp:lastPrinted>
  <dcterms:created xsi:type="dcterms:W3CDTF">2000-01-10T00:44:42Z</dcterms:created>
  <dcterms:modified xsi:type="dcterms:W3CDTF">2004-02-25T18:44:44Z</dcterms:modified>
  <cp:category/>
  <cp:version/>
  <cp:contentType/>
  <cp:contentStatus/>
</cp:coreProperties>
</file>