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640" tabRatio="647" activeTab="0"/>
  </bookViews>
  <sheets>
    <sheet name="Summary" sheetId="1" r:id="rId1"/>
    <sheet name="Instrument" sheetId="2" r:id="rId2"/>
    <sheet name="Spacecraft" sheetId="3" r:id="rId3"/>
    <sheet name="moments" sheetId="4" r:id="rId4"/>
    <sheet name="OB-BFL ws" sheetId="5" state="hidden" r:id="rId5"/>
    <sheet name="FWheel ws " sheetId="6" state="hidden" r:id="rId6"/>
    <sheet name="SBA mass ws" sheetId="7" state="hidden" r:id="rId7"/>
    <sheet name="SBA power " sheetId="8" state="hidden" r:id="rId8"/>
  </sheets>
  <definedNames>
    <definedName name="_xlnm.Print_Area" localSheetId="0">'Summary'!$A$1:$I$57</definedName>
  </definedNames>
  <calcPr fullCalcOnLoad="1"/>
</workbook>
</file>

<file path=xl/comments7.xml><?xml version="1.0" encoding="utf-8"?>
<comments xmlns="http://schemas.openxmlformats.org/spreadsheetml/2006/main">
  <authors>
    <author>lmgullo</author>
  </authors>
  <commentList>
    <comment ref="B1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this includes: 3 latch valves, 2 fill/drain Valves, 3 fiters, 2 pressure transducers</t>
        </r>
      </text>
    </comment>
    <comment ref="C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includes redundant components</t>
        </r>
      </text>
    </comment>
    <comment ref="D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required</t>
        </r>
      </text>
    </comment>
    <comment ref="B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based on Hessi heritage</t>
        </r>
      </text>
    </comment>
    <comment ref="B7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RWA15
</t>
        </r>
      </text>
    </comment>
    <comment ref="B9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One roll and one cross axis star tracker
</t>
        </r>
      </text>
    </comment>
    <comment ref="B38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32 Gbyte next generation SEAKR
</t>
        </r>
      </text>
    </comment>
  </commentList>
</comments>
</file>

<file path=xl/comments8.xml><?xml version="1.0" encoding="utf-8"?>
<comments xmlns="http://schemas.openxmlformats.org/spreadsheetml/2006/main">
  <authors>
    <author>lmgullo</author>
  </authors>
  <commentList>
    <comment ref="B39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not sure what this is.</t>
        </r>
      </text>
    </comment>
    <comment ref="B7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The assumption is that there are four, RWA 15's per subcontractor information.</t>
        </r>
      </text>
    </comment>
    <comment ref="B8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quantity of one gyro</t>
        </r>
      </text>
    </comment>
    <comment ref="B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the beginning power supply will be 209 and at the end of the mission we should be at 170 per the proposal.</t>
        </r>
      </text>
    </comment>
    <comment ref="D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mission is five years</t>
        </r>
      </text>
    </comment>
    <comment ref="E2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mission is five years, assumes 2-3% degradation per year.
</t>
        </r>
      </text>
    </comment>
    <comment ref="D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power supply with zero margin</t>
        </r>
      </text>
    </comment>
    <comment ref="E35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assumes 2-3% degration per year</t>
        </r>
      </text>
    </comment>
    <comment ref="B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28 volt battery operating at 21 amp hours</t>
        </r>
      </text>
    </comment>
    <comment ref="D34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minimum power supply that we need with zero margin</t>
        </r>
      </text>
    </comment>
    <comment ref="B36" authorId="0">
      <text>
        <r>
          <rPr>
            <b/>
            <sz val="8"/>
            <rFont val="Tahoma"/>
            <family val="0"/>
          </rPr>
          <t>lmgullo:</t>
        </r>
        <r>
          <rPr>
            <sz val="8"/>
            <rFont val="Tahoma"/>
            <family val="0"/>
          </rPr>
          <t xml:space="preserve">
32 Gbyte next generation SEAKR </t>
        </r>
      </text>
    </comment>
  </commentList>
</comments>
</file>

<file path=xl/sharedStrings.xml><?xml version="1.0" encoding="utf-8"?>
<sst xmlns="http://schemas.openxmlformats.org/spreadsheetml/2006/main" count="665" uniqueCount="451">
  <si>
    <t>Optical Bench</t>
  </si>
  <si>
    <t>Secondary Metering Structure</t>
  </si>
  <si>
    <t>Tertiary Metering Structure</t>
  </si>
  <si>
    <t>MLI</t>
  </si>
  <si>
    <t>Spacecraft Bus Assembly</t>
  </si>
  <si>
    <t>Baffle Upper</t>
  </si>
  <si>
    <t xml:space="preserve">Solar Array Support Structure </t>
  </si>
  <si>
    <t>Array Substrates &amp; Mounts</t>
  </si>
  <si>
    <t>Composite Shear Assembly</t>
  </si>
  <si>
    <t>Truss Assembly</t>
  </si>
  <si>
    <t>Mounts and Fittings</t>
  </si>
  <si>
    <t>Fasteners</t>
  </si>
  <si>
    <t>Primary Structure</t>
  </si>
  <si>
    <t>OTA Kinematic Mount</t>
  </si>
  <si>
    <t>Command and Data Handling</t>
  </si>
  <si>
    <t>SCU - Spacecraft Control Unit</t>
  </si>
  <si>
    <t>Electrical Power Systems</t>
  </si>
  <si>
    <t>Battery</t>
  </si>
  <si>
    <t>Solar Panels</t>
  </si>
  <si>
    <t>PCU - Power Control Unit</t>
  </si>
  <si>
    <t>Spacecraft Harness</t>
  </si>
  <si>
    <t>Attitude Control System</t>
  </si>
  <si>
    <t xml:space="preserve">ACS DPU </t>
  </si>
  <si>
    <t>Reaction Wheel Assembly</t>
  </si>
  <si>
    <t>Transponder</t>
  </si>
  <si>
    <t xml:space="preserve">LGA - Low Gain Antennas </t>
  </si>
  <si>
    <t>HGA - High Gain Antennas</t>
  </si>
  <si>
    <t>RF Cabling</t>
  </si>
  <si>
    <t>Gyro</t>
  </si>
  <si>
    <t>Star Cameras/Trackers</t>
  </si>
  <si>
    <t>Sun Position Sensors</t>
  </si>
  <si>
    <t>Main Engine - 5 lbf</t>
  </si>
  <si>
    <t>Attitude Engine - .2lbs</t>
  </si>
  <si>
    <t>Valve and Plumbing Package</t>
  </si>
  <si>
    <t>Tank</t>
  </si>
  <si>
    <t>Thermal Control System</t>
  </si>
  <si>
    <t>Temperature Sensors</t>
  </si>
  <si>
    <t>MLI - Multilayer Insulation Assembly Blanket</t>
  </si>
  <si>
    <t>Sun Position Monitors</t>
  </si>
  <si>
    <t>Subtotal</t>
  </si>
  <si>
    <t xml:space="preserve">SIRU - Solar Interface Remote Unit </t>
  </si>
  <si>
    <t>Propellant</t>
  </si>
  <si>
    <t>Valves and Plumbing Package</t>
  </si>
  <si>
    <t>Power Supply</t>
  </si>
  <si>
    <t xml:space="preserve">Primary Structure </t>
  </si>
  <si>
    <t>Communications</t>
  </si>
  <si>
    <t>Mechanical Systems</t>
  </si>
  <si>
    <t>Propulsion System</t>
  </si>
  <si>
    <t>Total Dry Mass</t>
  </si>
  <si>
    <t>Station Keeping</t>
  </si>
  <si>
    <t>Orbit Change</t>
  </si>
  <si>
    <t>Total Wet Mass</t>
  </si>
  <si>
    <t>Heaters</t>
  </si>
  <si>
    <t>Radiators</t>
  </si>
  <si>
    <t>Quantity</t>
  </si>
  <si>
    <t xml:space="preserve">Quantity </t>
  </si>
  <si>
    <t>Minimum</t>
  </si>
  <si>
    <t>Latch Valves</t>
  </si>
  <si>
    <t>Fill/Drain Valves</t>
  </si>
  <si>
    <t>Filters</t>
  </si>
  <si>
    <t>Pressure Transducers</t>
  </si>
  <si>
    <t xml:space="preserve">Mechanical Systems </t>
  </si>
  <si>
    <t>LGA - Low Gain Antennas</t>
  </si>
  <si>
    <t>TWTA - Traveling Wave Tube Amplifier</t>
  </si>
  <si>
    <t>Total CBE (kg)</t>
  </si>
  <si>
    <t xml:space="preserve">Unit </t>
  </si>
  <si>
    <t>Thermal Bus</t>
  </si>
  <si>
    <t>W (cm)</t>
  </si>
  <si>
    <t>H (cm)</t>
  </si>
  <si>
    <t>Mass (kg)</t>
  </si>
  <si>
    <t>Filter Wheel Worksheet</t>
  </si>
  <si>
    <t xml:space="preserve">Triple filter stack </t>
  </si>
  <si>
    <t>Volume cm3</t>
  </si>
  <si>
    <t>Material Density gm/cm3</t>
  </si>
  <si>
    <t>R (cm)</t>
  </si>
  <si>
    <t>T (cm)</t>
  </si>
  <si>
    <t>shutter assembly</t>
  </si>
  <si>
    <t>Total Volume cm3</t>
  </si>
  <si>
    <t>Optical Bench Assembly</t>
  </si>
  <si>
    <t>D (cm)</t>
  </si>
  <si>
    <t>BEG MIN</t>
  </si>
  <si>
    <t>END MIN</t>
  </si>
  <si>
    <t>T MAX</t>
  </si>
  <si>
    <t>T MIN</t>
  </si>
  <si>
    <t>QTY</t>
  </si>
  <si>
    <t>Peak (w)</t>
  </si>
  <si>
    <t>Total (w)</t>
  </si>
  <si>
    <t xml:space="preserve"> </t>
  </si>
  <si>
    <t>Optical bench may be made out of hexcel, graphite epoxy, and aluminum honeycomb</t>
  </si>
  <si>
    <t>Metering structure may be hexapod</t>
  </si>
  <si>
    <t>3 filter wheels</t>
  </si>
  <si>
    <t>each filter wheel is powered by a motor</t>
  </si>
  <si>
    <t>duty cycle = 10 seconds / 3600 seconds</t>
  </si>
  <si>
    <t>or possible 15 seconds / 3600 seconds</t>
  </si>
  <si>
    <t>motors are space grade vacuum motors; series 25, p/n VSS25-200-1-2</t>
  </si>
  <si>
    <t>I = .6</t>
  </si>
  <si>
    <t>R = 3.25</t>
  </si>
  <si>
    <t>V = 1.95</t>
  </si>
  <si>
    <t>P = 1.17 watts</t>
  </si>
  <si>
    <t>P  ~ 1.2 watts</t>
  </si>
  <si>
    <t>2 windings per phase angle</t>
  </si>
  <si>
    <t>Peak Power ~ 2.4 watts</t>
  </si>
  <si>
    <t xml:space="preserve">Peak Power X 3 = 7.2 watts </t>
  </si>
  <si>
    <t>Eric ponslet assumes the optical bench is 88 kg.  however, the range is of data is from 50 kg -150 kg</t>
  </si>
  <si>
    <t>Filter Wheel Assumptions:</t>
  </si>
  <si>
    <t>Shutter Assumptions:</t>
  </si>
  <si>
    <t>open for 1 second</t>
  </si>
  <si>
    <t>closed for 1 second</t>
  </si>
  <si>
    <t>2 seconds of operation per 10 minutes</t>
  </si>
  <si>
    <t>Mass</t>
  </si>
  <si>
    <t>Power Consumption</t>
  </si>
  <si>
    <t>Power Dissipation</t>
  </si>
  <si>
    <t>Margin</t>
  </si>
  <si>
    <t>Total</t>
  </si>
  <si>
    <t>Solid State Recorder</t>
  </si>
  <si>
    <t>Sun Shield</t>
  </si>
  <si>
    <t>Thermal Propertires</t>
  </si>
  <si>
    <t>Payload Attach Fitting</t>
  </si>
  <si>
    <t>Shutter Assembly</t>
  </si>
  <si>
    <t>Packaged CCD's (each)</t>
  </si>
  <si>
    <t>Packaged HgCdTe's (each)</t>
  </si>
  <si>
    <t>Packaged Guider CCDs (each)</t>
  </si>
  <si>
    <t xml:space="preserve">Focal plane (FIDO) assembly </t>
  </si>
  <si>
    <t>Thermal Surface Treatments</t>
  </si>
  <si>
    <t>Thermal Mount / Isolation Hardware</t>
  </si>
  <si>
    <t>Active Thermal Control Hardware</t>
  </si>
  <si>
    <t>CCD Servicing Electronics</t>
  </si>
  <si>
    <t>HgCdTe Servicing Electronics</t>
  </si>
  <si>
    <t>Spectrometer Servicing Electronics</t>
  </si>
  <si>
    <t>Instrument Passive RADIATOR</t>
  </si>
  <si>
    <t>Harnessing to SC Bus</t>
  </si>
  <si>
    <t>CBE Total (kg)</t>
  </si>
  <si>
    <t>CCD Cold Plate Rear Electronics</t>
  </si>
  <si>
    <t>HgCdTe Cold Plate Rear Electronics</t>
  </si>
  <si>
    <t>COMMENTS</t>
  </si>
  <si>
    <t>Packaged Spectrometer (cold)</t>
  </si>
  <si>
    <t>Guider Servicing Electronics</t>
  </si>
  <si>
    <t>status of current design</t>
  </si>
  <si>
    <t>MASS (kg)</t>
  </si>
  <si>
    <r>
      <t>Radiator (6mm Al avg x 2m</t>
    </r>
    <r>
      <rPr>
        <vertAlign val="superscript"/>
        <sz val="7.5"/>
        <rFont val="Arial"/>
        <family val="2"/>
      </rPr>
      <t>2</t>
    </r>
    <r>
      <rPr>
        <sz val="10"/>
        <rFont val="Arial"/>
        <family val="0"/>
      </rPr>
      <t>)</t>
    </r>
  </si>
  <si>
    <t>as reqd</t>
  </si>
  <si>
    <t>Secondary Mirror</t>
  </si>
  <si>
    <t>Tertiary Mirror</t>
  </si>
  <si>
    <t>Mass (each)</t>
  </si>
  <si>
    <r>
      <t>Primary Mirror (0.38</t>
    </r>
    <r>
      <rPr>
        <sz val="7.5"/>
        <rFont val="Symbol"/>
        <family val="1"/>
      </rPr>
      <t>f</t>
    </r>
    <r>
      <rPr>
        <sz val="10"/>
        <rFont val="Arial"/>
        <family val="0"/>
      </rPr>
      <t xml:space="preserve"> hole)</t>
    </r>
  </si>
  <si>
    <t>Folding Flat (0.76 x 0.38 elipse)</t>
  </si>
  <si>
    <t>Thermal Surface Treatments (MLI)</t>
  </si>
  <si>
    <t>ROM Estimate</t>
  </si>
  <si>
    <t>PDR Level Design</t>
  </si>
  <si>
    <t>CDR Level Design</t>
  </si>
  <si>
    <t>Flown Hardware</t>
  </si>
  <si>
    <t>Detailed Design</t>
  </si>
  <si>
    <t>Spectrometer Thermal (MLI +)</t>
  </si>
  <si>
    <t>Hexapod Focus Mechansim</t>
  </si>
  <si>
    <t>Bipod Mounts to Optics Bench</t>
  </si>
  <si>
    <t>Fast Steering Mechanism</t>
  </si>
  <si>
    <t>% Ltwt</t>
  </si>
  <si>
    <t>Bolted Interfaces to Optic Bench</t>
  </si>
  <si>
    <t>Optics Lower "Coffin"</t>
  </si>
  <si>
    <t>Optics Bench Flat &amp; Curbs</t>
  </si>
  <si>
    <t>Optics Bench to Bus Mounting Strut pairs</t>
  </si>
  <si>
    <t>Thermal Straps to Cold Plate (AIRS)</t>
  </si>
  <si>
    <t>Secondary Mirror Housing &amp; Struts</t>
  </si>
  <si>
    <t>TMA-63 (composite) Telescope Structure</t>
  </si>
  <si>
    <t>Hexapod Focus Mechansim (OPTIONAL)</t>
  </si>
  <si>
    <t>Primary "Cold Stovepipe" Light Baffle</t>
  </si>
  <si>
    <t>Detailed Evaluation</t>
  </si>
  <si>
    <r>
      <t xml:space="preserve">Thermal Dewar &amp; Cosmic Ray Shield </t>
    </r>
  </si>
  <si>
    <r>
      <t>Conic Shield (0.01thk x 0.15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x 0.40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x 0.65 ht Al Cone)</t>
    </r>
  </si>
  <si>
    <t>Split (composite) Aperture Doors</t>
  </si>
  <si>
    <t>Primary (front) Solar Array</t>
  </si>
  <si>
    <t>Cooldown (rear) Solar Array</t>
  </si>
  <si>
    <r>
      <t xml:space="preserve">Cold Plate </t>
    </r>
    <r>
      <rPr>
        <sz val="10"/>
        <rFont val="Arial"/>
        <family val="2"/>
      </rPr>
      <t>(6 x 650 OD x 260 ID - moly)</t>
    </r>
  </si>
  <si>
    <t>Propulsion Hardware</t>
  </si>
  <si>
    <t>SNAP MISSSION SUMMARY</t>
  </si>
  <si>
    <t>Ball Aerospace BCP 2000</t>
  </si>
  <si>
    <t>Spectrum Astro - SA 200HP</t>
  </si>
  <si>
    <t>Orbital StarBus</t>
  </si>
  <si>
    <t>Lockheed Martin - LM 900</t>
  </si>
  <si>
    <t>Orbital - Midstar</t>
  </si>
  <si>
    <t>IMDC / RSDO Catalog Listings (dry)</t>
  </si>
  <si>
    <t>averages</t>
  </si>
  <si>
    <r>
      <t>TMA-63 Optics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(ULE &amp; t = D / 8)</t>
    </r>
  </si>
  <si>
    <t>Monohydrazine Fuel</t>
  </si>
  <si>
    <t>Bus mass</t>
  </si>
  <si>
    <t>Percent Reserve</t>
  </si>
  <si>
    <t>RESERVES PHILOSOPHY</t>
  </si>
  <si>
    <t>OTA Mounted Instrument Components</t>
  </si>
  <si>
    <t>Mass (total)</t>
  </si>
  <si>
    <t>Ribbed Composite Cover Halves</t>
  </si>
  <si>
    <t>Cover Hinge Mechanism</t>
  </si>
  <si>
    <t>Frangibolt Release Mechanisms</t>
  </si>
  <si>
    <t>size or area</t>
  </si>
  <si>
    <t>Instrument Front End electronics (WARM)</t>
  </si>
  <si>
    <t>Al Baffle Tube and Vane Assembly</t>
  </si>
  <si>
    <t>STRAY LIGHT BAFFLE Assembly</t>
  </si>
  <si>
    <t>template imported from HSIMAS06</t>
  </si>
  <si>
    <t>+X is CAMERA</t>
  </si>
  <si>
    <t>USER INPUTS in RUST</t>
  </si>
  <si>
    <t>user or calculated entries</t>
  </si>
  <si>
    <t>CALCULATED VALUES in BLACK</t>
  </si>
  <si>
    <r>
      <t xml:space="preserve">        (Mu / 12)* (v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+w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 kg m</t>
    </r>
    <r>
      <rPr>
        <vertAlign val="superscript"/>
        <sz val="7.5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…for box</t>
    </r>
  </si>
  <si>
    <t>Local 2nd Moments ..see formulas</t>
  </si>
  <si>
    <t xml:space="preserve">  Parallel Axis Moments</t>
  </si>
  <si>
    <t>2nd Moment @ ass'y CG</t>
  </si>
  <si>
    <r>
      <t>M* [(OD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+ID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)/16 +H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/12) kg m</t>
    </r>
    <r>
      <rPr>
        <vertAlign val="superscript"/>
        <sz val="7.5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…for tube</t>
    </r>
  </si>
  <si>
    <t>Shape</t>
  </si>
  <si>
    <t xml:space="preserve">    ITEM SIZE</t>
  </si>
  <si>
    <t>1st MASS MOMENTS</t>
  </si>
  <si>
    <t xml:space="preserve">  Ixx</t>
  </si>
  <si>
    <t xml:space="preserve">  Iyy</t>
  </si>
  <si>
    <t xml:space="preserve">  Izz</t>
  </si>
  <si>
    <t xml:space="preserve"> IXX@cg</t>
  </si>
  <si>
    <t xml:space="preserve"> IYY@cg</t>
  </si>
  <si>
    <t xml:space="preserve"> IZZ@cg</t>
  </si>
  <si>
    <t>Ixx+IXX</t>
  </si>
  <si>
    <t>Iyy+IYY</t>
  </si>
  <si>
    <t>Izz+IZZ</t>
  </si>
  <si>
    <t>reserve</t>
  </si>
  <si>
    <t xml:space="preserve">  X</t>
  </si>
  <si>
    <t xml:space="preserve">  Y</t>
  </si>
  <si>
    <t xml:space="preserve">  Z</t>
  </si>
  <si>
    <t>M*X</t>
  </si>
  <si>
    <t>M*Y</t>
  </si>
  <si>
    <t>M*Z</t>
  </si>
  <si>
    <r>
      <t>M (y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</si>
  <si>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</si>
  <si>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</si>
  <si>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</si>
  <si>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+Z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</si>
  <si>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r>
      <t>M (X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+Y</t>
    </r>
    <r>
      <rPr>
        <vertAlign val="super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</si>
  <si>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t xml:space="preserve">   (meters)</t>
  </si>
  <si>
    <t xml:space="preserve">      (kg meters)</t>
  </si>
  <si>
    <r>
      <t>(kg m</t>
    </r>
    <r>
      <rPr>
        <vertAlign val="superscript"/>
        <sz val="7.5"/>
        <color indexed="12"/>
        <rFont val="Arial"/>
        <family val="2"/>
      </rPr>
      <t>2</t>
    </r>
    <r>
      <rPr>
        <sz val="10"/>
        <color indexed="12"/>
        <rFont val="Arial"/>
        <family val="2"/>
      </rPr>
      <t>)</t>
    </r>
  </si>
  <si>
    <t>X tube</t>
  </si>
  <si>
    <t>box</t>
  </si>
  <si>
    <t>Z tube</t>
  </si>
  <si>
    <t>BUS Structure</t>
  </si>
  <si>
    <t>Avionics SUBTOTAL</t>
  </si>
  <si>
    <t>Uniform Density MISSION</t>
  </si>
  <si>
    <t xml:space="preserve">    ITEM CG LOCATION</t>
  </si>
  <si>
    <t>Cassegrain Guider Assembly</t>
  </si>
  <si>
    <t>This is provided mostly as a SANITY CHECK</t>
  </si>
  <si>
    <t>O.D. or (x side)</t>
  </si>
  <si>
    <t xml:space="preserve">  I.D. or (y side)</t>
  </si>
  <si>
    <t xml:space="preserve">  Ht or (z side)</t>
  </si>
  <si>
    <t xml:space="preserve">  Second Moments @ CG</t>
  </si>
  <si>
    <t xml:space="preserve"> First Moment SUMS</t>
  </si>
  <si>
    <t xml:space="preserve">   C.G. coords (XYZ)</t>
  </si>
  <si>
    <t>allowed Science Mass</t>
  </si>
  <si>
    <t>STAR 24 - 285 lbsec impulse &amp; 40 lb dead weight</t>
  </si>
  <si>
    <t>consider two star 17As, still in production</t>
  </si>
  <si>
    <t>Drawn by:</t>
  </si>
  <si>
    <t>Heetderks</t>
  </si>
  <si>
    <t>Cognizant Engineer:</t>
  </si>
  <si>
    <t>Pankow</t>
  </si>
  <si>
    <t>Date:</t>
  </si>
  <si>
    <t>2003-07-29</t>
  </si>
  <si>
    <t>Revision History:</t>
  </si>
  <si>
    <t>Rev</t>
  </si>
  <si>
    <t>Sys</t>
  </si>
  <si>
    <t xml:space="preserve">Rev </t>
  </si>
  <si>
    <t>Description</t>
  </si>
  <si>
    <t>By</t>
  </si>
  <si>
    <t>Check</t>
  </si>
  <si>
    <t>Engr</t>
  </si>
  <si>
    <t>M.A.</t>
  </si>
  <si>
    <t>C.M</t>
  </si>
  <si>
    <t>Date</t>
  </si>
  <si>
    <t>A</t>
  </si>
  <si>
    <t>dhp</t>
  </si>
  <si>
    <t>hdh</t>
  </si>
  <si>
    <t>SNAP Mass Properties Tracking Spreadsheet</t>
  </si>
  <si>
    <t>Developed from D. Pankow's BSCW Mass/Power Spreadsheet  (removed power information)</t>
  </si>
  <si>
    <t>Instrument Memory Unit</t>
  </si>
  <si>
    <t>S/C Mounted Instrument Components</t>
  </si>
  <si>
    <t>Observatory Control Unit</t>
  </si>
  <si>
    <t>Filter Wheel Assembly</t>
  </si>
  <si>
    <t>B</t>
  </si>
  <si>
    <t>Updates in Science electronics and harness mass</t>
  </si>
  <si>
    <t>2003-09-12</t>
  </si>
  <si>
    <t>Instrument Control Unit</t>
  </si>
  <si>
    <t xml:space="preserve">Focal plane assembly  (cold) </t>
  </si>
  <si>
    <t>Packaged Spectrograph (cold)</t>
  </si>
  <si>
    <t>Non-Focal Plane Instrument Electronics</t>
  </si>
  <si>
    <t>Instrument Harness</t>
  </si>
  <si>
    <t>Optics Bench to Instrument Deck Bipods</t>
  </si>
  <si>
    <t>Sec Mirror Strong Back</t>
  </si>
  <si>
    <t>Power Harness Assembly</t>
  </si>
  <si>
    <t>35W TWTA</t>
  </si>
  <si>
    <t>Comm System Harness</t>
  </si>
  <si>
    <t>CT-602 Star Tracker</t>
  </si>
  <si>
    <t>Qty</t>
  </si>
  <si>
    <t>IMDC</t>
  </si>
  <si>
    <t>ACS / Propulsion Controller Assembly</t>
  </si>
  <si>
    <t>Battery Assembly</t>
  </si>
  <si>
    <t>C&amp;DH Assembly</t>
  </si>
  <si>
    <t>Ka Band Transmitter Assembly</t>
  </si>
  <si>
    <t>High Gain Antenna and Mounting Assembly</t>
  </si>
  <si>
    <t>ACS Harness Assembly</t>
  </si>
  <si>
    <t>Test Connector Panel Assembly</t>
  </si>
  <si>
    <t>Umbilical Assembly</t>
  </si>
  <si>
    <t>hdh wag</t>
  </si>
  <si>
    <t>MAP value from IMDC</t>
  </si>
  <si>
    <t>Coarse Sun Sensor Assembly</t>
  </si>
  <si>
    <t>Digital Sun Sensor Assembly</t>
  </si>
  <si>
    <t xml:space="preserve">IMDC suggests Adcole 11866 </t>
  </si>
  <si>
    <t xml:space="preserve">IMDC Suggests Adcole 17601 </t>
  </si>
  <si>
    <t>C</t>
  </si>
  <si>
    <r>
      <t>Primary Mirror (0.68</t>
    </r>
    <r>
      <rPr>
        <sz val="7.5"/>
        <rFont val="Symbol"/>
        <family val="1"/>
      </rPr>
      <t>f</t>
    </r>
    <r>
      <rPr>
        <sz val="10"/>
        <rFont val="Arial"/>
        <family val="0"/>
      </rPr>
      <t xml:space="preserve"> hole)</t>
    </r>
  </si>
  <si>
    <t>Folding Flat (0.70 x 0.50 elipse)</t>
  </si>
  <si>
    <t>Ejectable Composite Cover</t>
  </si>
  <si>
    <t>Sec Mirror Focus Hexapod (Moog Rubicons)</t>
  </si>
  <si>
    <t>Primary Bipods to Optics Bench</t>
  </si>
  <si>
    <t>Tertiary Hexapod Mounting</t>
  </si>
  <si>
    <t>Primary Inner "Stovepipe" Light Baffle</t>
  </si>
  <si>
    <t>RWB Design; 2004-10-14 [Ctrl # 00058]</t>
  </si>
  <si>
    <t>RWB Design; 2004-09-24 [Ctrl # 00061]</t>
  </si>
  <si>
    <t>RWB Design; 2002-04-25</t>
  </si>
  <si>
    <t>RWB Design; 2004-08-26</t>
  </si>
  <si>
    <t>Upper Al Baffle Tube and Blade Assembly</t>
  </si>
  <si>
    <t>Fuel Tanks Deck (0.02 skins - 3.1 pcf core)</t>
  </si>
  <si>
    <t>RWB Design; 2004-06-24</t>
  </si>
  <si>
    <t>Upper &amp; Lower S-Band Antennas</t>
  </si>
  <si>
    <t>S-Band Transponder &amp; Diplexor</t>
  </si>
  <si>
    <r>
      <t xml:space="preserve">16.5"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Propellent Tanks</t>
    </r>
  </si>
  <si>
    <r>
      <t xml:space="preserve">7.66"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N2 Pressurant Tanks</t>
    </r>
  </si>
  <si>
    <t>PSI P/N 80326-1 (3600 psi)</t>
  </si>
  <si>
    <t>PSI P/N 80303-1 (340 psi)</t>
  </si>
  <si>
    <t>5N Thrusters with Cat Heater and Sensors</t>
  </si>
  <si>
    <t>Piping with Brackets, Heaters &amp; Sensors</t>
  </si>
  <si>
    <t>Fill / Drain + Latch Valve, Filter, P&amp;T Sensor</t>
  </si>
  <si>
    <t>Pressurant Tank Pyro Valve</t>
  </si>
  <si>
    <t>Inertial Reference Units (Gyros)</t>
  </si>
  <si>
    <t>ACS SUBTOTAL</t>
  </si>
  <si>
    <t>Dry Spacecraft TOTAL</t>
  </si>
  <si>
    <t>DRY SPACECRAFT SUBTOTAL</t>
  </si>
  <si>
    <t>RCS (propulsion) Harness</t>
  </si>
  <si>
    <t>Structure and Thermal Subtotal</t>
  </si>
  <si>
    <t>Spacecraft ACS System</t>
  </si>
  <si>
    <t>MISSION DRY TOTAL</t>
  </si>
  <si>
    <t>MLI Blankets &amp; Thermal Isolators</t>
  </si>
  <si>
    <t>Optics Subtotal</t>
  </si>
  <si>
    <t>25 kg in RWB FEA</t>
  </si>
  <si>
    <t>Cassegrain Shutter Assembly</t>
  </si>
  <si>
    <t>40 +10 kg in RWB FEA</t>
  </si>
  <si>
    <t>Bipod Mounts / Thermal Isolation</t>
  </si>
  <si>
    <t>19.5 in RWB FEA</t>
  </si>
  <si>
    <t>8.59 in RWB FEA</t>
  </si>
  <si>
    <r>
      <t>Launch MARGIN</t>
    </r>
    <r>
      <rPr>
        <sz val="10"/>
        <rFont val="Arial"/>
        <family val="2"/>
      </rPr>
      <t xml:space="preserve"> based on 2780 kg capacity</t>
    </r>
  </si>
  <si>
    <t>CBE</t>
  </si>
  <si>
    <t>+ reserve</t>
  </si>
  <si>
    <r>
      <t xml:space="preserve">Delta IV (4040-12) Lift Capacity </t>
    </r>
    <r>
      <rPr>
        <i/>
        <sz val="10"/>
        <rFont val="Arial"/>
        <family val="2"/>
      </rPr>
      <t>(C3 = -0.71 km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/s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from KSC)</t>
    </r>
  </si>
  <si>
    <r>
      <t>Radiator (5mm avg x 3m x 90</t>
    </r>
    <r>
      <rPr>
        <sz val="10"/>
        <rFont val="Symbol"/>
        <family val="1"/>
      </rPr>
      <t>°</t>
    </r>
    <r>
      <rPr>
        <sz val="10"/>
        <rFont val="Arial"/>
        <family val="0"/>
      </rPr>
      <t>)</t>
    </r>
  </si>
  <si>
    <t>IMDC est was 67kg TCS w/ 28kg MLI - 25% to bus; 75% to OTA</t>
  </si>
  <si>
    <t>Cross Strapped Circuit Breaker Box</t>
  </si>
  <si>
    <t>Avionics Deck to Thrust Tube Gussets</t>
  </si>
  <si>
    <t>Spectrograph Electronics (add'l)</t>
  </si>
  <si>
    <r>
      <t xml:space="preserve">Focal Plane Harness </t>
    </r>
    <r>
      <rPr>
        <sz val="9"/>
        <rFont val="Arial"/>
        <family val="2"/>
      </rPr>
      <t>(72x10 wires)</t>
    </r>
  </si>
  <si>
    <t>Thermal Mount / Isolation Brackets</t>
  </si>
  <si>
    <t>5 kg in RWB FEA - 2.5 kg for motors</t>
  </si>
  <si>
    <t>FNAL values (flash / RAM)</t>
  </si>
  <si>
    <t>Primex MR-111C</t>
  </si>
  <si>
    <t>Misc Bracketry and Fasteners</t>
  </si>
  <si>
    <t>Explorer 30 nm-sec from IMDC</t>
  </si>
  <si>
    <t>IMDC suggested MAP PSE</t>
  </si>
  <si>
    <t>Power Shunts on PAF Center Radiator</t>
  </si>
  <si>
    <r>
      <t>dhp est - 62"</t>
    </r>
    <r>
      <rPr>
        <sz val="10"/>
        <rFont val="Symbol"/>
        <family val="1"/>
      </rPr>
      <t>f</t>
    </r>
  </si>
  <si>
    <t>Primary Radiant Heater Panel &amp; Supports</t>
  </si>
  <si>
    <t>dhp est - 28" ID x 80" OD</t>
  </si>
  <si>
    <r>
      <t xml:space="preserve">Rubicon 2nd Focus Mechansim </t>
    </r>
    <r>
      <rPr>
        <b/>
        <sz val="10"/>
        <rFont val="Arial"/>
        <family val="2"/>
      </rPr>
      <t>(OPTIONAL)</t>
    </r>
  </si>
  <si>
    <t>Packaged LBNL CCD's (each)</t>
  </si>
  <si>
    <t>Bipod Mounts w/ Thermal Isolation</t>
  </si>
  <si>
    <r>
      <t>TMA-65 Optics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(ULE Primary; t = D / 10)</t>
    </r>
  </si>
  <si>
    <t>Concentrator or Junction Boxes</t>
  </si>
  <si>
    <r>
      <t>fuel based on Delta IV 2780 kg capacity, Isp =220 sec, &amp; M</t>
    </r>
    <r>
      <rPr>
        <i/>
        <vertAlign val="subscript"/>
        <sz val="8"/>
        <rFont val="Arial"/>
        <family val="2"/>
      </rPr>
      <t>fuel</t>
    </r>
    <r>
      <rPr>
        <i/>
        <sz val="8"/>
        <rFont val="Arial"/>
        <family val="0"/>
      </rPr>
      <t xml:space="preserve"> = M</t>
    </r>
    <r>
      <rPr>
        <i/>
        <vertAlign val="subscript"/>
        <sz val="8"/>
        <rFont val="Arial"/>
        <family val="2"/>
      </rPr>
      <t>wet</t>
    </r>
    <r>
      <rPr>
        <i/>
        <sz val="8"/>
        <rFont val="Arial"/>
        <family val="0"/>
      </rPr>
      <t xml:space="preserve"> [ 1- exp(-</t>
    </r>
    <r>
      <rPr>
        <i/>
        <sz val="8"/>
        <rFont val="Symbol"/>
        <family val="1"/>
      </rPr>
      <t>D</t>
    </r>
    <r>
      <rPr>
        <i/>
        <sz val="8"/>
        <rFont val="Arial"/>
        <family val="0"/>
      </rPr>
      <t>V/gI</t>
    </r>
    <r>
      <rPr>
        <i/>
        <vertAlign val="subscript"/>
        <sz val="8"/>
        <rFont val="Arial"/>
        <family val="2"/>
      </rPr>
      <t>sp</t>
    </r>
    <r>
      <rPr>
        <i/>
        <sz val="8"/>
        <rFont val="Arial"/>
        <family val="0"/>
      </rPr>
      <t>) ]</t>
    </r>
  </si>
  <si>
    <t>dhp wag - 10% of gross structure</t>
  </si>
  <si>
    <t>SIRU from IMDC</t>
  </si>
  <si>
    <t>LBNL experience base</t>
  </si>
  <si>
    <t>Al Thrust Tube with Upper PAF features</t>
  </si>
  <si>
    <t>Primary Avionics (Ring) Al Deck</t>
  </si>
  <si>
    <t>rwb</t>
  </si>
  <si>
    <t>2004-11-02</t>
  </si>
  <si>
    <t xml:space="preserve">Updated mass to reflect changes in 00006-SW04-F solid model design.  Still needs major work to make </t>
  </si>
  <si>
    <t>organization consistant with drawing tree.</t>
  </si>
  <si>
    <t>Lower Optics Section</t>
  </si>
  <si>
    <t>Instrument Deck</t>
  </si>
  <si>
    <t>SCIENCE INSTRUMENT</t>
  </si>
  <si>
    <t>Detector and Electronics</t>
  </si>
  <si>
    <t>Telescope</t>
  </si>
  <si>
    <t>SPACECRAFT</t>
  </si>
  <si>
    <t>INSTRUMENT SUBTOTAL</t>
  </si>
  <si>
    <t>D</t>
  </si>
  <si>
    <t xml:space="preserve">SPACECRAFT </t>
  </si>
  <si>
    <t>Cold Plate (6 x 650 OD x 260 ID - moly)</t>
  </si>
  <si>
    <t>DETECTOR &amp; ELECTRONICS</t>
  </si>
  <si>
    <t>Ejectable Telescope Cover</t>
  </si>
  <si>
    <t>Baffle &amp; Deck Assembly</t>
  </si>
  <si>
    <t>BAFFLE &amp; DECK ASSEMBLY</t>
  </si>
  <si>
    <t>TMA-65 (composite) Telescope Structure</t>
  </si>
  <si>
    <t>Lower Baffle Structure &amp; Closeout</t>
  </si>
  <si>
    <t xml:space="preserve">Upper Baffle Assembly </t>
  </si>
  <si>
    <t>Upper Baffle Subtotal</t>
  </si>
  <si>
    <t>Lower Baffle Subtotal</t>
  </si>
  <si>
    <t>Instrument Deck Subtotal</t>
  </si>
  <si>
    <t>Ejectable Cover Subtotal</t>
  </si>
  <si>
    <t>Elephant Stand Assembly</t>
  </si>
  <si>
    <t>Radiator Support Plate</t>
  </si>
  <si>
    <t>Closeout Panels Assembly</t>
  </si>
  <si>
    <r>
      <t xml:space="preserve">Focal Plane Shield </t>
    </r>
  </si>
  <si>
    <t>Deck Plate with Inserts</t>
  </si>
  <si>
    <t>MLI, Heaters, Sensors, Thermal control circuits &amp; wiring</t>
  </si>
  <si>
    <t>Spectrometer MLI, Heaters, Sensors, Thermal control circuits &amp; wiring</t>
  </si>
  <si>
    <t>Thermal Switch Assembly</t>
  </si>
  <si>
    <t>Notes:</t>
  </si>
  <si>
    <t>Telescope Structure Subtotal</t>
  </si>
  <si>
    <r>
      <t xml:space="preserve">FP to ICU Flexprint Assy  (4x90 - spans </t>
    </r>
    <r>
      <rPr>
        <sz val="10"/>
        <rFont val="Symbol"/>
        <family val="1"/>
      </rPr>
      <t>D</t>
    </r>
    <r>
      <rPr>
        <sz val="10"/>
        <rFont val="Arial"/>
        <family val="0"/>
      </rPr>
      <t>T)</t>
    </r>
  </si>
  <si>
    <t>Observatory Total Mass with Reserves and Fuel</t>
  </si>
  <si>
    <t xml:space="preserve">CBE Total </t>
  </si>
  <si>
    <t>CBE Total</t>
  </si>
  <si>
    <t>TELESCOPE ASSEMBLY</t>
  </si>
  <si>
    <t>Legend:</t>
  </si>
  <si>
    <t>hdh thinks this is maybe too low</t>
  </si>
  <si>
    <t>dhp number or name changed by hdh</t>
  </si>
  <si>
    <r>
      <t>Drawing Number:</t>
    </r>
    <r>
      <rPr>
        <sz val="10"/>
        <rFont val="Arial"/>
        <family val="0"/>
      </rPr>
      <t xml:space="preserve">  </t>
    </r>
    <r>
      <rPr>
        <b/>
        <sz val="28"/>
        <rFont val="Arial"/>
        <family val="2"/>
      </rPr>
      <t>00004-ME02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Rev</t>
    </r>
    <r>
      <rPr>
        <sz val="10"/>
        <rFont val="Arial"/>
        <family val="0"/>
      </rPr>
      <t xml:space="preserve">  </t>
    </r>
    <r>
      <rPr>
        <b/>
        <sz val="28"/>
        <rFont val="Arial"/>
        <family val="2"/>
      </rPr>
      <t>D</t>
    </r>
  </si>
  <si>
    <t>Revised mass estimates in areas highlighted in light green;  organized into instrument and spacecraft sections.</t>
  </si>
  <si>
    <t>Power System Subtotal</t>
  </si>
  <si>
    <t xml:space="preserve">Spacecraft Electrical Power System </t>
  </si>
  <si>
    <t>Spacecraft Harness and Interconnection Panels</t>
  </si>
  <si>
    <t>Harness Subtotal</t>
  </si>
  <si>
    <t>Spacecraft C&amp;DH &amp; Comm System</t>
  </si>
  <si>
    <t>Propulsion Module Assembly</t>
  </si>
  <si>
    <t>Spacecraft Structure Assembly</t>
  </si>
  <si>
    <t xml:space="preserve">Thermal Control Harness, Thermostats, &amp; Heaters </t>
  </si>
  <si>
    <t>Power Controller Assembly</t>
  </si>
  <si>
    <t>Also did considerable revision of the drawing tree (027 goes to 028) to make it consistant with 00004-ME02-D.</t>
  </si>
  <si>
    <t>Still needs to have the moments section redone.</t>
  </si>
  <si>
    <t>Solar Array Thermal Isolation Mounts</t>
  </si>
  <si>
    <t>Solar Array Panels</t>
  </si>
  <si>
    <t>Solar Array Harness</t>
  </si>
  <si>
    <t>Propulsion SUBTOTAL</t>
  </si>
  <si>
    <t>C&amp;DH &amp; Comm SUBTOTAL</t>
  </si>
  <si>
    <t>Team-X 100 AH Li-Ion Battery scaled to 50AH</t>
  </si>
  <si>
    <t>(ISUAL harness wt 5.7 Kg)</t>
  </si>
  <si>
    <r>
      <t xml:space="preserve">Shield </t>
    </r>
    <r>
      <rPr>
        <sz val="9"/>
        <rFont val="Arial"/>
        <family val="2"/>
      </rPr>
      <t>(Sholl's design)</t>
    </r>
  </si>
  <si>
    <t>Miscellaneous Hardware</t>
  </si>
  <si>
    <t>MLI, Heaters, Sensors, RoF, Thermal control circuits &amp; wiring</t>
  </si>
  <si>
    <t>0</t>
  </si>
  <si>
    <t>MLI &amp; Miscellaneous</t>
  </si>
  <si>
    <r>
      <t xml:space="preserve">Mono-Hydrazine Fuel (120 m/sec </t>
    </r>
    <r>
      <rPr>
        <sz val="10"/>
        <rFont val="Symbol"/>
        <family val="1"/>
      </rPr>
      <t>D</t>
    </r>
    <r>
      <rPr>
        <sz val="10"/>
        <rFont val="Arial"/>
        <family val="0"/>
      </rPr>
      <t>V for 5 years)</t>
    </r>
  </si>
  <si>
    <t>pnj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</si>
</sst>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%"/>
    <numFmt numFmtId="172" formatCode="0.000%"/>
    <numFmt numFmtId="173" formatCode="0.0000%"/>
    <numFmt numFmtId="174" formatCode="0.0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-mm\-dd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vertAlign val="superscript"/>
      <sz val="7.5"/>
      <name val="Arial"/>
      <family val="2"/>
    </font>
    <font>
      <sz val="7.5"/>
      <name val="Symbol"/>
      <family val="1"/>
    </font>
    <font>
      <sz val="7.5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7.5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  <font>
      <b/>
      <sz val="10"/>
      <color indexed="16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i/>
      <sz val="10"/>
      <color indexed="12"/>
      <name val="Arial"/>
      <family val="2"/>
    </font>
    <font>
      <sz val="9"/>
      <name val="Arial"/>
      <family val="0"/>
    </font>
    <font>
      <i/>
      <vertAlign val="superscript"/>
      <sz val="10"/>
      <name val="Arial"/>
      <family val="2"/>
    </font>
    <font>
      <i/>
      <vertAlign val="subscript"/>
      <sz val="8"/>
      <name val="Arial"/>
      <family val="2"/>
    </font>
    <font>
      <i/>
      <sz val="8"/>
      <name val="Symbol"/>
      <family val="1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right"/>
    </xf>
    <xf numFmtId="9" fontId="0" fillId="0" borderId="1" xfId="0" applyNumberFormat="1" applyBorder="1" applyAlignment="1">
      <alignment/>
    </xf>
    <xf numFmtId="9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 horizontal="right"/>
    </xf>
    <xf numFmtId="9" fontId="0" fillId="0" borderId="3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12" fillId="5" borderId="10" xfId="0" applyNumberFormat="1" applyFont="1" applyFill="1" applyBorder="1" applyAlignment="1">
      <alignment/>
    </xf>
    <xf numFmtId="9" fontId="7" fillId="0" borderId="11" xfId="0" applyNumberFormat="1" applyFont="1" applyBorder="1" applyAlignment="1">
      <alignment horizontal="right"/>
    </xf>
    <xf numFmtId="0" fontId="0" fillId="0" borderId="3" xfId="0" applyBorder="1" applyAlignment="1" quotePrefix="1">
      <alignment horizontal="left"/>
    </xf>
    <xf numFmtId="0" fontId="0" fillId="0" borderId="3" xfId="0" applyFont="1" applyBorder="1" applyAlignment="1" quotePrefix="1">
      <alignment horizontal="righ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9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7" xfId="0" applyBorder="1" applyAlignment="1">
      <alignment/>
    </xf>
    <xf numFmtId="1" fontId="0" fillId="5" borderId="4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0" fillId="2" borderId="5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 horizontal="right"/>
    </xf>
    <xf numFmtId="0" fontId="5" fillId="0" borderId="23" xfId="0" applyFont="1" applyBorder="1" applyAlignment="1" quotePrefix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2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164" fontId="0" fillId="5" borderId="5" xfId="0" applyNumberFormat="1" applyFont="1" applyFill="1" applyBorder="1" applyAlignment="1">
      <alignment/>
    </xf>
    <xf numFmtId="49" fontId="24" fillId="0" borderId="23" xfId="0" applyNumberFormat="1" applyFont="1" applyBorder="1" applyAlignment="1">
      <alignment horizontal="center"/>
    </xf>
    <xf numFmtId="165" fontId="24" fillId="0" borderId="20" xfId="0" applyNumberFormat="1" applyFont="1" applyBorder="1" applyAlignment="1">
      <alignment/>
    </xf>
    <xf numFmtId="165" fontId="24" fillId="0" borderId="19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49" fontId="24" fillId="0" borderId="27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/>
    </xf>
    <xf numFmtId="165" fontId="24" fillId="0" borderId="24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164" fontId="25" fillId="0" borderId="25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25" fillId="0" borderId="2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4" xfId="0" applyNumberFormat="1" applyBorder="1" applyAlignment="1">
      <alignment/>
    </xf>
    <xf numFmtId="49" fontId="26" fillId="0" borderId="28" xfId="0" applyNumberFormat="1" applyFont="1" applyBorder="1" applyAlignment="1">
      <alignment horizontal="center"/>
    </xf>
    <xf numFmtId="164" fontId="27" fillId="0" borderId="14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" borderId="2" xfId="0" applyFont="1" applyFill="1" applyBorder="1" applyAlignment="1">
      <alignment horizontal="right"/>
    </xf>
    <xf numFmtId="164" fontId="0" fillId="2" borderId="5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2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164" fontId="0" fillId="0" borderId="25" xfId="0" applyNumberForma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2" xfId="0" applyFont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/>
    </xf>
    <xf numFmtId="2" fontId="0" fillId="2" borderId="2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9" fontId="0" fillId="0" borderId="1" xfId="0" applyNumberFormat="1" applyFont="1" applyBorder="1" applyAlignment="1">
      <alignment/>
    </xf>
    <xf numFmtId="49" fontId="24" fillId="0" borderId="30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25" fillId="0" borderId="21" xfId="0" applyNumberFormat="1" applyFont="1" applyBorder="1" applyAlignment="1">
      <alignment/>
    </xf>
    <xf numFmtId="164" fontId="25" fillId="0" borderId="26" xfId="0" applyNumberFormat="1" applyFont="1" applyBorder="1" applyAlignment="1">
      <alignment/>
    </xf>
    <xf numFmtId="164" fontId="25" fillId="0" borderId="2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NumberFormat="1" applyBorder="1" applyAlignment="1">
      <alignment/>
    </xf>
    <xf numFmtId="9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" fontId="0" fillId="0" borderId="3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28" xfId="0" applyFont="1" applyFill="1" applyBorder="1" applyAlignment="1">
      <alignment/>
    </xf>
    <xf numFmtId="1" fontId="0" fillId="5" borderId="14" xfId="0" applyNumberFormat="1" applyFill="1" applyBorder="1" applyAlignment="1">
      <alignment/>
    </xf>
    <xf numFmtId="49" fontId="24" fillId="0" borderId="12" xfId="0" applyNumberFormat="1" applyFont="1" applyBorder="1" applyAlignment="1">
      <alignment horizontal="center"/>
    </xf>
    <xf numFmtId="165" fontId="24" fillId="0" borderId="14" xfId="0" applyNumberFormat="1" applyFont="1" applyBorder="1" applyAlignment="1">
      <alignment/>
    </xf>
    <xf numFmtId="165" fontId="24" fillId="0" borderId="15" xfId="0" applyNumberFormat="1" applyFont="1" applyBorder="1" applyAlignment="1">
      <alignment/>
    </xf>
    <xf numFmtId="165" fontId="24" fillId="0" borderId="12" xfId="0" applyNumberFormat="1" applyFont="1" applyBorder="1" applyAlignment="1">
      <alignment/>
    </xf>
    <xf numFmtId="1" fontId="27" fillId="0" borderId="14" xfId="0" applyNumberFormat="1" applyFont="1" applyBorder="1" applyAlignment="1">
      <alignment/>
    </xf>
    <xf numFmtId="1" fontId="27" fillId="0" borderId="15" xfId="0" applyNumberFormat="1" applyFont="1" applyBorder="1" applyAlignment="1">
      <alignment/>
    </xf>
    <xf numFmtId="1" fontId="27" fillId="0" borderId="12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24" fillId="0" borderId="0" xfId="0" applyFont="1" applyAlignment="1">
      <alignment/>
    </xf>
    <xf numFmtId="2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 quotePrefix="1">
      <alignment horizontal="center"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9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9" fontId="0" fillId="0" borderId="5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 quotePrefix="1">
      <alignment/>
    </xf>
    <xf numFmtId="0" fontId="0" fillId="0" borderId="18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NumberFormat="1" applyBorder="1" applyAlignment="1" quotePrefix="1">
      <alignment/>
    </xf>
    <xf numFmtId="0" fontId="0" fillId="0" borderId="1" xfId="0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/>
    </xf>
    <xf numFmtId="165" fontId="24" fillId="0" borderId="24" xfId="0" applyNumberFormat="1" applyFon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/>
    </xf>
    <xf numFmtId="0" fontId="18" fillId="0" borderId="0" xfId="0" applyFont="1" applyFill="1" applyAlignment="1">
      <alignment/>
    </xf>
    <xf numFmtId="0" fontId="0" fillId="0" borderId="37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/>
    </xf>
    <xf numFmtId="0" fontId="31" fillId="0" borderId="0" xfId="0" applyFont="1" applyBorder="1" applyAlignment="1">
      <alignment/>
    </xf>
    <xf numFmtId="1" fontId="31" fillId="0" borderId="0" xfId="0" applyNumberFormat="1" applyFont="1" applyFill="1" applyBorder="1" applyAlignment="1">
      <alignment/>
    </xf>
    <xf numFmtId="1" fontId="31" fillId="0" borderId="0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9" fontId="0" fillId="0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5" borderId="4" xfId="0" applyNumberFormat="1" applyFont="1" applyFill="1" applyBorder="1" applyAlignment="1">
      <alignment/>
    </xf>
    <xf numFmtId="2" fontId="0" fillId="0" borderId="3" xfId="0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1" fontId="1" fillId="0" borderId="28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7" fillId="5" borderId="10" xfId="0" applyNumberFormat="1" applyFont="1" applyFill="1" applyBorder="1" applyAlignment="1">
      <alignment/>
    </xf>
    <xf numFmtId="9" fontId="7" fillId="0" borderId="11" xfId="0" applyNumberFormat="1" applyFont="1" applyBorder="1" applyAlignment="1">
      <alignment/>
    </xf>
    <xf numFmtId="2" fontId="0" fillId="2" borderId="38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8" fillId="0" borderId="8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2" fontId="18" fillId="0" borderId="2" xfId="0" applyNumberFormat="1" applyFont="1" applyBorder="1" applyAlignment="1">
      <alignment/>
    </xf>
    <xf numFmtId="0" fontId="0" fillId="2" borderId="38" xfId="0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9" xfId="0" applyNumberFormat="1" applyFill="1" applyBorder="1" applyAlignment="1" quotePrefix="1">
      <alignment/>
    </xf>
    <xf numFmtId="0" fontId="0" fillId="0" borderId="2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NumberFormat="1" applyFill="1" applyBorder="1" applyAlignment="1" quotePrefix="1">
      <alignment/>
    </xf>
    <xf numFmtId="9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8" fillId="3" borderId="8" xfId="0" applyNumberFormat="1" applyFon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40" xfId="0" applyBorder="1" applyAlignment="1">
      <alignment/>
    </xf>
    <xf numFmtId="1" fontId="0" fillId="5" borderId="41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0" fontId="17" fillId="0" borderId="0" xfId="0" applyFont="1" applyBorder="1" applyAlignment="1" quotePrefix="1">
      <alignment/>
    </xf>
    <xf numFmtId="0" fontId="17" fillId="0" borderId="0" xfId="0" applyFont="1" applyBorder="1" applyAlignment="1">
      <alignment wrapText="1"/>
    </xf>
    <xf numFmtId="9" fontId="7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7" fillId="0" borderId="2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0" fillId="3" borderId="0" xfId="0" applyFill="1" applyBorder="1" applyAlignment="1">
      <alignment/>
    </xf>
    <xf numFmtId="0" fontId="3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0" fillId="0" borderId="15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2" fontId="18" fillId="0" borderId="1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2" fontId="0" fillId="3" borderId="0" xfId="0" applyNumberFormat="1" applyFill="1" applyBorder="1" applyAlignment="1">
      <alignment/>
    </xf>
    <xf numFmtId="9" fontId="0" fillId="2" borderId="1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/>
    </xf>
    <xf numFmtId="0" fontId="1" fillId="0" borderId="6" xfId="0" applyFont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9" xfId="0" applyFill="1" applyBorder="1" applyAlignment="1">
      <alignment/>
    </xf>
    <xf numFmtId="0" fontId="1" fillId="0" borderId="14" xfId="0" applyFont="1" applyFill="1" applyBorder="1" applyAlignment="1">
      <alignment/>
    </xf>
    <xf numFmtId="2" fontId="7" fillId="0" borderId="44" xfId="0" applyNumberFormat="1" applyFont="1" applyBorder="1" applyAlignment="1">
      <alignment horizontal="right"/>
    </xf>
    <xf numFmtId="0" fontId="19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2" fontId="12" fillId="0" borderId="9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12" fillId="5" borderId="44" xfId="0" applyNumberFormat="1" applyFont="1" applyFill="1" applyBorder="1" applyAlignment="1">
      <alignment/>
    </xf>
    <xf numFmtId="2" fontId="0" fillId="5" borderId="2" xfId="0" applyNumberFormat="1" applyFont="1" applyFill="1" applyBorder="1" applyAlignment="1">
      <alignment/>
    </xf>
    <xf numFmtId="2" fontId="0" fillId="5" borderId="43" xfId="0" applyNumberFormat="1" applyFon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43" xfId="0" applyNumberForma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42" xfId="0" applyFill="1" applyBorder="1" applyAlignment="1">
      <alignment/>
    </xf>
    <xf numFmtId="2" fontId="7" fillId="0" borderId="15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0" fontId="0" fillId="0" borderId="13" xfId="0" applyFill="1" applyBorder="1" applyAlignment="1" quotePrefix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9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42" xfId="0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0" fontId="0" fillId="0" borderId="15" xfId="0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0" fillId="0" borderId="15" xfId="0" applyNumberFormat="1" applyBorder="1" applyAlignment="1">
      <alignment/>
    </xf>
    <xf numFmtId="0" fontId="19" fillId="0" borderId="15" xfId="0" applyFont="1" applyBorder="1" applyAlignment="1">
      <alignment horizontal="center" wrapText="1"/>
    </xf>
    <xf numFmtId="0" fontId="1" fillId="3" borderId="5" xfId="0" applyFont="1" applyFill="1" applyBorder="1" applyAlignment="1">
      <alignment/>
    </xf>
    <xf numFmtId="0" fontId="0" fillId="0" borderId="38" xfId="0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NumberFormat="1" applyBorder="1" applyAlignment="1">
      <alignment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17" fillId="0" borderId="17" xfId="0" applyFont="1" applyBorder="1" applyAlignment="1" quotePrefix="1">
      <alignment/>
    </xf>
    <xf numFmtId="0" fontId="17" fillId="0" borderId="17" xfId="0" applyFont="1" applyBorder="1" applyAlignment="1">
      <alignment wrapText="1"/>
    </xf>
    <xf numFmtId="9" fontId="7" fillId="0" borderId="0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12" fillId="0" borderId="38" xfId="0" applyNumberFormat="1" applyFont="1" applyFill="1" applyBorder="1" applyAlignment="1">
      <alignment/>
    </xf>
    <xf numFmtId="9" fontId="7" fillId="0" borderId="38" xfId="0" applyNumberFormat="1" applyFont="1" applyBorder="1" applyAlignment="1">
      <alignment horizontal="right"/>
    </xf>
    <xf numFmtId="9" fontId="0" fillId="0" borderId="1" xfId="0" applyNumberFormat="1" applyFill="1" applyBorder="1" applyAlignment="1">
      <alignment/>
    </xf>
    <xf numFmtId="0" fontId="1" fillId="0" borderId="29" xfId="0" applyFont="1" applyBorder="1" applyAlignment="1">
      <alignment/>
    </xf>
    <xf numFmtId="1" fontId="1" fillId="5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2" fontId="7" fillId="5" borderId="36" xfId="0" applyNumberFormat="1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0" fontId="37" fillId="0" borderId="0" xfId="0" applyFont="1" applyAlignment="1">
      <alignment horizontal="right"/>
    </xf>
    <xf numFmtId="1" fontId="0" fillId="3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0" fillId="3" borderId="43" xfId="0" applyFill="1" applyBorder="1" applyAlignment="1">
      <alignment/>
    </xf>
    <xf numFmtId="0" fontId="32" fillId="0" borderId="4" xfId="0" applyFont="1" applyBorder="1" applyAlignment="1" quotePrefix="1">
      <alignment horizontal="center" wrapText="1"/>
    </xf>
    <xf numFmtId="0" fontId="0" fillId="0" borderId="17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2" xfId="0" applyNumberFormat="1" applyFont="1" applyFill="1" applyBorder="1" applyAlignment="1">
      <alignment/>
    </xf>
    <xf numFmtId="0" fontId="0" fillId="0" borderId="16" xfId="0" applyBorder="1" applyAlignment="1">
      <alignment horizontal="center" wrapText="1"/>
    </xf>
    <xf numFmtId="9" fontId="0" fillId="0" borderId="7" xfId="0" applyNumberFormat="1" applyBorder="1" applyAlignment="1">
      <alignment/>
    </xf>
    <xf numFmtId="9" fontId="0" fillId="2" borderId="38" xfId="0" applyNumberFormat="1" applyFill="1" applyBorder="1" applyAlignment="1">
      <alignment/>
    </xf>
    <xf numFmtId="9" fontId="0" fillId="0" borderId="13" xfId="0" applyNumberFormat="1" applyFont="1" applyBorder="1" applyAlignment="1">
      <alignment horizontal="right"/>
    </xf>
    <xf numFmtId="9" fontId="7" fillId="0" borderId="31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2" fontId="18" fillId="11" borderId="1" xfId="0" applyNumberFormat="1" applyFont="1" applyFill="1" applyBorder="1" applyAlignment="1">
      <alignment horizontal="right"/>
    </xf>
    <xf numFmtId="2" fontId="0" fillId="11" borderId="4" xfId="0" applyNumberFormat="1" applyFont="1" applyFill="1" applyBorder="1" applyAlignment="1">
      <alignment horizontal="right"/>
    </xf>
    <xf numFmtId="2" fontId="0" fillId="3" borderId="43" xfId="0" applyNumberFormat="1" applyFill="1" applyBorder="1" applyAlignment="1">
      <alignment/>
    </xf>
    <xf numFmtId="2" fontId="0" fillId="11" borderId="1" xfId="0" applyNumberFormat="1" applyFont="1" applyFill="1" applyBorder="1" applyAlignment="1">
      <alignment horizontal="right"/>
    </xf>
    <xf numFmtId="2" fontId="0" fillId="11" borderId="3" xfId="0" applyNumberFormat="1" applyFont="1" applyFill="1" applyBorder="1" applyAlignment="1">
      <alignment horizontal="right"/>
    </xf>
    <xf numFmtId="2" fontId="0" fillId="11" borderId="1" xfId="0" applyNumberFormat="1" applyFont="1" applyFill="1" applyBorder="1" applyAlignment="1" quotePrefix="1">
      <alignment horizontal="right"/>
    </xf>
    <xf numFmtId="0" fontId="0" fillId="0" borderId="1" xfId="0" applyFont="1" applyFill="1" applyBorder="1" applyAlignment="1" quotePrefix="1">
      <alignment horizontal="right" wrapText="1"/>
    </xf>
    <xf numFmtId="0" fontId="0" fillId="0" borderId="3" xfId="0" applyBorder="1" applyAlignment="1">
      <alignment horizontal="center"/>
    </xf>
    <xf numFmtId="179" fontId="0" fillId="0" borderId="24" xfId="0" applyNumberFormat="1" applyBorder="1" applyAlignment="1">
      <alignment/>
    </xf>
    <xf numFmtId="14" fontId="0" fillId="0" borderId="46" xfId="0" applyNumberFormat="1" applyBorder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28" xfId="0" applyBorder="1" applyAlignment="1">
      <alignment/>
    </xf>
    <xf numFmtId="1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9" fontId="1" fillId="0" borderId="1" xfId="0" applyNumberFormat="1" applyFont="1" applyBorder="1" applyAlignment="1">
      <alignment/>
    </xf>
    <xf numFmtId="1" fontId="0" fillId="0" borderId="6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XX@cg" TargetMode="External" /><Relationship Id="rId2" Type="http://schemas.openxmlformats.org/officeDocument/2006/relationships/hyperlink" Target="mailto:IXX@c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workbookViewId="0" topLeftCell="A1">
      <selection activeCell="A1" sqref="A1"/>
    </sheetView>
  </sheetViews>
  <sheetFormatPr defaultColWidth="7.7109375" defaultRowHeight="12.75"/>
  <cols>
    <col min="1" max="1" width="4.7109375" style="0" customWidth="1"/>
    <col min="2" max="2" width="54.00390625" style="0" customWidth="1"/>
    <col min="3" max="4" width="8.140625" style="0" bestFit="1" customWidth="1"/>
    <col min="5" max="5" width="8.57421875" style="0" customWidth="1"/>
    <col min="6" max="6" width="6.7109375" style="0" customWidth="1"/>
    <col min="7" max="7" width="10.421875" style="0" customWidth="1"/>
    <col min="8" max="8" width="5.57421875" style="0" customWidth="1"/>
    <col min="9" max="9" width="6.00390625" style="0" customWidth="1"/>
    <col min="10" max="12" width="5.28125" style="0" customWidth="1"/>
    <col min="13" max="13" width="10.28125" style="0" customWidth="1"/>
  </cols>
  <sheetData>
    <row r="1" ht="35.25">
      <c r="M1" s="267" t="s">
        <v>424</v>
      </c>
    </row>
    <row r="2" ht="18">
      <c r="A2" s="225" t="s">
        <v>272</v>
      </c>
    </row>
    <row r="3" spans="1:13" ht="12.75" customHeight="1">
      <c r="A3" s="226"/>
      <c r="L3" s="94" t="s">
        <v>252</v>
      </c>
      <c r="M3" t="s">
        <v>253</v>
      </c>
    </row>
    <row r="4" spans="1:13" ht="12.75" customHeight="1">
      <c r="A4" s="226"/>
      <c r="L4" s="94" t="s">
        <v>254</v>
      </c>
      <c r="M4" t="s">
        <v>255</v>
      </c>
    </row>
    <row r="5" spans="1:13" ht="12.75" customHeight="1">
      <c r="A5" s="226"/>
      <c r="L5" s="94" t="s">
        <v>256</v>
      </c>
      <c r="M5" s="227" t="s">
        <v>257</v>
      </c>
    </row>
    <row r="6" ht="12.75" customHeight="1" thickBot="1">
      <c r="A6" s="226" t="s">
        <v>258</v>
      </c>
    </row>
    <row r="7" spans="1:13" ht="12.75" customHeight="1">
      <c r="A7" s="228"/>
      <c r="B7" s="229"/>
      <c r="C7" s="188"/>
      <c r="D7" s="188"/>
      <c r="E7" s="188"/>
      <c r="F7" s="188"/>
      <c r="G7" s="188"/>
      <c r="H7" s="245" t="s">
        <v>259</v>
      </c>
      <c r="I7" s="246"/>
      <c r="J7" s="245" t="s">
        <v>260</v>
      </c>
      <c r="K7" s="246"/>
      <c r="L7" s="245"/>
      <c r="M7" s="106"/>
    </row>
    <row r="8" spans="1:13" ht="12.75" customHeight="1" thickBot="1">
      <c r="A8" s="230" t="s">
        <v>261</v>
      </c>
      <c r="B8" s="231" t="s">
        <v>262</v>
      </c>
      <c r="C8" s="232"/>
      <c r="D8" s="232"/>
      <c r="E8" s="232"/>
      <c r="F8" s="232"/>
      <c r="G8" s="232"/>
      <c r="H8" s="460" t="s">
        <v>263</v>
      </c>
      <c r="I8" s="461" t="s">
        <v>264</v>
      </c>
      <c r="J8" s="460" t="s">
        <v>265</v>
      </c>
      <c r="K8" s="461" t="s">
        <v>266</v>
      </c>
      <c r="L8" s="460" t="s">
        <v>267</v>
      </c>
      <c r="M8" s="131" t="s">
        <v>268</v>
      </c>
    </row>
    <row r="9" spans="1:13" ht="12.75" customHeight="1">
      <c r="A9" s="242" t="s">
        <v>269</v>
      </c>
      <c r="B9" s="243" t="s">
        <v>273</v>
      </c>
      <c r="C9" s="244"/>
      <c r="D9" s="188"/>
      <c r="E9" s="188"/>
      <c r="F9" s="188"/>
      <c r="G9" s="188"/>
      <c r="H9" s="245" t="s">
        <v>270</v>
      </c>
      <c r="I9" s="246"/>
      <c r="J9" s="245"/>
      <c r="K9" s="246"/>
      <c r="L9" s="245" t="s">
        <v>271</v>
      </c>
      <c r="M9" s="247" t="s">
        <v>257</v>
      </c>
    </row>
    <row r="10" spans="1:14" ht="12.75" customHeight="1">
      <c r="A10" s="308" t="s">
        <v>278</v>
      </c>
      <c r="B10" s="162" t="s">
        <v>279</v>
      </c>
      <c r="C10" s="309"/>
      <c r="D10" s="309"/>
      <c r="E10" s="309"/>
      <c r="F10" s="309"/>
      <c r="G10" s="309"/>
      <c r="H10" s="310" t="s">
        <v>271</v>
      </c>
      <c r="I10" s="311" t="s">
        <v>270</v>
      </c>
      <c r="J10" s="310" t="s">
        <v>270</v>
      </c>
      <c r="K10" s="311"/>
      <c r="L10" s="310" t="s">
        <v>271</v>
      </c>
      <c r="M10" s="312" t="s">
        <v>280</v>
      </c>
      <c r="N10" s="22"/>
    </row>
    <row r="11" spans="1:14" ht="12.75" customHeight="1">
      <c r="A11" s="313" t="s">
        <v>308</v>
      </c>
      <c r="B11" s="83" t="s">
        <v>383</v>
      </c>
      <c r="C11" s="21"/>
      <c r="D11" s="21"/>
      <c r="E11" s="21"/>
      <c r="F11" s="21"/>
      <c r="G11" s="21"/>
      <c r="H11" s="314" t="s">
        <v>270</v>
      </c>
      <c r="I11" s="264" t="s">
        <v>381</v>
      </c>
      <c r="J11" s="314" t="s">
        <v>270</v>
      </c>
      <c r="K11" s="264"/>
      <c r="L11" s="314" t="s">
        <v>271</v>
      </c>
      <c r="M11" s="315" t="s">
        <v>382</v>
      </c>
      <c r="N11" s="22"/>
    </row>
    <row r="12" spans="1:13" ht="12.75" customHeight="1">
      <c r="A12" s="268"/>
      <c r="B12" s="83" t="s">
        <v>384</v>
      </c>
      <c r="C12" s="9"/>
      <c r="D12" s="9"/>
      <c r="E12" s="9"/>
      <c r="F12" s="9"/>
      <c r="G12" s="9"/>
      <c r="H12" s="269"/>
      <c r="I12" s="307"/>
      <c r="J12" s="98"/>
      <c r="K12" s="9"/>
      <c r="L12" s="269"/>
      <c r="M12" s="486"/>
    </row>
    <row r="13" spans="1:13" ht="12.75" customHeight="1">
      <c r="A13" s="457" t="s">
        <v>392</v>
      </c>
      <c r="B13" s="79" t="s">
        <v>425</v>
      </c>
      <c r="C13" s="371"/>
      <c r="D13" s="371"/>
      <c r="E13" s="371"/>
      <c r="F13" s="371"/>
      <c r="G13" s="372"/>
      <c r="H13" s="459" t="s">
        <v>271</v>
      </c>
      <c r="I13" s="484" t="s">
        <v>450</v>
      </c>
      <c r="J13" s="459" t="s">
        <v>270</v>
      </c>
      <c r="K13" s="484"/>
      <c r="L13" s="484" t="s">
        <v>271</v>
      </c>
      <c r="M13" s="485">
        <v>38399</v>
      </c>
    </row>
    <row r="14" spans="1:13" ht="12.75" customHeight="1">
      <c r="A14" s="268"/>
      <c r="B14" s="83" t="s">
        <v>435</v>
      </c>
      <c r="C14" s="9"/>
      <c r="D14" s="9"/>
      <c r="E14" s="9"/>
      <c r="F14" s="9"/>
      <c r="G14" s="67"/>
      <c r="H14" s="307"/>
      <c r="I14" s="98"/>
      <c r="J14" s="9"/>
      <c r="K14" s="98"/>
      <c r="L14" s="456"/>
      <c r="M14" s="238"/>
    </row>
    <row r="15" spans="1:13" ht="12.75" customHeight="1">
      <c r="A15" s="237"/>
      <c r="B15" s="496" t="s">
        <v>436</v>
      </c>
      <c r="C15" s="458"/>
      <c r="D15" s="458"/>
      <c r="E15" s="458"/>
      <c r="F15" s="458"/>
      <c r="G15" s="66"/>
      <c r="H15" s="9"/>
      <c r="I15" s="59"/>
      <c r="J15" s="9"/>
      <c r="K15" s="59"/>
      <c r="L15" s="59"/>
      <c r="M15" s="238"/>
    </row>
    <row r="16" spans="1:13" ht="12.75" customHeight="1">
      <c r="A16" s="235"/>
      <c r="B16" s="63"/>
      <c r="C16" s="458"/>
      <c r="D16" s="458"/>
      <c r="E16" s="458"/>
      <c r="F16" s="458"/>
      <c r="G16" s="458"/>
      <c r="H16" s="5"/>
      <c r="I16" s="62"/>
      <c r="J16" s="5"/>
      <c r="K16" s="62"/>
      <c r="L16" s="5"/>
      <c r="M16" s="236"/>
    </row>
    <row r="17" spans="1:13" ht="12.75" customHeight="1">
      <c r="A17" s="237"/>
      <c r="B17" s="83"/>
      <c r="C17" s="9"/>
      <c r="D17" s="9"/>
      <c r="E17" s="9"/>
      <c r="F17" s="9"/>
      <c r="G17" s="9"/>
      <c r="H17" s="98"/>
      <c r="I17" s="9"/>
      <c r="J17" s="98"/>
      <c r="K17" s="9"/>
      <c r="L17" s="98"/>
      <c r="M17" s="238"/>
    </row>
    <row r="18" spans="1:13" ht="12.75" customHeight="1">
      <c r="A18" s="235"/>
      <c r="B18" s="61"/>
      <c r="C18" s="62"/>
      <c r="D18" s="62"/>
      <c r="E18" s="62"/>
      <c r="F18" s="62"/>
      <c r="G18" s="62"/>
      <c r="H18" s="5"/>
      <c r="I18" s="62"/>
      <c r="J18" s="5"/>
      <c r="K18" s="62"/>
      <c r="L18" s="5"/>
      <c r="M18" s="236"/>
    </row>
    <row r="19" spans="1:13" ht="12.75" customHeight="1">
      <c r="A19" s="235"/>
      <c r="B19" s="61"/>
      <c r="C19" s="62"/>
      <c r="D19" s="62"/>
      <c r="E19" s="62"/>
      <c r="F19" s="62"/>
      <c r="G19" s="62"/>
      <c r="H19" s="5"/>
      <c r="I19" s="62"/>
      <c r="J19" s="5"/>
      <c r="K19" s="62"/>
      <c r="L19" s="5"/>
      <c r="M19" s="236"/>
    </row>
    <row r="20" spans="1:13" ht="12.75" customHeight="1" thickBot="1">
      <c r="A20" s="239"/>
      <c r="B20" s="231"/>
      <c r="C20" s="232"/>
      <c r="D20" s="232"/>
      <c r="E20" s="232"/>
      <c r="F20" s="232"/>
      <c r="G20" s="232"/>
      <c r="H20" s="233"/>
      <c r="I20" s="232"/>
      <c r="J20" s="233"/>
      <c r="K20" s="232"/>
      <c r="L20" s="233"/>
      <c r="M20" s="131"/>
    </row>
    <row r="21" spans="1:13" ht="12.75" customHeight="1">
      <c r="A21" s="23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6" ht="13.5" thickBot="1">
      <c r="A22" s="1" t="s">
        <v>174</v>
      </c>
      <c r="E22" s="221"/>
      <c r="F22" s="22"/>
    </row>
    <row r="23" spans="3:6" ht="15.75" customHeight="1" thickBot="1">
      <c r="C23" s="487" t="s">
        <v>138</v>
      </c>
      <c r="D23" s="488"/>
      <c r="E23" s="216"/>
      <c r="F23" s="22"/>
    </row>
    <row r="24" spans="1:19" ht="15" customHeight="1">
      <c r="A24" s="1" t="s">
        <v>387</v>
      </c>
      <c r="C24" s="75" t="s">
        <v>350</v>
      </c>
      <c r="D24" s="455" t="s">
        <v>351</v>
      </c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>
      <c r="A25" s="1"/>
      <c r="B25" s="1" t="s">
        <v>388</v>
      </c>
      <c r="C25" s="218"/>
      <c r="D25" s="219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2.75">
      <c r="B26" s="61" t="str">
        <f>Instrument!C6</f>
        <v>Focal plane assembly  (cold) </v>
      </c>
      <c r="C26" s="88">
        <f>Instrument!J21</f>
        <v>99.88000000000001</v>
      </c>
      <c r="D26" s="89">
        <f>Instrument!J21*(1+Instrument!K21)</f>
        <v>122.964</v>
      </c>
      <c r="E26" s="10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2.75">
      <c r="B27" s="61" t="str">
        <f>Instrument!C23</f>
        <v>Focal Plane Shield </v>
      </c>
      <c r="C27" s="88">
        <f>Instrument!J27</f>
        <v>20</v>
      </c>
      <c r="D27" s="89">
        <f>Instrument!J27*(1+Instrument!K27)</f>
        <v>24.900000000000002</v>
      </c>
      <c r="E27" s="10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6" ht="12.75">
      <c r="B28" s="61" t="str">
        <f>Instrument!C29</f>
        <v>Non-Focal Plane Instrument Electronics</v>
      </c>
      <c r="C28" s="88">
        <f>Instrument!J33</f>
        <v>77</v>
      </c>
      <c r="D28" s="89">
        <f>Instrument!J33*(1+Instrument!K33)</f>
        <v>102.99999999999999</v>
      </c>
      <c r="E28" s="103"/>
      <c r="F28" s="271"/>
    </row>
    <row r="29" spans="2:6" ht="12.75">
      <c r="B29" s="61" t="str">
        <f>Instrument!C35</f>
        <v>OTA Mounted Instrument Components</v>
      </c>
      <c r="C29" s="88">
        <f>Instrument!J37</f>
        <v>7.5</v>
      </c>
      <c r="D29" s="89">
        <f>Instrument!J37*(1+Instrument!K37)</f>
        <v>9.375</v>
      </c>
      <c r="E29" s="103"/>
      <c r="F29" s="271"/>
    </row>
    <row r="30" spans="2:6" ht="12.75">
      <c r="B30" s="61" t="str">
        <f>Instrument!C39</f>
        <v>Instrument Passive RADIATOR</v>
      </c>
      <c r="C30" s="88">
        <f>Instrument!J45</f>
        <v>107.2024266057513</v>
      </c>
      <c r="D30" s="89">
        <f>Instrument!J45*(1+Instrument!K45)</f>
        <v>133.87803325718912</v>
      </c>
      <c r="E30" s="103"/>
      <c r="F30" s="271"/>
    </row>
    <row r="31" spans="1:6" ht="12.75">
      <c r="A31" s="1"/>
      <c r="B31" s="1" t="s">
        <v>389</v>
      </c>
      <c r="C31" s="101"/>
      <c r="D31" s="220"/>
      <c r="E31" s="21"/>
      <c r="F31" s="22"/>
    </row>
    <row r="32" spans="2:6" ht="12.75">
      <c r="B32" s="61" t="str">
        <f>Instrument!C49</f>
        <v>TMA-65 Optics (ULE Primary; t = D / 10)</v>
      </c>
      <c r="C32" s="99">
        <f>Instrument!J66</f>
        <v>283.59</v>
      </c>
      <c r="D32" s="100">
        <f>Instrument!J66*(1+Instrument!K66)</f>
        <v>328.756</v>
      </c>
      <c r="E32" s="21"/>
      <c r="F32" s="22"/>
    </row>
    <row r="33" spans="2:6" ht="12.75">
      <c r="B33" s="61" t="str">
        <f>Instrument!C68</f>
        <v>TMA-65 (composite) Telescope Structure</v>
      </c>
      <c r="C33" s="88">
        <f>Instrument!J77</f>
        <v>139.99</v>
      </c>
      <c r="D33" s="89">
        <f>Instrument!J77*(1+Instrument!K77)</f>
        <v>165.988</v>
      </c>
      <c r="E33" s="21"/>
      <c r="F33" s="22"/>
    </row>
    <row r="34" spans="1:6" ht="12.75">
      <c r="A34" s="1"/>
      <c r="B34" s="1" t="s">
        <v>397</v>
      </c>
      <c r="C34" s="101"/>
      <c r="D34" s="220" t="s">
        <v>87</v>
      </c>
      <c r="E34" s="21"/>
      <c r="F34" s="22"/>
    </row>
    <row r="35" spans="1:6" ht="12.75">
      <c r="A35" s="1"/>
      <c r="B35" s="61" t="str">
        <f>Instrument!C81</f>
        <v>Upper Baffle Assembly </v>
      </c>
      <c r="C35" s="99">
        <f>Instrument!J86</f>
        <v>162.63</v>
      </c>
      <c r="D35" s="102">
        <f>Instrument!J86*(1+Instrument!K86)</f>
        <v>203.2875</v>
      </c>
      <c r="E35" s="21"/>
      <c r="F35" s="22"/>
    </row>
    <row r="36" spans="1:6" ht="12.75">
      <c r="A36" s="1"/>
      <c r="B36" s="61" t="str">
        <f>Instrument!C88</f>
        <v>Lower Baffle Structure &amp; Closeout</v>
      </c>
      <c r="C36" s="99">
        <f>Instrument!J93</f>
        <v>53</v>
      </c>
      <c r="D36" s="102">
        <f>Instrument!J93*(1+Instrument!K93)</f>
        <v>66.10000000000001</v>
      </c>
      <c r="E36" s="21"/>
      <c r="F36" s="22"/>
    </row>
    <row r="37" spans="2:6" ht="12.75">
      <c r="B37" s="61" t="str">
        <f>Instrument!C95</f>
        <v>Instrument Deck</v>
      </c>
      <c r="C37" s="99">
        <f>Instrument!J98</f>
        <v>32</v>
      </c>
      <c r="D37" s="102">
        <f>Instrument!J98*(1+Instrument!K98)</f>
        <v>39.9</v>
      </c>
      <c r="E37" s="21"/>
      <c r="F37" s="22"/>
    </row>
    <row r="38" spans="2:6" ht="13.5" thickBot="1">
      <c r="B38" s="323" t="str">
        <f>Instrument!C100</f>
        <v>Ejectable Telescope Cover</v>
      </c>
      <c r="C38" s="324">
        <f>Instrument!J104</f>
        <v>22</v>
      </c>
      <c r="D38" s="325">
        <f>Instrument!J104*(1+Instrument!K104)</f>
        <v>27.150000000000002</v>
      </c>
      <c r="E38" s="21"/>
      <c r="F38" s="22"/>
    </row>
    <row r="39" spans="2:6" ht="13.5" thickBot="1">
      <c r="B39" s="439" t="s">
        <v>391</v>
      </c>
      <c r="C39" s="440">
        <f>SUM(C26:C38)</f>
        <v>1004.7924266057513</v>
      </c>
      <c r="D39" s="441">
        <f>SUM(D26:D38)</f>
        <v>1225.298533257189</v>
      </c>
      <c r="E39" s="21"/>
      <c r="F39" s="22"/>
    </row>
    <row r="40" spans="2:6" ht="12.75">
      <c r="B40" s="9"/>
      <c r="C40" s="365"/>
      <c r="D40" s="322"/>
      <c r="E40" s="21"/>
      <c r="F40" s="22"/>
    </row>
    <row r="41" spans="1:6" ht="12.75">
      <c r="A41" s="1" t="s">
        <v>390</v>
      </c>
      <c r="C41" s="101"/>
      <c r="D41" s="220"/>
      <c r="E41" s="21"/>
      <c r="F41" s="22"/>
    </row>
    <row r="42" spans="2:6" ht="12.75">
      <c r="B42" s="61" t="str">
        <f>Spacecraft!C4</f>
        <v>Spacecraft Structure Assembly</v>
      </c>
      <c r="C42" s="88">
        <f>Spacecraft!G12</f>
        <v>158.15</v>
      </c>
      <c r="D42" s="97">
        <f>Spacecraft!G12*(1+Spacecraft!H12)</f>
        <v>197.6875</v>
      </c>
      <c r="E42" s="21"/>
      <c r="F42" s="22"/>
    </row>
    <row r="43" spans="2:6" ht="12.75">
      <c r="B43" s="61" t="str">
        <f>Spacecraft!C13</f>
        <v>Spacecraft ACS System</v>
      </c>
      <c r="C43" s="88">
        <f>Spacecraft!G20</f>
        <v>85.16</v>
      </c>
      <c r="D43" s="97">
        <f>Spacecraft!G20*(1+Spacecraft!H20)</f>
        <v>106.44999999999999</v>
      </c>
      <c r="E43" s="21"/>
      <c r="F43" s="22"/>
    </row>
    <row r="44" spans="2:5" ht="12.75">
      <c r="B44" s="61" t="str">
        <f>Spacecraft!C21</f>
        <v>Spacecraft Electrical Power System </v>
      </c>
      <c r="C44" s="88">
        <f>Spacecraft!G28</f>
        <v>102</v>
      </c>
      <c r="D44" s="97">
        <f>Spacecraft!G28*(1+Spacecraft!H28)</f>
        <v>120.10000000000001</v>
      </c>
      <c r="E44" s="21"/>
    </row>
    <row r="45" spans="2:5" ht="12.75">
      <c r="B45" s="61" t="str">
        <f>Spacecraft!C29</f>
        <v>Spacecraft Harness and Interconnection Panels</v>
      </c>
      <c r="C45" s="88">
        <f>Spacecraft!G36</f>
        <v>27</v>
      </c>
      <c r="D45" s="97">
        <f>Spacecraft!G36*(1+Spacecraft!H36)</f>
        <v>33.75</v>
      </c>
      <c r="E45" s="21"/>
    </row>
    <row r="46" spans="2:5" ht="12.75">
      <c r="B46" s="61" t="str">
        <f>Spacecraft!C37</f>
        <v>Spacecraft C&amp;DH &amp; Comm System</v>
      </c>
      <c r="C46" s="88">
        <f>Spacecraft!G44</f>
        <v>67</v>
      </c>
      <c r="D46" s="97">
        <f>Spacecraft!G44*(1+Spacecraft!H44)</f>
        <v>83.75</v>
      </c>
      <c r="E46" s="21"/>
    </row>
    <row r="47" spans="2:5" ht="13.5" thickBot="1">
      <c r="B47" s="323" t="str">
        <f>Spacecraft!C45</f>
        <v>Propulsion Module Assembly</v>
      </c>
      <c r="C47" s="324">
        <f>Spacecraft!G52</f>
        <v>57.349999999999994</v>
      </c>
      <c r="D47" s="325">
        <f>Spacecraft!G52*(1+Spacecraft!H52)</f>
        <v>71.6875</v>
      </c>
      <c r="E47" s="21"/>
    </row>
    <row r="48" spans="2:5" ht="13.5" thickBot="1">
      <c r="B48" s="439" t="s">
        <v>336</v>
      </c>
      <c r="C48" s="440">
        <f>SUM(C42:C47)</f>
        <v>496.65999999999997</v>
      </c>
      <c r="D48" s="442">
        <f>SUM(D42:D47)</f>
        <v>613.425</v>
      </c>
      <c r="E48" s="21"/>
    </row>
    <row r="49" spans="2:5" ht="12.75">
      <c r="B49" s="275"/>
      <c r="C49" s="276"/>
      <c r="D49" s="277"/>
      <c r="E49" s="21"/>
    </row>
    <row r="50" spans="2:6" ht="13.5" thickBot="1">
      <c r="B50" s="56"/>
      <c r="C50" s="103"/>
      <c r="D50" s="93"/>
      <c r="E50" s="21"/>
      <c r="F50" s="33"/>
    </row>
    <row r="51" spans="1:7" ht="13.5" thickBot="1">
      <c r="A51" s="80" t="s">
        <v>340</v>
      </c>
      <c r="B51" s="78"/>
      <c r="C51" s="286">
        <f>C48+C39</f>
        <v>1501.4524266057513</v>
      </c>
      <c r="D51" s="286">
        <f>D48+D39</f>
        <v>1838.723533257189</v>
      </c>
      <c r="E51" s="21"/>
      <c r="G51" s="85"/>
    </row>
    <row r="52" spans="1:5" ht="12.75">
      <c r="A52" s="56"/>
      <c r="B52" s="306" t="s">
        <v>375</v>
      </c>
      <c r="D52" s="184"/>
      <c r="E52" s="21"/>
    </row>
    <row r="53" spans="2:6" ht="12.75">
      <c r="B53" s="61" t="s">
        <v>449</v>
      </c>
      <c r="C53" s="501"/>
      <c r="D53" s="502">
        <f>C55*(1-EXP(-120/9.8/220))</f>
        <v>150.5037166165928</v>
      </c>
      <c r="E53" s="21"/>
      <c r="F53" s="85"/>
    </row>
    <row r="54" spans="2:6" ht="13.5" thickBot="1">
      <c r="B54" s="9"/>
      <c r="C54" s="103"/>
      <c r="D54" s="444"/>
      <c r="E54" s="21"/>
      <c r="F54" s="85"/>
    </row>
    <row r="55" spans="2:5" ht="15" thickBot="1">
      <c r="B55" s="497" t="s">
        <v>352</v>
      </c>
      <c r="C55" s="278">
        <v>2780</v>
      </c>
      <c r="E55" s="84"/>
    </row>
    <row r="56" ht="12.75">
      <c r="E56" s="84"/>
    </row>
    <row r="57" spans="2:6" ht="12.75">
      <c r="B57" s="61" t="s">
        <v>417</v>
      </c>
      <c r="C57" s="498"/>
      <c r="D57" s="41">
        <f>D51+D53</f>
        <v>1989.2272498737818</v>
      </c>
      <c r="E57" s="84"/>
      <c r="F57" s="93"/>
    </row>
    <row r="58" spans="1:5" ht="12.75">
      <c r="A58" s="9"/>
      <c r="C58" s="92"/>
      <c r="D58" s="92"/>
      <c r="E58" s="84"/>
    </row>
    <row r="59" spans="1:5" ht="12.75">
      <c r="A59" s="217" t="s">
        <v>349</v>
      </c>
      <c r="B59" s="62"/>
      <c r="C59" s="499"/>
      <c r="D59" s="500">
        <f>C55/(D51+D53)-1</f>
        <v>0.39752760785696717</v>
      </c>
      <c r="E59" s="84"/>
    </row>
    <row r="60" ht="12.75">
      <c r="E60" s="84"/>
    </row>
    <row r="61" ht="12.75">
      <c r="E61" s="84"/>
    </row>
    <row r="62" ht="12.75">
      <c r="E62" s="84"/>
    </row>
    <row r="63" ht="12.75">
      <c r="E63" s="84"/>
    </row>
    <row r="64" ht="12.75">
      <c r="E64" s="84"/>
    </row>
    <row r="65" spans="1:3" ht="12.75">
      <c r="A65" s="271"/>
      <c r="C65" s="77"/>
    </row>
    <row r="66" spans="1:3" ht="12.75">
      <c r="A66" s="217" t="s">
        <v>186</v>
      </c>
      <c r="B66" s="44"/>
      <c r="C66" s="9"/>
    </row>
    <row r="67" spans="1:3" ht="12.75">
      <c r="A67" s="60">
        <v>0.25</v>
      </c>
      <c r="B67" s="98" t="s">
        <v>147</v>
      </c>
      <c r="C67" s="9"/>
    </row>
    <row r="68" spans="1:3" ht="12.75">
      <c r="A68" s="54">
        <v>0.2</v>
      </c>
      <c r="B68" s="98" t="s">
        <v>166</v>
      </c>
      <c r="C68" s="9"/>
    </row>
    <row r="69" spans="1:3" ht="12.75">
      <c r="A69" s="54">
        <v>0.15</v>
      </c>
      <c r="B69" s="98" t="s">
        <v>148</v>
      </c>
      <c r="C69" s="9"/>
    </row>
    <row r="70" spans="1:3" ht="12.75">
      <c r="A70" s="54">
        <v>0.1</v>
      </c>
      <c r="B70" s="98" t="s">
        <v>149</v>
      </c>
      <c r="C70" s="9"/>
    </row>
    <row r="71" spans="1:3" ht="12.75">
      <c r="A71" s="54">
        <v>0.08</v>
      </c>
      <c r="B71" s="98" t="s">
        <v>151</v>
      </c>
      <c r="C71" s="9"/>
    </row>
    <row r="72" spans="1:3" ht="12.75">
      <c r="A72" s="54">
        <v>0.04</v>
      </c>
      <c r="B72" s="59" t="s">
        <v>150</v>
      </c>
      <c r="C72" s="9"/>
    </row>
    <row r="73" ht="12.75">
      <c r="C73" s="9"/>
    </row>
  </sheetData>
  <mergeCells count="1">
    <mergeCell ref="C23:D23"/>
  </mergeCells>
  <printOptions/>
  <pageMargins left="0.75" right="0.75" top="1" bottom="1" header="0.5" footer="0.5"/>
  <pageSetup fitToHeight="1" fitToWidth="1" horizontalDpi="1200" verticalDpi="12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0"/>
  <sheetViews>
    <sheetView showZeros="0" workbookViewId="0" topLeftCell="A1">
      <selection activeCell="A1" sqref="A1"/>
    </sheetView>
  </sheetViews>
  <sheetFormatPr defaultColWidth="9.140625" defaultRowHeight="12.75"/>
  <cols>
    <col min="1" max="3" width="4.7109375" style="0" customWidth="1"/>
    <col min="4" max="4" width="2.8515625" style="0" customWidth="1"/>
    <col min="5" max="5" width="32.7109375" style="0" customWidth="1"/>
    <col min="6" max="11" width="7.7109375" style="0" customWidth="1"/>
    <col min="12" max="12" width="4.7109375" style="0" customWidth="1"/>
    <col min="16" max="16" width="37.00390625" style="0" customWidth="1"/>
  </cols>
  <sheetData>
    <row r="1" spans="1:12" ht="12.75">
      <c r="A1" s="9"/>
      <c r="B1" s="9"/>
      <c r="C1" s="9"/>
      <c r="D1" s="9"/>
      <c r="E1" s="9"/>
      <c r="L1" s="9"/>
    </row>
    <row r="2" spans="1:12" ht="12.75">
      <c r="A2" s="56" t="s">
        <v>387</v>
      </c>
      <c r="B2" s="9"/>
      <c r="C2" s="9"/>
      <c r="D2" s="9"/>
      <c r="E2" s="9"/>
      <c r="H2" s="76"/>
      <c r="L2" s="224"/>
    </row>
    <row r="3" spans="1:12" ht="13.5" thickBot="1">
      <c r="A3" s="56"/>
      <c r="B3" s="9"/>
      <c r="C3" s="9"/>
      <c r="D3" s="9"/>
      <c r="E3" s="9"/>
      <c r="F3" s="9"/>
      <c r="G3" s="9"/>
      <c r="L3" s="221"/>
    </row>
    <row r="4" spans="1:12" ht="13.5" thickBot="1">
      <c r="A4" s="9"/>
      <c r="B4" s="9"/>
      <c r="C4" s="9"/>
      <c r="D4" s="9"/>
      <c r="E4" s="9"/>
      <c r="F4" s="9"/>
      <c r="H4" s="76"/>
      <c r="I4" s="487" t="s">
        <v>138</v>
      </c>
      <c r="J4" s="489"/>
      <c r="K4" s="488"/>
      <c r="L4" s="216"/>
    </row>
    <row r="5" spans="1:16" ht="26.25">
      <c r="A5" s="9"/>
      <c r="B5" s="345" t="s">
        <v>395</v>
      </c>
      <c r="C5" s="345"/>
      <c r="D5" s="345"/>
      <c r="E5" s="346"/>
      <c r="F5" s="326"/>
      <c r="G5" s="327"/>
      <c r="H5" s="50" t="s">
        <v>55</v>
      </c>
      <c r="I5" s="361" t="s">
        <v>143</v>
      </c>
      <c r="J5" s="75" t="s">
        <v>418</v>
      </c>
      <c r="K5" s="75" t="s">
        <v>185</v>
      </c>
      <c r="L5" s="216"/>
      <c r="M5" t="s">
        <v>134</v>
      </c>
      <c r="O5" s="1"/>
      <c r="P5" s="451" t="s">
        <v>421</v>
      </c>
    </row>
    <row r="6" spans="1:19" ht="12.75">
      <c r="A6" s="9"/>
      <c r="B6" s="346"/>
      <c r="C6" s="217" t="s">
        <v>282</v>
      </c>
      <c r="D6" s="366"/>
      <c r="E6" s="62"/>
      <c r="F6" s="62"/>
      <c r="G6" s="44"/>
      <c r="H6" s="86"/>
      <c r="I6" s="86"/>
      <c r="J6" s="87"/>
      <c r="K6" s="87"/>
      <c r="P6" s="1"/>
      <c r="Q6" s="452"/>
      <c r="R6" s="85" t="s">
        <v>423</v>
      </c>
      <c r="S6" s="85"/>
    </row>
    <row r="7" spans="1:19" ht="12.75">
      <c r="A7" s="334"/>
      <c r="B7" s="346"/>
      <c r="C7" s="9"/>
      <c r="D7" s="162" t="s">
        <v>371</v>
      </c>
      <c r="E7" s="62"/>
      <c r="F7" s="62"/>
      <c r="G7" s="44"/>
      <c r="H7" s="26">
        <v>36</v>
      </c>
      <c r="I7" s="282">
        <v>0.14</v>
      </c>
      <c r="J7" s="251">
        <f>H7*I7</f>
        <v>5.040000000000001</v>
      </c>
      <c r="K7" s="55">
        <v>0.15</v>
      </c>
      <c r="M7" t="s">
        <v>378</v>
      </c>
      <c r="Q7" s="85"/>
      <c r="R7" s="85"/>
      <c r="S7" s="85"/>
    </row>
    <row r="8" spans="1:19" ht="12.75">
      <c r="A8" s="334"/>
      <c r="B8" s="346"/>
      <c r="C8" s="9"/>
      <c r="D8" s="370" t="s">
        <v>132</v>
      </c>
      <c r="E8" s="371"/>
      <c r="F8" s="371"/>
      <c r="G8" s="372"/>
      <c r="H8" s="26">
        <v>36</v>
      </c>
      <c r="I8" s="480">
        <v>0.075</v>
      </c>
      <c r="J8" s="251">
        <f aca="true" t="shared" si="0" ref="J8:J19">H8*I8</f>
        <v>2.6999999999999997</v>
      </c>
      <c r="K8" s="55">
        <v>0.2</v>
      </c>
      <c r="M8" t="s">
        <v>137</v>
      </c>
      <c r="Q8" s="453"/>
      <c r="R8" s="85" t="s">
        <v>422</v>
      </c>
      <c r="S8" s="85"/>
    </row>
    <row r="9" spans="1:19" ht="12.75">
      <c r="A9" s="334"/>
      <c r="B9" s="346"/>
      <c r="C9" s="9"/>
      <c r="D9" s="162" t="s">
        <v>120</v>
      </c>
      <c r="E9" s="62"/>
      <c r="F9" s="62"/>
      <c r="G9" s="44"/>
      <c r="H9" s="26">
        <v>36</v>
      </c>
      <c r="I9" s="480">
        <v>0.1</v>
      </c>
      <c r="J9" s="251">
        <f t="shared" si="0"/>
        <v>3.6</v>
      </c>
      <c r="K9" s="55">
        <v>0.15</v>
      </c>
      <c r="M9" s="273" t="s">
        <v>302</v>
      </c>
      <c r="Q9" s="85"/>
      <c r="R9" s="85"/>
      <c r="S9" s="85"/>
    </row>
    <row r="10" spans="1:19" ht="12.75">
      <c r="A10" s="334"/>
      <c r="B10" s="346"/>
      <c r="C10" s="9"/>
      <c r="D10" s="373" t="s">
        <v>133</v>
      </c>
      <c r="E10" s="9"/>
      <c r="F10" s="9"/>
      <c r="G10" s="67"/>
      <c r="H10" s="26">
        <v>36</v>
      </c>
      <c r="I10" s="480">
        <v>0.075</v>
      </c>
      <c r="J10" s="251">
        <f t="shared" si="0"/>
        <v>2.6999999999999997</v>
      </c>
      <c r="K10" s="55">
        <v>0.2</v>
      </c>
      <c r="M10" s="273" t="s">
        <v>302</v>
      </c>
      <c r="Q10" s="85"/>
      <c r="R10" s="85"/>
      <c r="S10" s="85"/>
    </row>
    <row r="11" spans="1:19" ht="12.75">
      <c r="A11" s="334"/>
      <c r="B11" s="346"/>
      <c r="C11" s="9"/>
      <c r="D11" s="162" t="s">
        <v>283</v>
      </c>
      <c r="E11" s="62"/>
      <c r="F11" s="62"/>
      <c r="G11" s="44"/>
      <c r="H11" s="248">
        <v>1</v>
      </c>
      <c r="I11" s="282">
        <v>10</v>
      </c>
      <c r="J11" s="251">
        <f t="shared" si="0"/>
        <v>10</v>
      </c>
      <c r="K11" s="279">
        <v>0.5</v>
      </c>
      <c r="Q11" s="85"/>
      <c r="R11" s="85"/>
      <c r="S11" s="85"/>
    </row>
    <row r="12" spans="1:19" ht="12.75">
      <c r="A12" s="334"/>
      <c r="B12" s="346"/>
      <c r="C12" s="9"/>
      <c r="D12" s="373" t="s">
        <v>357</v>
      </c>
      <c r="E12" s="9"/>
      <c r="F12" s="9"/>
      <c r="G12" s="67"/>
      <c r="H12" s="248">
        <v>1</v>
      </c>
      <c r="I12" s="355">
        <v>2</v>
      </c>
      <c r="J12" s="251">
        <f t="shared" si="0"/>
        <v>2</v>
      </c>
      <c r="K12" s="55">
        <v>0.25</v>
      </c>
      <c r="M12" s="273" t="s">
        <v>302</v>
      </c>
      <c r="Q12" s="85"/>
      <c r="R12" s="85"/>
      <c r="S12" s="85"/>
    </row>
    <row r="13" spans="1:19" ht="12.75">
      <c r="A13" s="334"/>
      <c r="B13" s="346"/>
      <c r="C13" s="9"/>
      <c r="D13" s="367" t="s">
        <v>412</v>
      </c>
      <c r="E13" s="368"/>
      <c r="F13" s="368"/>
      <c r="G13" s="369"/>
      <c r="H13" s="280" t="s">
        <v>140</v>
      </c>
      <c r="I13" s="480">
        <v>0.5</v>
      </c>
      <c r="J13" s="251">
        <f>I13</f>
        <v>0.5</v>
      </c>
      <c r="K13" s="55">
        <v>0.2</v>
      </c>
      <c r="M13" s="281"/>
      <c r="Q13" s="85"/>
      <c r="R13" s="85"/>
      <c r="S13" s="85"/>
    </row>
    <row r="14" spans="1:19" ht="12.75">
      <c r="A14" s="334"/>
      <c r="B14" s="346"/>
      <c r="C14" s="9"/>
      <c r="D14" s="373" t="s">
        <v>121</v>
      </c>
      <c r="E14" s="9"/>
      <c r="F14" s="9"/>
      <c r="G14" s="67"/>
      <c r="H14" s="248">
        <v>4</v>
      </c>
      <c r="I14" s="480">
        <v>0.14</v>
      </c>
      <c r="J14" s="251">
        <f t="shared" si="0"/>
        <v>0.56</v>
      </c>
      <c r="K14" s="55">
        <v>0.2</v>
      </c>
      <c r="M14" s="281"/>
      <c r="Q14" s="85"/>
      <c r="R14" s="85"/>
      <c r="S14" s="85"/>
    </row>
    <row r="15" spans="1:19" ht="12.75">
      <c r="A15" s="334"/>
      <c r="B15" s="346"/>
      <c r="C15" s="9"/>
      <c r="D15" s="162" t="s">
        <v>374</v>
      </c>
      <c r="E15" s="62"/>
      <c r="F15" s="62"/>
      <c r="G15" s="44"/>
      <c r="H15" s="248">
        <v>4</v>
      </c>
      <c r="I15" s="480">
        <v>1.2</v>
      </c>
      <c r="J15" s="251">
        <f>H15*I15</f>
        <v>4.8</v>
      </c>
      <c r="K15" s="55">
        <v>0.25</v>
      </c>
      <c r="M15" s="273" t="s">
        <v>302</v>
      </c>
      <c r="Q15" s="85"/>
      <c r="R15" s="85"/>
      <c r="S15" s="85"/>
    </row>
    <row r="16" spans="1:19" ht="12.75">
      <c r="A16" s="334"/>
      <c r="B16" s="346"/>
      <c r="C16" s="9"/>
      <c r="D16" s="373" t="s">
        <v>358</v>
      </c>
      <c r="E16" s="9"/>
      <c r="F16" s="9"/>
      <c r="G16" s="67"/>
      <c r="H16" s="248">
        <v>2</v>
      </c>
      <c r="I16" s="480">
        <v>2</v>
      </c>
      <c r="J16" s="251">
        <f>H16*I16</f>
        <v>4</v>
      </c>
      <c r="K16" s="55">
        <v>0.25</v>
      </c>
      <c r="M16" s="281"/>
      <c r="Q16" s="85"/>
      <c r="R16" s="85"/>
      <c r="S16" s="85"/>
    </row>
    <row r="17" spans="1:19" ht="12.75">
      <c r="A17" s="334"/>
      <c r="B17" s="346"/>
      <c r="C17" s="9"/>
      <c r="D17" s="162" t="s">
        <v>416</v>
      </c>
      <c r="E17" s="62"/>
      <c r="F17" s="62"/>
      <c r="G17" s="44"/>
      <c r="H17" s="248">
        <v>2</v>
      </c>
      <c r="I17" s="480">
        <v>1</v>
      </c>
      <c r="J17" s="251">
        <f t="shared" si="0"/>
        <v>2</v>
      </c>
      <c r="K17" s="55">
        <v>0.2</v>
      </c>
      <c r="M17" s="281"/>
      <c r="Q17" s="85"/>
      <c r="R17" s="85"/>
      <c r="S17" s="85"/>
    </row>
    <row r="18" spans="1:19" ht="12.75">
      <c r="A18" s="334"/>
      <c r="B18" s="346"/>
      <c r="C18" s="9"/>
      <c r="D18" s="374" t="s">
        <v>394</v>
      </c>
      <c r="E18" s="9"/>
      <c r="F18" s="9"/>
      <c r="G18" s="67"/>
      <c r="H18" s="26">
        <v>1</v>
      </c>
      <c r="I18" s="477">
        <v>55</v>
      </c>
      <c r="J18" s="251">
        <f t="shared" si="0"/>
        <v>55</v>
      </c>
      <c r="K18" s="55">
        <v>0.2</v>
      </c>
      <c r="M18" s="265"/>
      <c r="Q18" s="85"/>
      <c r="R18" s="85"/>
      <c r="S18" s="85"/>
    </row>
    <row r="19" spans="1:19" ht="12.75">
      <c r="A19" s="334"/>
      <c r="B19" s="346"/>
      <c r="C19" s="9"/>
      <c r="D19" s="162" t="s">
        <v>346</v>
      </c>
      <c r="E19" s="62"/>
      <c r="F19" s="62"/>
      <c r="G19" s="44"/>
      <c r="H19" s="26">
        <v>3</v>
      </c>
      <c r="I19" s="270">
        <f>5.98/3</f>
        <v>1.9933333333333334</v>
      </c>
      <c r="J19" s="251">
        <f t="shared" si="0"/>
        <v>5.98</v>
      </c>
      <c r="K19" s="55">
        <v>0.2</v>
      </c>
      <c r="M19" s="265"/>
      <c r="Q19" s="85"/>
      <c r="R19" s="85"/>
      <c r="S19" s="85"/>
    </row>
    <row r="20" spans="1:19" ht="13.5" thickBot="1">
      <c r="A20" s="334"/>
      <c r="B20" s="346"/>
      <c r="C20" s="9"/>
      <c r="D20" s="376" t="s">
        <v>411</v>
      </c>
      <c r="E20" s="337"/>
      <c r="F20" s="337"/>
      <c r="G20" s="377"/>
      <c r="H20" s="380" t="s">
        <v>140</v>
      </c>
      <c r="I20" s="481">
        <v>1</v>
      </c>
      <c r="J20" s="252">
        <f>I20</f>
        <v>1</v>
      </c>
      <c r="K20" s="69">
        <v>0.2</v>
      </c>
      <c r="M20" s="265"/>
      <c r="Q20" s="85"/>
      <c r="R20" s="85"/>
      <c r="S20" s="85"/>
    </row>
    <row r="21" spans="1:19" ht="13.5" thickBot="1">
      <c r="A21" s="334"/>
      <c r="B21" s="346"/>
      <c r="C21" s="9"/>
      <c r="D21" s="378" t="s">
        <v>39</v>
      </c>
      <c r="E21" s="81"/>
      <c r="F21" s="81"/>
      <c r="G21" s="81"/>
      <c r="H21" s="382"/>
      <c r="I21" s="379"/>
      <c r="J21" s="71">
        <f>SUM(J7:J20)</f>
        <v>99.88000000000001</v>
      </c>
      <c r="K21" s="72">
        <f>SUMPRODUCT(J7:J20,K7:K20)/J21</f>
        <v>0.23111734080897073</v>
      </c>
      <c r="M21" s="274" t="s">
        <v>345</v>
      </c>
      <c r="P21" s="22"/>
      <c r="Q21" s="85"/>
      <c r="R21" s="85"/>
      <c r="S21" s="85"/>
    </row>
    <row r="22" spans="1:19" ht="12.75">
      <c r="A22" s="334"/>
      <c r="B22" s="346"/>
      <c r="C22" s="9"/>
      <c r="D22" s="320"/>
      <c r="E22" s="9"/>
      <c r="F22" s="9"/>
      <c r="H22" s="381"/>
      <c r="I22" s="384"/>
      <c r="J22" s="383"/>
      <c r="K22" s="328"/>
      <c r="M22" s="274"/>
      <c r="Q22" s="85"/>
      <c r="R22" s="85"/>
      <c r="S22" s="85"/>
    </row>
    <row r="23" spans="1:19" ht="12.75">
      <c r="A23" s="9"/>
      <c r="B23" s="345"/>
      <c r="C23" s="217" t="s">
        <v>409</v>
      </c>
      <c r="D23" s="309"/>
      <c r="E23" s="62"/>
      <c r="F23" s="62"/>
      <c r="G23" s="62"/>
      <c r="H23" s="25"/>
      <c r="I23" s="357"/>
      <c r="J23" s="358"/>
      <c r="K23" s="18"/>
      <c r="M23" s="265"/>
      <c r="Q23" s="85"/>
      <c r="R23" s="85"/>
      <c r="S23" s="85"/>
    </row>
    <row r="24" spans="1:19" ht="12.75">
      <c r="A24" s="9"/>
      <c r="B24" s="347"/>
      <c r="C24" s="77"/>
      <c r="D24" s="393" t="s">
        <v>444</v>
      </c>
      <c r="E24" s="62"/>
      <c r="F24" s="62"/>
      <c r="G24" s="44"/>
      <c r="H24" s="392">
        <v>1</v>
      </c>
      <c r="I24" s="478">
        <v>15</v>
      </c>
      <c r="J24" s="283">
        <f>H24*I24</f>
        <v>15</v>
      </c>
      <c r="K24" s="222">
        <v>0.25</v>
      </c>
      <c r="L24" s="83"/>
      <c r="M24" s="265"/>
      <c r="Q24" s="85"/>
      <c r="R24" s="85"/>
      <c r="S24" s="85"/>
    </row>
    <row r="25" spans="1:19" ht="12.75">
      <c r="A25" s="9"/>
      <c r="B25" s="347"/>
      <c r="C25" s="77"/>
      <c r="D25" s="162" t="s">
        <v>372</v>
      </c>
      <c r="E25" s="62"/>
      <c r="F25" s="62"/>
      <c r="G25" s="62"/>
      <c r="H25" s="26">
        <v>3</v>
      </c>
      <c r="I25" s="282">
        <v>1</v>
      </c>
      <c r="J25" s="251">
        <f>H25*I25</f>
        <v>3</v>
      </c>
      <c r="K25" s="55">
        <v>0.25</v>
      </c>
      <c r="M25" s="265"/>
      <c r="Q25" s="85"/>
      <c r="R25" s="85"/>
      <c r="S25" s="85"/>
    </row>
    <row r="26" spans="1:19" ht="13.5" thickBot="1">
      <c r="A26" s="335"/>
      <c r="B26" s="346"/>
      <c r="C26" s="9"/>
      <c r="D26" s="394" t="s">
        <v>446</v>
      </c>
      <c r="E26" s="395"/>
      <c r="F26" s="395"/>
      <c r="G26" s="395"/>
      <c r="H26" s="380" t="s">
        <v>140</v>
      </c>
      <c r="I26" s="481">
        <v>2</v>
      </c>
      <c r="J26" s="252">
        <f>I26</f>
        <v>2</v>
      </c>
      <c r="K26" s="69">
        <v>0.2</v>
      </c>
      <c r="M26" s="265"/>
      <c r="Q26" s="85"/>
      <c r="R26" s="85"/>
      <c r="S26" s="85"/>
    </row>
    <row r="27" spans="1:19" ht="13.5" thickBot="1">
      <c r="A27" s="334"/>
      <c r="B27" s="346"/>
      <c r="C27" s="9"/>
      <c r="D27" s="378" t="s">
        <v>39</v>
      </c>
      <c r="E27" s="81"/>
      <c r="F27" s="81"/>
      <c r="G27" s="81"/>
      <c r="H27" s="382"/>
      <c r="I27" s="396"/>
      <c r="J27" s="385">
        <f>SUM(J24:J26)</f>
        <v>20</v>
      </c>
      <c r="K27" s="72">
        <f>SUMPRODUCT(J24:J26,K24:K26)/J27</f>
        <v>0.24500000000000002</v>
      </c>
      <c r="M27" s="274" t="s">
        <v>343</v>
      </c>
      <c r="Q27" s="85"/>
      <c r="R27" s="85"/>
      <c r="S27" s="85"/>
    </row>
    <row r="28" spans="1:19" ht="12.75">
      <c r="A28" s="334"/>
      <c r="B28" s="346"/>
      <c r="C28" s="9"/>
      <c r="D28" s="320"/>
      <c r="E28" s="9"/>
      <c r="F28" s="9"/>
      <c r="H28" s="381"/>
      <c r="I28" s="384"/>
      <c r="J28" s="383"/>
      <c r="K28" s="328"/>
      <c r="M28" s="274"/>
      <c r="Q28" s="85"/>
      <c r="R28" s="85"/>
      <c r="S28" s="85"/>
    </row>
    <row r="29" spans="1:19" ht="12.75">
      <c r="A29" s="9"/>
      <c r="B29" s="346"/>
      <c r="C29" s="217" t="s">
        <v>284</v>
      </c>
      <c r="D29" s="309"/>
      <c r="E29" s="62"/>
      <c r="F29" s="62"/>
      <c r="G29" s="62"/>
      <c r="H29" s="161"/>
      <c r="I29" s="400"/>
      <c r="J29" s="358"/>
      <c r="K29" s="161"/>
      <c r="M29" s="265"/>
      <c r="Q29" s="85"/>
      <c r="R29" s="85"/>
      <c r="S29" s="85"/>
    </row>
    <row r="30" spans="1:19" ht="12.75">
      <c r="A30" s="9"/>
      <c r="B30" s="346"/>
      <c r="C30" s="9"/>
      <c r="D30" s="398" t="s">
        <v>274</v>
      </c>
      <c r="E30" s="9"/>
      <c r="F30" s="9"/>
      <c r="H30" s="26">
        <v>3</v>
      </c>
      <c r="I30" s="480">
        <v>9</v>
      </c>
      <c r="J30" s="251">
        <f>H30*I30</f>
        <v>27</v>
      </c>
      <c r="K30" s="397">
        <v>0.5</v>
      </c>
      <c r="M30" s="9" t="s">
        <v>361</v>
      </c>
      <c r="Q30" s="85"/>
      <c r="R30" s="85"/>
      <c r="S30" s="85"/>
    </row>
    <row r="31" spans="1:19" ht="12.75">
      <c r="A31" s="9"/>
      <c r="B31" s="346"/>
      <c r="C31" s="9"/>
      <c r="D31" s="398" t="s">
        <v>281</v>
      </c>
      <c r="E31" s="62"/>
      <c r="F31" s="62"/>
      <c r="G31" s="62"/>
      <c r="H31" s="53">
        <v>2</v>
      </c>
      <c r="I31" s="482">
        <v>15</v>
      </c>
      <c r="J31" s="251">
        <f>H31*I31</f>
        <v>30</v>
      </c>
      <c r="K31" s="55">
        <v>0.25</v>
      </c>
      <c r="M31" s="265"/>
      <c r="Q31" s="85"/>
      <c r="R31" s="85"/>
      <c r="S31" s="85"/>
    </row>
    <row r="32" spans="1:19" ht="13.5" thickBot="1">
      <c r="A32" s="9"/>
      <c r="B32" s="346"/>
      <c r="C32" s="9"/>
      <c r="D32" s="399" t="s">
        <v>285</v>
      </c>
      <c r="E32" s="371"/>
      <c r="F32" s="371"/>
      <c r="G32" s="372"/>
      <c r="H32" s="74">
        <v>2</v>
      </c>
      <c r="I32" s="284">
        <v>10</v>
      </c>
      <c r="J32" s="252">
        <f>H32*I32</f>
        <v>20</v>
      </c>
      <c r="K32" s="360">
        <v>0.25</v>
      </c>
      <c r="L32" s="83"/>
      <c r="M32" s="265"/>
      <c r="Q32" s="85"/>
      <c r="R32" s="85"/>
      <c r="S32" s="85"/>
    </row>
    <row r="33" spans="1:19" ht="13.5" thickBot="1">
      <c r="A33" s="9"/>
      <c r="B33" s="346"/>
      <c r="C33" s="9"/>
      <c r="D33" s="378" t="s">
        <v>39</v>
      </c>
      <c r="E33" s="81"/>
      <c r="F33" s="81"/>
      <c r="G33" s="81"/>
      <c r="H33" s="382"/>
      <c r="I33" s="396"/>
      <c r="J33" s="71">
        <f>SUM(J30:J32)</f>
        <v>77</v>
      </c>
      <c r="K33" s="72">
        <f>SUMPRODUCT(J30:J32,K30:K32)/J33</f>
        <v>0.33766233766233766</v>
      </c>
      <c r="M33" s="265"/>
      <c r="Q33" s="85"/>
      <c r="R33" s="85"/>
      <c r="S33" s="85"/>
    </row>
    <row r="34" spans="1:19" ht="12.75">
      <c r="A34" s="9"/>
      <c r="B34" s="346"/>
      <c r="C34" s="9"/>
      <c r="D34" s="320"/>
      <c r="E34" s="9"/>
      <c r="F34" s="9"/>
      <c r="H34" s="381"/>
      <c r="I34" s="384"/>
      <c r="J34" s="383"/>
      <c r="K34" s="328"/>
      <c r="M34" s="265"/>
      <c r="Q34" s="85"/>
      <c r="R34" s="85"/>
      <c r="S34" s="85"/>
    </row>
    <row r="35" spans="1:19" ht="12.75">
      <c r="A35" s="9"/>
      <c r="B35" s="346"/>
      <c r="C35" s="217" t="s">
        <v>187</v>
      </c>
      <c r="D35" s="309"/>
      <c r="E35" s="62"/>
      <c r="F35" s="62"/>
      <c r="G35" s="62"/>
      <c r="H35" s="161"/>
      <c r="I35" s="400"/>
      <c r="J35" s="358"/>
      <c r="K35" s="161"/>
      <c r="M35" s="265"/>
      <c r="Q35" s="85"/>
      <c r="R35" s="85"/>
      <c r="S35" s="85"/>
    </row>
    <row r="36" spans="1:19" ht="13.5" thickBot="1">
      <c r="A36" s="9"/>
      <c r="B36" s="346"/>
      <c r="C36" s="9"/>
      <c r="D36" s="401" t="s">
        <v>344</v>
      </c>
      <c r="E36" s="371"/>
      <c r="F36" s="371"/>
      <c r="G36" s="372"/>
      <c r="H36" s="74">
        <v>1</v>
      </c>
      <c r="I36" s="284">
        <v>7.5</v>
      </c>
      <c r="J36" s="252">
        <f>H36*I36</f>
        <v>7.5</v>
      </c>
      <c r="K36" s="397">
        <v>0.25</v>
      </c>
      <c r="M36" s="274" t="s">
        <v>360</v>
      </c>
      <c r="Q36" s="85"/>
      <c r="R36" s="85"/>
      <c r="S36" s="85"/>
    </row>
    <row r="37" spans="1:19" ht="13.5" thickBot="1">
      <c r="A37" s="9"/>
      <c r="B37" s="346"/>
      <c r="C37" s="9"/>
      <c r="D37" s="378" t="s">
        <v>39</v>
      </c>
      <c r="E37" s="81"/>
      <c r="F37" s="81"/>
      <c r="G37" s="81"/>
      <c r="H37" s="70"/>
      <c r="I37" s="356"/>
      <c r="J37" s="71">
        <f>SUM(J36:J36)</f>
        <v>7.5</v>
      </c>
      <c r="K37" s="72">
        <f>SUMPRODUCT(J36:J36,K36:K36)/J37</f>
        <v>0.25</v>
      </c>
      <c r="M37" s="223"/>
      <c r="Q37" s="85"/>
      <c r="R37" s="85"/>
      <c r="S37" s="85"/>
    </row>
    <row r="38" spans="1:19" ht="12.75">
      <c r="A38" s="9"/>
      <c r="B38" s="346"/>
      <c r="C38" s="9"/>
      <c r="D38" s="320"/>
      <c r="E38" s="9"/>
      <c r="F38" s="9"/>
      <c r="H38" s="381"/>
      <c r="I38" s="384"/>
      <c r="J38" s="383"/>
      <c r="K38" s="328"/>
      <c r="M38" s="223"/>
      <c r="Q38" s="85"/>
      <c r="R38" s="85"/>
      <c r="S38" s="85"/>
    </row>
    <row r="39" spans="1:19" ht="12.75">
      <c r="A39" s="9"/>
      <c r="B39" s="346"/>
      <c r="C39" s="217" t="s">
        <v>129</v>
      </c>
      <c r="D39" s="309"/>
      <c r="E39" s="62"/>
      <c r="F39" s="62"/>
      <c r="G39" s="44"/>
      <c r="H39" s="161"/>
      <c r="I39" s="400"/>
      <c r="J39" s="358"/>
      <c r="K39" s="161"/>
      <c r="M39" s="265"/>
      <c r="Q39" s="85"/>
      <c r="R39" s="85"/>
      <c r="S39" s="85"/>
    </row>
    <row r="40" spans="1:19" ht="12.75">
      <c r="A40" s="334"/>
      <c r="B40" s="346"/>
      <c r="C40" s="9"/>
      <c r="D40" s="370" t="s">
        <v>353</v>
      </c>
      <c r="E40" s="371"/>
      <c r="F40" s="371"/>
      <c r="G40" s="372"/>
      <c r="H40" s="26">
        <v>1</v>
      </c>
      <c r="I40" s="480">
        <f>2700*0.005*3*(PI()*2.6/4)</f>
        <v>82.7024266057513</v>
      </c>
      <c r="J40" s="251">
        <f>H40*I40</f>
        <v>82.7024266057513</v>
      </c>
      <c r="K40" s="55">
        <v>0.25</v>
      </c>
      <c r="M40" s="265"/>
      <c r="Q40" s="85"/>
      <c r="R40" s="85"/>
      <c r="S40" s="85"/>
    </row>
    <row r="41" spans="1:19" ht="12.75">
      <c r="A41" s="334"/>
      <c r="B41" s="346"/>
      <c r="C41" s="9"/>
      <c r="D41" s="367" t="s">
        <v>411</v>
      </c>
      <c r="E41" s="368"/>
      <c r="F41" s="368"/>
      <c r="G41" s="369"/>
      <c r="H41" s="280" t="s">
        <v>140</v>
      </c>
      <c r="I41" s="480">
        <v>2.5</v>
      </c>
      <c r="J41" s="251">
        <f>I41</f>
        <v>2.5</v>
      </c>
      <c r="K41" s="55">
        <v>0.2</v>
      </c>
      <c r="M41" s="265"/>
      <c r="Q41" s="85"/>
      <c r="R41" s="85"/>
      <c r="S41" s="85"/>
    </row>
    <row r="42" spans="1:19" ht="12.75">
      <c r="A42" s="334"/>
      <c r="B42" s="346"/>
      <c r="C42" s="9"/>
      <c r="D42" s="373" t="s">
        <v>413</v>
      </c>
      <c r="E42" s="21"/>
      <c r="F42" s="21"/>
      <c r="G42" s="427"/>
      <c r="H42" s="483" t="s">
        <v>447</v>
      </c>
      <c r="I42" s="282"/>
      <c r="J42" s="251">
        <f>H42*I42</f>
        <v>0</v>
      </c>
      <c r="K42" s="55">
        <v>0.2</v>
      </c>
      <c r="M42" s="265"/>
      <c r="Q42" s="85"/>
      <c r="R42" s="85"/>
      <c r="S42" s="85"/>
    </row>
    <row r="43" spans="1:19" ht="12.75">
      <c r="A43" s="334"/>
      <c r="B43" s="346"/>
      <c r="C43" s="9"/>
      <c r="D43" s="162" t="s">
        <v>161</v>
      </c>
      <c r="E43" s="62"/>
      <c r="F43" s="62"/>
      <c r="G43" s="44"/>
      <c r="H43" s="26">
        <v>8</v>
      </c>
      <c r="I43" s="480">
        <v>2</v>
      </c>
      <c r="J43" s="251">
        <f>H43*I43</f>
        <v>16</v>
      </c>
      <c r="K43" s="55">
        <v>0.25</v>
      </c>
      <c r="M43" s="265"/>
      <c r="Q43" s="85"/>
      <c r="R43" s="85"/>
      <c r="S43" s="85"/>
    </row>
    <row r="44" spans="1:19" ht="13.5" thickBot="1">
      <c r="A44" s="334"/>
      <c r="B44" s="346"/>
      <c r="C44" s="9"/>
      <c r="D44" s="373" t="s">
        <v>359</v>
      </c>
      <c r="E44" s="9"/>
      <c r="F44" s="9"/>
      <c r="G44" s="67"/>
      <c r="H44" s="68">
        <v>6</v>
      </c>
      <c r="I44" s="481">
        <v>1</v>
      </c>
      <c r="J44" s="252">
        <f>H44*I44</f>
        <v>6</v>
      </c>
      <c r="K44" s="69">
        <v>0.25</v>
      </c>
      <c r="M44" s="265"/>
      <c r="Q44" s="85"/>
      <c r="R44" s="85"/>
      <c r="S44" s="85"/>
    </row>
    <row r="45" spans="1:19" ht="13.5" thickBot="1">
      <c r="A45" s="334"/>
      <c r="B45" s="346"/>
      <c r="C45" s="9"/>
      <c r="D45" s="80" t="s">
        <v>39</v>
      </c>
      <c r="E45" s="81"/>
      <c r="F45" s="81"/>
      <c r="G45" s="81"/>
      <c r="H45" s="382"/>
      <c r="I45" s="396"/>
      <c r="J45" s="385">
        <f>SUM(J40:J44)</f>
        <v>107.2024266057513</v>
      </c>
      <c r="K45" s="72">
        <f>SUMPRODUCT(J40:J44,K40:K44)/J45</f>
        <v>0.24883398161816148</v>
      </c>
      <c r="M45" s="223"/>
      <c r="Q45" s="85"/>
      <c r="R45" s="85"/>
      <c r="S45" s="85"/>
    </row>
    <row r="46" spans="1:19" ht="12.75">
      <c r="A46" s="334"/>
      <c r="B46" s="21"/>
      <c r="C46" s="21"/>
      <c r="D46" s="320"/>
      <c r="E46" s="21"/>
      <c r="F46" s="21"/>
      <c r="G46" s="21"/>
      <c r="H46" s="429"/>
      <c r="I46" s="430"/>
      <c r="J46" s="359"/>
      <c r="K46" s="433"/>
      <c r="L46" s="21"/>
      <c r="M46" s="223"/>
      <c r="N46" s="21"/>
      <c r="Q46" s="85"/>
      <c r="R46" s="85"/>
      <c r="S46" s="85"/>
    </row>
    <row r="47" spans="1:19" ht="12.75">
      <c r="A47" s="334"/>
      <c r="B47" s="21"/>
      <c r="C47" s="21"/>
      <c r="D47" s="21"/>
      <c r="E47" s="320"/>
      <c r="F47" s="423"/>
      <c r="G47" s="423"/>
      <c r="H47" s="423"/>
      <c r="I47" s="423"/>
      <c r="J47" s="423"/>
      <c r="K47" s="423"/>
      <c r="L47" s="21"/>
      <c r="M47" s="223"/>
      <c r="N47" s="21"/>
      <c r="Q47" s="85"/>
      <c r="R47" s="85"/>
      <c r="S47" s="85"/>
    </row>
    <row r="48" spans="1:19" ht="25.5">
      <c r="A48" s="9"/>
      <c r="B48" s="348" t="s">
        <v>420</v>
      </c>
      <c r="C48" s="348"/>
      <c r="D48" s="348"/>
      <c r="E48" s="349"/>
      <c r="F48" s="431" t="s">
        <v>156</v>
      </c>
      <c r="G48" s="432" t="s">
        <v>192</v>
      </c>
      <c r="H48" s="75" t="s">
        <v>55</v>
      </c>
      <c r="I48" s="361" t="s">
        <v>143</v>
      </c>
      <c r="J48" s="75" t="s">
        <v>419</v>
      </c>
      <c r="K48" s="75" t="s">
        <v>185</v>
      </c>
      <c r="L48" s="216"/>
      <c r="Q48" s="85"/>
      <c r="R48" s="85"/>
      <c r="S48" s="85"/>
    </row>
    <row r="49" spans="1:19" ht="12.75">
      <c r="A49" s="9"/>
      <c r="B49" s="350"/>
      <c r="C49" s="402" t="s">
        <v>373</v>
      </c>
      <c r="D49" s="403"/>
      <c r="E49" s="62"/>
      <c r="F49" s="62"/>
      <c r="G49" s="333"/>
      <c r="H49" s="25"/>
      <c r="I49" s="357"/>
      <c r="J49" s="358"/>
      <c r="K49" s="18"/>
      <c r="L49" s="265"/>
      <c r="M49" s="285" t="s">
        <v>316</v>
      </c>
      <c r="P49" s="1"/>
      <c r="Q49" s="85"/>
      <c r="R49" s="85"/>
      <c r="S49" s="85"/>
    </row>
    <row r="50" spans="1:19" ht="12.75">
      <c r="A50" s="334"/>
      <c r="B50" s="351"/>
      <c r="C50" s="9"/>
      <c r="D50" s="61" t="s">
        <v>309</v>
      </c>
      <c r="E50" s="62"/>
      <c r="F50" s="54">
        <v>0.85</v>
      </c>
      <c r="G50" s="405">
        <v>2.05</v>
      </c>
      <c r="H50" s="26">
        <v>1</v>
      </c>
      <c r="I50" s="270">
        <v>198</v>
      </c>
      <c r="J50" s="386">
        <f>H50*I50</f>
        <v>198</v>
      </c>
      <c r="K50" s="55">
        <v>0.15</v>
      </c>
      <c r="L50" s="317"/>
      <c r="Q50" s="85"/>
      <c r="R50" s="85"/>
      <c r="S50" s="85"/>
    </row>
    <row r="51" spans="1:19" ht="12.75">
      <c r="A51" s="334"/>
      <c r="B51" s="351"/>
      <c r="C51" s="9"/>
      <c r="D51" s="9"/>
      <c r="E51" s="79" t="s">
        <v>368</v>
      </c>
      <c r="F51" s="9"/>
      <c r="G51" s="84"/>
      <c r="H51" s="26">
        <v>1</v>
      </c>
      <c r="I51" s="480">
        <v>8</v>
      </c>
      <c r="J51" s="386">
        <f>H51*I51</f>
        <v>8</v>
      </c>
      <c r="K51" s="55">
        <v>0.25</v>
      </c>
      <c r="L51" s="317"/>
      <c r="M51" s="272" t="s">
        <v>369</v>
      </c>
      <c r="Q51" s="85"/>
      <c r="R51" s="85"/>
      <c r="S51" s="85"/>
    </row>
    <row r="52" spans="1:19" ht="12.75">
      <c r="A52" s="334"/>
      <c r="B52" s="351"/>
      <c r="C52" s="9"/>
      <c r="D52" s="21"/>
      <c r="E52" s="61" t="s">
        <v>313</v>
      </c>
      <c r="F52" s="62"/>
      <c r="G52" s="405"/>
      <c r="H52" s="26">
        <v>3</v>
      </c>
      <c r="I52" s="282">
        <f>15.25/3</f>
        <v>5.083333333333333</v>
      </c>
      <c r="J52" s="386">
        <f>H52*I52</f>
        <v>15.25</v>
      </c>
      <c r="K52" s="55">
        <v>0.25</v>
      </c>
      <c r="L52" s="317"/>
      <c r="Q52" s="85"/>
      <c r="R52" s="85"/>
      <c r="S52" s="85"/>
    </row>
    <row r="53" spans="1:19" ht="12.75">
      <c r="A53" s="334"/>
      <c r="B53" s="351"/>
      <c r="C53" s="9"/>
      <c r="D53" s="21"/>
      <c r="E53" s="375" t="s">
        <v>411</v>
      </c>
      <c r="F53" s="337"/>
      <c r="G53" s="363"/>
      <c r="H53" s="280" t="s">
        <v>140</v>
      </c>
      <c r="I53" s="480">
        <v>6</v>
      </c>
      <c r="J53" s="386">
        <f>I53</f>
        <v>6</v>
      </c>
      <c r="K53" s="55">
        <v>0.2</v>
      </c>
      <c r="L53" s="317"/>
      <c r="Q53" s="85"/>
      <c r="R53" s="85"/>
      <c r="S53" s="85"/>
    </row>
    <row r="54" spans="1:19" ht="12.75">
      <c r="A54" s="334"/>
      <c r="B54" s="351"/>
      <c r="C54" s="9"/>
      <c r="D54" s="162" t="s">
        <v>141</v>
      </c>
      <c r="E54" s="62"/>
      <c r="F54" s="54">
        <v>0.76</v>
      </c>
      <c r="G54" s="405">
        <v>0.44</v>
      </c>
      <c r="H54" s="26">
        <v>1</v>
      </c>
      <c r="I54" s="270">
        <v>4.1</v>
      </c>
      <c r="J54" s="386">
        <f>H54*I54</f>
        <v>4.1</v>
      </c>
      <c r="K54" s="55">
        <v>0.15</v>
      </c>
      <c r="L54" s="317"/>
      <c r="Q54" s="85"/>
      <c r="R54" s="85"/>
      <c r="S54" s="85"/>
    </row>
    <row r="55" spans="1:19" ht="12.75">
      <c r="A55" s="336"/>
      <c r="B55" s="351"/>
      <c r="C55" s="9"/>
      <c r="D55" s="21"/>
      <c r="E55" s="79" t="s">
        <v>312</v>
      </c>
      <c r="F55" s="92"/>
      <c r="G55" s="84"/>
      <c r="H55" s="26">
        <v>1</v>
      </c>
      <c r="I55" s="480">
        <v>1.99</v>
      </c>
      <c r="J55" s="386">
        <f>H55*I55</f>
        <v>1.99</v>
      </c>
      <c r="K55" s="55">
        <v>0.2</v>
      </c>
      <c r="L55" s="317"/>
      <c r="Q55" s="85"/>
      <c r="R55" s="85"/>
      <c r="S55" s="85"/>
    </row>
    <row r="56" spans="1:19" ht="12.75">
      <c r="A56" s="334"/>
      <c r="B56" s="351"/>
      <c r="C56" s="9"/>
      <c r="D56" s="21"/>
      <c r="E56" s="61" t="s">
        <v>287</v>
      </c>
      <c r="F56" s="404"/>
      <c r="G56" s="405"/>
      <c r="H56" s="26">
        <v>1</v>
      </c>
      <c r="I56" s="480">
        <f>5.51-I54</f>
        <v>1.4100000000000001</v>
      </c>
      <c r="J56" s="386">
        <f>H56*I56</f>
        <v>1.4100000000000001</v>
      </c>
      <c r="K56" s="55">
        <v>0.2</v>
      </c>
      <c r="L56" s="317"/>
      <c r="Q56" s="85"/>
      <c r="R56" s="85"/>
      <c r="S56" s="85"/>
    </row>
    <row r="57" spans="1:19" ht="12.75">
      <c r="A57" s="334"/>
      <c r="B57" s="351"/>
      <c r="C57" s="9"/>
      <c r="D57" s="21"/>
      <c r="E57" s="367" t="s">
        <v>411</v>
      </c>
      <c r="F57" s="337"/>
      <c r="G57" s="363"/>
      <c r="H57" s="280" t="s">
        <v>140</v>
      </c>
      <c r="I57" s="480">
        <v>1.5</v>
      </c>
      <c r="J57" s="386">
        <f>I57</f>
        <v>1.5</v>
      </c>
      <c r="K57" s="55">
        <v>0.2</v>
      </c>
      <c r="L57" s="317"/>
      <c r="Q57" s="85"/>
      <c r="R57" s="85"/>
      <c r="S57" s="85"/>
    </row>
    <row r="58" spans="1:19" ht="12.75">
      <c r="A58" s="334"/>
      <c r="B58" s="351"/>
      <c r="C58" s="21"/>
      <c r="D58" s="162" t="s">
        <v>310</v>
      </c>
      <c r="E58" s="309"/>
      <c r="F58" s="438">
        <v>0.74</v>
      </c>
      <c r="G58" s="343">
        <v>0.55</v>
      </c>
      <c r="H58" s="26">
        <v>1</v>
      </c>
      <c r="I58" s="270">
        <v>14.4</v>
      </c>
      <c r="J58" s="386">
        <f>H58*I58</f>
        <v>14.4</v>
      </c>
      <c r="K58" s="55">
        <v>0.2</v>
      </c>
      <c r="L58" s="317"/>
      <c r="Q58" s="85"/>
      <c r="R58" s="85"/>
      <c r="S58" s="85"/>
    </row>
    <row r="59" spans="1:19" ht="12.75">
      <c r="A59" s="334"/>
      <c r="B59" s="351"/>
      <c r="C59" s="21"/>
      <c r="D59" s="21"/>
      <c r="E59" s="162" t="s">
        <v>154</v>
      </c>
      <c r="F59" s="309"/>
      <c r="G59" s="343"/>
      <c r="H59" s="26">
        <v>3</v>
      </c>
      <c r="I59" s="282">
        <f>1.61/3</f>
        <v>0.5366666666666667</v>
      </c>
      <c r="J59" s="386">
        <f>H59*I59</f>
        <v>1.6100000000000003</v>
      </c>
      <c r="K59" s="55">
        <v>0.25</v>
      </c>
      <c r="L59" s="317"/>
      <c r="Q59" s="85"/>
      <c r="R59" s="85"/>
      <c r="S59" s="85"/>
    </row>
    <row r="60" spans="1:19" ht="12.75">
      <c r="A60" s="334"/>
      <c r="B60" s="351"/>
      <c r="C60" s="21"/>
      <c r="D60" s="21"/>
      <c r="E60" s="367" t="s">
        <v>411</v>
      </c>
      <c r="F60" s="337"/>
      <c r="G60" s="363"/>
      <c r="H60" s="280" t="s">
        <v>140</v>
      </c>
      <c r="I60" s="480">
        <v>2</v>
      </c>
      <c r="J60" s="386">
        <f>I60</f>
        <v>2</v>
      </c>
      <c r="K60" s="55">
        <v>0.2</v>
      </c>
      <c r="L60" s="317"/>
      <c r="Q60" s="85"/>
      <c r="R60" s="85"/>
      <c r="S60" s="85"/>
    </row>
    <row r="61" spans="1:19" ht="12.75">
      <c r="A61" s="334"/>
      <c r="B61" s="351"/>
      <c r="C61" s="21"/>
      <c r="D61" s="162" t="s">
        <v>142</v>
      </c>
      <c r="E61" s="309"/>
      <c r="F61" s="438">
        <v>0.76</v>
      </c>
      <c r="G61" s="343">
        <v>0.7</v>
      </c>
      <c r="H61" s="26">
        <v>1</v>
      </c>
      <c r="I61" s="270">
        <v>13.8</v>
      </c>
      <c r="J61" s="386">
        <f>H61*I61</f>
        <v>13.8</v>
      </c>
      <c r="K61" s="55">
        <v>0.15</v>
      </c>
      <c r="L61" s="317"/>
      <c r="Q61" s="85"/>
      <c r="R61" s="85"/>
      <c r="S61" s="85"/>
    </row>
    <row r="62" spans="1:19" ht="12.75">
      <c r="A62" s="334"/>
      <c r="B62" s="349"/>
      <c r="C62" s="21"/>
      <c r="D62" s="21"/>
      <c r="E62" s="370" t="s">
        <v>314</v>
      </c>
      <c r="F62" s="406"/>
      <c r="G62" s="407"/>
      <c r="H62" s="26">
        <v>3</v>
      </c>
      <c r="I62" s="270">
        <f>2.33/3</f>
        <v>0.7766666666666667</v>
      </c>
      <c r="J62" s="386">
        <f>H62*I62</f>
        <v>2.33</v>
      </c>
      <c r="K62" s="55">
        <v>0.2</v>
      </c>
      <c r="L62" s="317"/>
      <c r="Q62" s="85"/>
      <c r="R62" s="85"/>
      <c r="S62" s="85"/>
    </row>
    <row r="63" spans="1:19" ht="12.75">
      <c r="A63" s="336"/>
      <c r="B63" s="349"/>
      <c r="C63" s="21"/>
      <c r="D63" s="21"/>
      <c r="E63" s="162" t="s">
        <v>370</v>
      </c>
      <c r="F63" s="309"/>
      <c r="G63" s="343"/>
      <c r="H63" s="26">
        <v>6</v>
      </c>
      <c r="I63" s="480">
        <v>0.2</v>
      </c>
      <c r="J63" s="386">
        <f>H63*I63</f>
        <v>1.2000000000000002</v>
      </c>
      <c r="K63" s="55">
        <v>0.2</v>
      </c>
      <c r="L63" s="317"/>
      <c r="Q63" s="85"/>
      <c r="R63" s="85"/>
      <c r="S63" s="85"/>
    </row>
    <row r="64" spans="1:19" ht="12.75">
      <c r="A64" s="334"/>
      <c r="B64" s="349"/>
      <c r="C64" s="21"/>
      <c r="D64" s="21"/>
      <c r="E64" s="376" t="s">
        <v>411</v>
      </c>
      <c r="F64" s="337"/>
      <c r="G64" s="408"/>
      <c r="H64" s="380" t="s">
        <v>140</v>
      </c>
      <c r="I64" s="481">
        <v>2</v>
      </c>
      <c r="J64" s="387">
        <f>I64</f>
        <v>2</v>
      </c>
      <c r="K64" s="69">
        <v>0.2</v>
      </c>
      <c r="L64" s="317"/>
      <c r="Q64" s="85"/>
      <c r="R64" s="85"/>
      <c r="S64" s="85"/>
    </row>
    <row r="65" spans="1:19" ht="13.5" thickBot="1">
      <c r="A65" s="334"/>
      <c r="B65" s="349"/>
      <c r="C65" s="21"/>
      <c r="D65" s="394" t="s">
        <v>445</v>
      </c>
      <c r="E65" s="395"/>
      <c r="F65" s="395"/>
      <c r="G65" s="479"/>
      <c r="H65" s="68">
        <v>1</v>
      </c>
      <c r="I65" s="481">
        <v>10</v>
      </c>
      <c r="J65" s="387">
        <f>I65</f>
        <v>10</v>
      </c>
      <c r="K65" s="69">
        <v>0.2</v>
      </c>
      <c r="L65" s="317"/>
      <c r="Q65" s="85"/>
      <c r="R65" s="85"/>
      <c r="S65" s="85"/>
    </row>
    <row r="66" spans="1:19" ht="13.5" thickBot="1">
      <c r="A66" s="334"/>
      <c r="B66" s="349"/>
      <c r="C66" s="21"/>
      <c r="D66" s="378" t="s">
        <v>342</v>
      </c>
      <c r="E66" s="81"/>
      <c r="F66" s="344"/>
      <c r="G66" s="342"/>
      <c r="H66" s="409"/>
      <c r="I66" s="410"/>
      <c r="J66" s="71">
        <f>SUM(J50:J65)</f>
        <v>283.59</v>
      </c>
      <c r="K66" s="72">
        <f>SUMPRODUCT(J50:J64,K50:K64)/J66</f>
        <v>0.15926513628830358</v>
      </c>
      <c r="L66" s="318"/>
      <c r="Q66" s="85"/>
      <c r="R66" s="85"/>
      <c r="S66" s="85"/>
    </row>
    <row r="67" spans="1:19" ht="12.75">
      <c r="A67" s="334"/>
      <c r="B67" s="349"/>
      <c r="C67" s="21"/>
      <c r="D67" s="21"/>
      <c r="E67" s="320"/>
      <c r="F67" s="21"/>
      <c r="G67" s="332"/>
      <c r="H67" s="329"/>
      <c r="I67" s="330"/>
      <c r="J67" s="383"/>
      <c r="K67" s="328"/>
      <c r="L67" s="318"/>
      <c r="Q67" s="85"/>
      <c r="R67" s="85"/>
      <c r="S67" s="85"/>
    </row>
    <row r="68" spans="1:19" ht="12.75">
      <c r="A68" s="9"/>
      <c r="B68" s="350"/>
      <c r="C68" s="411" t="s">
        <v>399</v>
      </c>
      <c r="D68" s="412"/>
      <c r="E68" s="309"/>
      <c r="F68" s="413"/>
      <c r="G68" s="414"/>
      <c r="H68" s="25"/>
      <c r="I68" s="357"/>
      <c r="J68" s="358"/>
      <c r="K68" s="18"/>
      <c r="L68" s="265"/>
      <c r="M68" s="285" t="s">
        <v>317</v>
      </c>
      <c r="Q68" s="85"/>
      <c r="R68" s="85"/>
      <c r="S68" s="85"/>
    </row>
    <row r="69" spans="1:19" ht="12.75">
      <c r="A69" s="334"/>
      <c r="B69" s="351"/>
      <c r="C69" s="21"/>
      <c r="D69" s="162" t="s">
        <v>162</v>
      </c>
      <c r="E69" s="309"/>
      <c r="F69" s="309"/>
      <c r="G69" s="343"/>
      <c r="H69" s="26">
        <v>1</v>
      </c>
      <c r="I69" s="270">
        <f>12.23+11.22+4.56+0.69+1.46+0.47</f>
        <v>30.630000000000003</v>
      </c>
      <c r="J69" s="251">
        <f>H69*I69</f>
        <v>30.630000000000003</v>
      </c>
      <c r="K69" s="55">
        <v>0.2</v>
      </c>
      <c r="L69" s="317"/>
      <c r="Q69" s="85"/>
      <c r="R69" s="85"/>
      <c r="S69" s="85"/>
    </row>
    <row r="70" spans="1:19" ht="12.75">
      <c r="A70" s="334"/>
      <c r="B70" s="351"/>
      <c r="C70" s="21"/>
      <c r="D70" s="21"/>
      <c r="E70" s="367" t="s">
        <v>411</v>
      </c>
      <c r="F70" s="337"/>
      <c r="G70" s="363"/>
      <c r="H70" s="280" t="s">
        <v>140</v>
      </c>
      <c r="I70" s="480">
        <v>4</v>
      </c>
      <c r="J70" s="251">
        <f>I70</f>
        <v>4</v>
      </c>
      <c r="K70" s="55">
        <v>0.2</v>
      </c>
      <c r="L70" s="316"/>
      <c r="Q70" s="85"/>
      <c r="R70" s="85"/>
      <c r="S70" s="85"/>
    </row>
    <row r="71" spans="1:19" ht="12.75">
      <c r="A71" s="334"/>
      <c r="B71" s="351"/>
      <c r="C71" s="21"/>
      <c r="D71" s="162" t="s">
        <v>159</v>
      </c>
      <c r="E71" s="309"/>
      <c r="F71" s="309"/>
      <c r="G71" s="343"/>
      <c r="H71" s="26">
        <v>1</v>
      </c>
      <c r="I71" s="270">
        <f>18.19+24.7+4.88</f>
        <v>47.77</v>
      </c>
      <c r="J71" s="251">
        <f>H71*I71</f>
        <v>47.77</v>
      </c>
      <c r="K71" s="55">
        <v>0.2</v>
      </c>
      <c r="L71" s="317"/>
      <c r="Q71" s="85"/>
      <c r="R71" s="85"/>
      <c r="S71" s="85"/>
    </row>
    <row r="72" spans="1:19" ht="12.75">
      <c r="A72" s="334"/>
      <c r="B72" s="351"/>
      <c r="C72" s="21"/>
      <c r="D72" s="21"/>
      <c r="E72" s="367" t="s">
        <v>411</v>
      </c>
      <c r="F72" s="337"/>
      <c r="G72" s="363"/>
      <c r="H72" s="280" t="s">
        <v>140</v>
      </c>
      <c r="I72" s="480">
        <v>4</v>
      </c>
      <c r="J72" s="251">
        <f>I72</f>
        <v>4</v>
      </c>
      <c r="K72" s="55">
        <v>0.2</v>
      </c>
      <c r="L72" s="316"/>
      <c r="Q72" s="85"/>
      <c r="R72" s="85"/>
      <c r="S72" s="85"/>
    </row>
    <row r="73" spans="1:19" ht="12.75">
      <c r="A73" s="334"/>
      <c r="B73" s="351"/>
      <c r="C73" s="21"/>
      <c r="D73" s="162" t="s">
        <v>385</v>
      </c>
      <c r="E73" s="309"/>
      <c r="F73" s="309"/>
      <c r="G73" s="343"/>
      <c r="H73" s="26">
        <v>1</v>
      </c>
      <c r="I73" s="270">
        <v>19.59</v>
      </c>
      <c r="J73" s="251">
        <f>H73*I73</f>
        <v>19.59</v>
      </c>
      <c r="K73" s="55">
        <v>0.2</v>
      </c>
      <c r="L73" s="317"/>
      <c r="Q73" s="85"/>
      <c r="R73" s="85"/>
      <c r="S73" s="85"/>
    </row>
    <row r="74" spans="1:19" ht="12.75">
      <c r="A74" s="334"/>
      <c r="B74" s="351"/>
      <c r="C74" s="21"/>
      <c r="D74" s="21"/>
      <c r="E74" s="367" t="s">
        <v>411</v>
      </c>
      <c r="F74" s="337"/>
      <c r="G74" s="363"/>
      <c r="H74" s="280" t="s">
        <v>140</v>
      </c>
      <c r="I74" s="480">
        <v>3</v>
      </c>
      <c r="J74" s="251">
        <f>I74</f>
        <v>3</v>
      </c>
      <c r="K74" s="55">
        <v>0.2</v>
      </c>
      <c r="L74" s="316"/>
      <c r="Q74" s="85"/>
      <c r="R74" s="85"/>
      <c r="S74" s="85"/>
    </row>
    <row r="75" spans="1:19" ht="12.75">
      <c r="A75" s="334"/>
      <c r="B75" s="351"/>
      <c r="C75" s="21"/>
      <c r="D75" s="370" t="s">
        <v>286</v>
      </c>
      <c r="E75" s="406"/>
      <c r="F75" s="406"/>
      <c r="G75" s="407"/>
      <c r="H75" s="68">
        <v>3</v>
      </c>
      <c r="I75" s="481">
        <v>7</v>
      </c>
      <c r="J75" s="252">
        <f>H75*I75</f>
        <v>21</v>
      </c>
      <c r="K75" s="69">
        <v>0.2</v>
      </c>
      <c r="L75" s="317"/>
      <c r="Q75" s="85"/>
      <c r="R75" s="85"/>
      <c r="S75" s="85"/>
    </row>
    <row r="76" spans="1:19" ht="13.5" thickBot="1">
      <c r="A76" s="334"/>
      <c r="B76" s="351"/>
      <c r="C76" s="21"/>
      <c r="D76" s="394" t="s">
        <v>445</v>
      </c>
      <c r="E76" s="395"/>
      <c r="F76" s="395"/>
      <c r="G76" s="479"/>
      <c r="H76" s="68">
        <v>1</v>
      </c>
      <c r="I76" s="481">
        <v>10</v>
      </c>
      <c r="J76" s="387">
        <f>I76</f>
        <v>10</v>
      </c>
      <c r="K76" s="69">
        <v>0.2</v>
      </c>
      <c r="L76" s="317"/>
      <c r="Q76" s="85"/>
      <c r="R76" s="85"/>
      <c r="S76" s="85"/>
    </row>
    <row r="77" spans="1:19" ht="13.5" thickBot="1">
      <c r="A77" s="334"/>
      <c r="B77" s="349"/>
      <c r="D77" s="378" t="s">
        <v>415</v>
      </c>
      <c r="E77" s="81"/>
      <c r="F77" s="344"/>
      <c r="G77" s="342"/>
      <c r="H77" s="409"/>
      <c r="I77" s="410"/>
      <c r="J77" s="71">
        <f>SUM(J69:J76)</f>
        <v>139.99</v>
      </c>
      <c r="K77" s="72">
        <f>SUMPRODUCT(J69:J75,K69:K75)/J77</f>
        <v>0.18571326523323095</v>
      </c>
      <c r="L77" s="318"/>
      <c r="Q77" s="85"/>
      <c r="R77" s="85"/>
      <c r="S77" s="85"/>
    </row>
    <row r="78" spans="1:19" ht="12.75">
      <c r="A78" s="334"/>
      <c r="B78" s="21"/>
      <c r="C78" s="21"/>
      <c r="D78" s="21"/>
      <c r="E78" s="320"/>
      <c r="F78" s="21"/>
      <c r="G78" s="332"/>
      <c r="H78" s="329"/>
      <c r="I78" s="330"/>
      <c r="J78" s="359"/>
      <c r="K78" s="331"/>
      <c r="L78" s="318"/>
      <c r="Q78" s="85"/>
      <c r="R78" s="85"/>
      <c r="S78" s="85"/>
    </row>
    <row r="79" spans="1:19" ht="12.75">
      <c r="A79" s="334"/>
      <c r="B79" s="21"/>
      <c r="C79" s="21"/>
      <c r="D79" s="21"/>
      <c r="E79" s="320"/>
      <c r="F79" s="21"/>
      <c r="G79" s="332"/>
      <c r="H79" s="434"/>
      <c r="I79" s="435"/>
      <c r="J79" s="436"/>
      <c r="K79" s="437"/>
      <c r="L79" s="318"/>
      <c r="Q79" s="85"/>
      <c r="R79" s="85"/>
      <c r="S79" s="85"/>
    </row>
    <row r="80" spans="1:19" ht="25.5">
      <c r="A80" s="334"/>
      <c r="B80" s="352" t="s">
        <v>398</v>
      </c>
      <c r="C80" s="353"/>
      <c r="D80" s="353"/>
      <c r="E80" s="352"/>
      <c r="F80" s="21"/>
      <c r="G80" s="332"/>
      <c r="H80" s="75" t="s">
        <v>55</v>
      </c>
      <c r="I80" s="361" t="s">
        <v>143</v>
      </c>
      <c r="J80" s="75" t="s">
        <v>419</v>
      </c>
      <c r="K80" s="75" t="s">
        <v>185</v>
      </c>
      <c r="L80" s="318"/>
      <c r="Q80" s="85"/>
      <c r="R80" s="85"/>
      <c r="S80" s="85"/>
    </row>
    <row r="81" spans="1:19" ht="12.75">
      <c r="A81" s="9"/>
      <c r="B81" s="353"/>
      <c r="C81" s="418" t="s">
        <v>401</v>
      </c>
      <c r="D81" s="419"/>
      <c r="E81" s="309"/>
      <c r="F81" s="62"/>
      <c r="G81" s="44"/>
      <c r="H81" s="415"/>
      <c r="I81" s="357"/>
      <c r="J81" s="415"/>
      <c r="K81" s="13"/>
      <c r="L81" s="22"/>
      <c r="M81" s="285" t="s">
        <v>318</v>
      </c>
      <c r="P81" s="1"/>
      <c r="Q81" s="85"/>
      <c r="R81" s="85"/>
      <c r="S81" s="85"/>
    </row>
    <row r="82" spans="1:19" ht="12.75">
      <c r="A82" s="338"/>
      <c r="B82" s="354"/>
      <c r="C82" s="9"/>
      <c r="D82" s="61" t="s">
        <v>320</v>
      </c>
      <c r="E82" s="62"/>
      <c r="F82" s="62"/>
      <c r="G82" s="44"/>
      <c r="H82" s="90">
        <v>1</v>
      </c>
      <c r="I82" s="480">
        <v>150</v>
      </c>
      <c r="J82" s="386">
        <f>H82*I82</f>
        <v>150</v>
      </c>
      <c r="K82" s="69">
        <v>0.25</v>
      </c>
      <c r="L82" s="317"/>
      <c r="Q82" s="85"/>
      <c r="R82" s="85"/>
      <c r="S82" s="85"/>
    </row>
    <row r="83" spans="1:19" ht="12.75">
      <c r="A83" s="9"/>
      <c r="B83" s="354"/>
      <c r="C83" s="9"/>
      <c r="D83" s="61" t="s">
        <v>437</v>
      </c>
      <c r="E83" s="62"/>
      <c r="F83" s="62"/>
      <c r="G83" s="44"/>
      <c r="H83" s="362">
        <v>8</v>
      </c>
      <c r="I83" s="480">
        <v>0.5</v>
      </c>
      <c r="J83" s="386">
        <f>H83*I83</f>
        <v>4</v>
      </c>
      <c r="K83" s="69">
        <v>0.25</v>
      </c>
      <c r="L83" s="316"/>
      <c r="Q83" s="85"/>
      <c r="R83" s="85"/>
      <c r="S83" s="85"/>
    </row>
    <row r="84" spans="1:19" ht="12.75">
      <c r="A84" s="9"/>
      <c r="B84" s="354"/>
      <c r="C84" s="9"/>
      <c r="D84" s="162" t="s">
        <v>315</v>
      </c>
      <c r="E84" s="62"/>
      <c r="F84" s="62"/>
      <c r="G84" s="405"/>
      <c r="H84" s="26">
        <v>1</v>
      </c>
      <c r="I84" s="480">
        <v>7.63</v>
      </c>
      <c r="J84" s="386">
        <f>H84*I84</f>
        <v>7.63</v>
      </c>
      <c r="K84" s="69">
        <v>0.25</v>
      </c>
      <c r="L84" s="317"/>
      <c r="Q84" s="85"/>
      <c r="R84" s="85"/>
      <c r="S84" s="85"/>
    </row>
    <row r="85" spans="1:19" ht="13.5" thickBot="1">
      <c r="A85" s="9"/>
      <c r="B85" s="354"/>
      <c r="C85" s="9"/>
      <c r="D85" s="22"/>
      <c r="E85" s="394" t="s">
        <v>411</v>
      </c>
      <c r="F85" s="337"/>
      <c r="G85" s="363"/>
      <c r="H85" s="380" t="s">
        <v>140</v>
      </c>
      <c r="I85" s="481">
        <v>1</v>
      </c>
      <c r="J85" s="387">
        <f>I85</f>
        <v>1</v>
      </c>
      <c r="K85" s="69">
        <v>0.25</v>
      </c>
      <c r="L85" s="316"/>
      <c r="Q85" s="85"/>
      <c r="R85" s="85"/>
      <c r="S85" s="85"/>
    </row>
    <row r="86" spans="1:19" ht="13.5" thickBot="1">
      <c r="A86" s="9"/>
      <c r="B86" s="354"/>
      <c r="C86" s="9"/>
      <c r="D86" s="80" t="s">
        <v>402</v>
      </c>
      <c r="E86" s="81"/>
      <c r="F86" s="81"/>
      <c r="G86" s="420"/>
      <c r="H86" s="421"/>
      <c r="I86" s="287"/>
      <c r="J86" s="71">
        <f>SUM(J82:J85)</f>
        <v>162.63</v>
      </c>
      <c r="K86" s="72">
        <f>SUMPRODUCT(J82:J85,K82:K85)/J86</f>
        <v>0.25</v>
      </c>
      <c r="L86" s="316"/>
      <c r="Q86" s="85"/>
      <c r="R86" s="85"/>
      <c r="S86" s="85"/>
    </row>
    <row r="87" spans="1:19" ht="12.75">
      <c r="A87" s="9"/>
      <c r="B87" s="354"/>
      <c r="C87" s="9"/>
      <c r="D87" s="9"/>
      <c r="E87" s="9"/>
      <c r="F87" s="9"/>
      <c r="G87" s="84"/>
      <c r="H87" s="390"/>
      <c r="I87" s="391"/>
      <c r="J87" s="186"/>
      <c r="K87" s="185"/>
      <c r="L87" s="316"/>
      <c r="Q87" s="85"/>
      <c r="R87" s="85"/>
      <c r="S87" s="85"/>
    </row>
    <row r="88" spans="1:19" ht="12.75">
      <c r="A88" s="338"/>
      <c r="B88" s="354"/>
      <c r="C88" s="422" t="s">
        <v>400</v>
      </c>
      <c r="D88" s="368"/>
      <c r="E88" s="368"/>
      <c r="F88" s="368"/>
      <c r="G88" s="369"/>
      <c r="H88" s="416"/>
      <c r="I88" s="357"/>
      <c r="J88" s="358"/>
      <c r="K88" s="364"/>
      <c r="L88" s="317"/>
      <c r="M88" s="285" t="s">
        <v>319</v>
      </c>
      <c r="Q88" s="85"/>
      <c r="R88" s="85"/>
      <c r="S88" s="85"/>
    </row>
    <row r="89" spans="1:19" ht="12.75">
      <c r="A89" s="338"/>
      <c r="B89" s="354"/>
      <c r="C89" s="320"/>
      <c r="D89" s="394" t="s">
        <v>406</v>
      </c>
      <c r="E89" s="337"/>
      <c r="F89" s="337"/>
      <c r="G89" s="337"/>
      <c r="H89" s="90">
        <v>1</v>
      </c>
      <c r="I89" s="480">
        <v>30</v>
      </c>
      <c r="J89" s="386">
        <f>H89*I89</f>
        <v>30</v>
      </c>
      <c r="K89" s="55">
        <v>0.25</v>
      </c>
      <c r="L89" s="317"/>
      <c r="M89" s="285"/>
      <c r="Q89" s="85"/>
      <c r="R89" s="85"/>
      <c r="S89" s="85"/>
    </row>
    <row r="90" spans="1:19" ht="12.75">
      <c r="A90" s="338"/>
      <c r="B90" s="354"/>
      <c r="C90" s="320"/>
      <c r="D90" s="367" t="s">
        <v>407</v>
      </c>
      <c r="E90" s="368"/>
      <c r="F90" s="368"/>
      <c r="G90" s="369"/>
      <c r="H90" s="90">
        <v>1</v>
      </c>
      <c r="I90" s="480">
        <v>10</v>
      </c>
      <c r="J90" s="386">
        <f>H90*I90</f>
        <v>10</v>
      </c>
      <c r="K90" s="55">
        <v>0.25</v>
      </c>
      <c r="L90" s="317"/>
      <c r="M90" s="285"/>
      <c r="Q90" s="85"/>
      <c r="R90" s="85"/>
      <c r="S90" s="85"/>
    </row>
    <row r="91" spans="1:19" ht="12.75">
      <c r="A91" s="338"/>
      <c r="B91" s="354"/>
      <c r="C91" s="320"/>
      <c r="D91" s="376" t="s">
        <v>408</v>
      </c>
      <c r="E91" s="337"/>
      <c r="F91" s="337"/>
      <c r="G91" s="337"/>
      <c r="H91" s="90">
        <v>1</v>
      </c>
      <c r="I91" s="480">
        <v>10</v>
      </c>
      <c r="J91" s="386">
        <f>H91*I91</f>
        <v>10</v>
      </c>
      <c r="K91" s="55">
        <v>0.25</v>
      </c>
      <c r="L91" s="317"/>
      <c r="M91" s="285"/>
      <c r="Q91" s="85"/>
      <c r="R91" s="85"/>
      <c r="S91" s="85"/>
    </row>
    <row r="92" spans="1:19" ht="13.5" thickBot="1">
      <c r="A92" s="338"/>
      <c r="B92" s="354"/>
      <c r="C92" s="320"/>
      <c r="D92" s="394" t="s">
        <v>411</v>
      </c>
      <c r="E92" s="395"/>
      <c r="F92" s="395"/>
      <c r="G92" s="454"/>
      <c r="H92" s="380" t="s">
        <v>140</v>
      </c>
      <c r="I92" s="481">
        <v>3</v>
      </c>
      <c r="J92" s="387">
        <f>I92</f>
        <v>3</v>
      </c>
      <c r="K92" s="360">
        <v>0.2</v>
      </c>
      <c r="L92" s="443"/>
      <c r="M92" s="285"/>
      <c r="Q92" s="85"/>
      <c r="R92" s="85"/>
      <c r="S92" s="85"/>
    </row>
    <row r="93" spans="1:19" ht="13.5" thickBot="1">
      <c r="A93" s="338"/>
      <c r="B93" s="354"/>
      <c r="C93" s="320"/>
      <c r="D93" s="424" t="s">
        <v>403</v>
      </c>
      <c r="E93" s="425"/>
      <c r="F93" s="344"/>
      <c r="G93" s="344"/>
      <c r="H93" s="426"/>
      <c r="I93" s="287"/>
      <c r="J93" s="71">
        <f>SUM(J89:J92)</f>
        <v>53</v>
      </c>
      <c r="K93" s="72">
        <f>SUMPRODUCT(J89:J92,K89:K92)/J93</f>
        <v>0.24716981132075472</v>
      </c>
      <c r="L93" s="317"/>
      <c r="M93" s="285"/>
      <c r="Q93" s="85"/>
      <c r="R93" s="85"/>
      <c r="S93" s="85"/>
    </row>
    <row r="94" spans="1:19" ht="12.75">
      <c r="A94" s="338"/>
      <c r="B94" s="354"/>
      <c r="C94" s="320"/>
      <c r="D94" s="22"/>
      <c r="E94" s="21"/>
      <c r="F94" s="21"/>
      <c r="G94" s="21"/>
      <c r="H94" s="184"/>
      <c r="I94" s="391"/>
      <c r="J94" s="186"/>
      <c r="K94" s="316"/>
      <c r="L94" s="317"/>
      <c r="M94" s="285"/>
      <c r="Q94" s="85"/>
      <c r="R94" s="85"/>
      <c r="S94" s="85"/>
    </row>
    <row r="95" spans="1:19" ht="12.75">
      <c r="A95" s="338"/>
      <c r="B95" s="354"/>
      <c r="C95" s="422" t="s">
        <v>386</v>
      </c>
      <c r="D95" s="368"/>
      <c r="E95" s="368"/>
      <c r="F95" s="368"/>
      <c r="G95" s="369"/>
      <c r="H95" s="416"/>
      <c r="I95" s="357"/>
      <c r="J95" s="358"/>
      <c r="K95" s="364"/>
      <c r="L95" s="317"/>
      <c r="Q95" s="85"/>
      <c r="R95" s="85"/>
      <c r="S95" s="85"/>
    </row>
    <row r="96" spans="1:19" ht="12.75">
      <c r="A96" s="338"/>
      <c r="B96" s="354"/>
      <c r="C96" s="320"/>
      <c r="D96" s="394" t="s">
        <v>410</v>
      </c>
      <c r="E96" s="395"/>
      <c r="F96" s="395"/>
      <c r="G96" s="454"/>
      <c r="H96" s="90">
        <v>1</v>
      </c>
      <c r="I96" s="480">
        <v>30</v>
      </c>
      <c r="J96" s="387">
        <f>H96*I96</f>
        <v>30</v>
      </c>
      <c r="K96" s="69">
        <v>0.25</v>
      </c>
      <c r="L96" s="317"/>
      <c r="Q96" s="85"/>
      <c r="R96" s="85"/>
      <c r="S96" s="85"/>
    </row>
    <row r="97" spans="1:19" ht="13.5" thickBot="1">
      <c r="A97" s="338"/>
      <c r="B97" s="354"/>
      <c r="C97" s="320"/>
      <c r="D97" s="376" t="s">
        <v>411</v>
      </c>
      <c r="E97" s="337"/>
      <c r="F97" s="337"/>
      <c r="G97" s="377"/>
      <c r="H97" s="380" t="s">
        <v>140</v>
      </c>
      <c r="I97" s="481">
        <v>2</v>
      </c>
      <c r="J97" s="387">
        <f>I97</f>
        <v>2</v>
      </c>
      <c r="K97" s="360">
        <v>0.2</v>
      </c>
      <c r="L97" s="443"/>
      <c r="Q97" s="85"/>
      <c r="R97" s="85"/>
      <c r="S97" s="85"/>
    </row>
    <row r="98" spans="1:19" ht="13.5" thickBot="1">
      <c r="A98" s="9"/>
      <c r="B98" s="353"/>
      <c r="C98" s="56"/>
      <c r="D98" s="378" t="s">
        <v>404</v>
      </c>
      <c r="E98" s="81"/>
      <c r="F98" s="344"/>
      <c r="G98" s="344"/>
      <c r="H98" s="428"/>
      <c r="I98" s="410"/>
      <c r="J98" s="71">
        <f>SUM(J96:J97)</f>
        <v>32</v>
      </c>
      <c r="K98" s="72">
        <f>SUMPRODUCT(J96:J97,K96:K97)/J98</f>
        <v>0.246875</v>
      </c>
      <c r="L98" s="318"/>
      <c r="Q98" s="85"/>
      <c r="R98" s="85"/>
      <c r="S98" s="85"/>
    </row>
    <row r="99" spans="1:19" ht="12.75">
      <c r="A99" s="9"/>
      <c r="B99" s="353"/>
      <c r="C99" s="56"/>
      <c r="D99" s="320"/>
      <c r="E99" s="56"/>
      <c r="F99" s="9"/>
      <c r="G99" s="9"/>
      <c r="H99" s="184"/>
      <c r="I99" s="330"/>
      <c r="J99" s="359"/>
      <c r="K99" s="331"/>
      <c r="L99" s="318"/>
      <c r="Q99" s="85"/>
      <c r="R99" s="85"/>
      <c r="S99" s="85"/>
    </row>
    <row r="100" spans="1:19" ht="12.75">
      <c r="A100" s="9"/>
      <c r="B100" s="353"/>
      <c r="C100" s="217" t="s">
        <v>396</v>
      </c>
      <c r="D100" s="419"/>
      <c r="E100" s="62"/>
      <c r="F100" s="62"/>
      <c r="G100" s="44"/>
      <c r="H100" s="416"/>
      <c r="I100" s="357"/>
      <c r="J100" s="415"/>
      <c r="K100" s="13"/>
      <c r="L100" s="22"/>
      <c r="M100" s="285" t="s">
        <v>318</v>
      </c>
      <c r="Q100" s="85"/>
      <c r="R100" s="85"/>
      <c r="S100" s="85"/>
    </row>
    <row r="101" spans="1:19" ht="12.75">
      <c r="A101" s="338"/>
      <c r="B101" s="353"/>
      <c r="C101" s="9"/>
      <c r="D101" s="394" t="s">
        <v>311</v>
      </c>
      <c r="E101" s="395"/>
      <c r="F101" s="395"/>
      <c r="G101" s="454"/>
      <c r="H101" s="90">
        <v>1</v>
      </c>
      <c r="I101" s="480">
        <v>15</v>
      </c>
      <c r="J101" s="388">
        <f>H101*I101</f>
        <v>15</v>
      </c>
      <c r="K101" s="55">
        <v>0.25</v>
      </c>
      <c r="L101" s="317"/>
      <c r="Q101" s="85"/>
      <c r="R101" s="85"/>
      <c r="S101" s="85"/>
    </row>
    <row r="102" spans="1:19" ht="12.75">
      <c r="A102" s="9"/>
      <c r="B102" s="353"/>
      <c r="C102" s="9"/>
      <c r="D102" s="162" t="s">
        <v>191</v>
      </c>
      <c r="E102" s="62"/>
      <c r="F102" s="62"/>
      <c r="G102" s="44"/>
      <c r="H102" s="417">
        <v>2</v>
      </c>
      <c r="I102" s="480">
        <v>2</v>
      </c>
      <c r="J102" s="389">
        <f>H102*I102</f>
        <v>4</v>
      </c>
      <c r="K102" s="69">
        <v>0.2</v>
      </c>
      <c r="L102" s="317"/>
      <c r="Q102" s="85"/>
      <c r="R102" s="85"/>
      <c r="S102" s="85"/>
    </row>
    <row r="103" spans="1:19" ht="13.5" thickBot="1">
      <c r="A103" s="9"/>
      <c r="B103" s="353"/>
      <c r="C103" s="9"/>
      <c r="D103" s="376" t="s">
        <v>448</v>
      </c>
      <c r="E103" s="337"/>
      <c r="F103" s="337"/>
      <c r="G103" s="377"/>
      <c r="H103" s="380" t="s">
        <v>140</v>
      </c>
      <c r="I103" s="481">
        <v>3</v>
      </c>
      <c r="J103" s="387">
        <f>I103</f>
        <v>3</v>
      </c>
      <c r="K103" s="69">
        <v>0.2</v>
      </c>
      <c r="L103" s="317"/>
      <c r="Q103" s="85"/>
      <c r="R103" s="85"/>
      <c r="S103" s="85"/>
    </row>
    <row r="104" spans="1:19" ht="13.5" thickBot="1">
      <c r="A104" s="9"/>
      <c r="B104" s="353"/>
      <c r="C104" s="56"/>
      <c r="D104" s="80" t="s">
        <v>405</v>
      </c>
      <c r="E104" s="81"/>
      <c r="F104" s="81"/>
      <c r="G104" s="81"/>
      <c r="H104" s="420"/>
      <c r="I104" s="420"/>
      <c r="J104" s="71">
        <f>SUM(J101:J103)</f>
        <v>22</v>
      </c>
      <c r="K104" s="72">
        <f>SUMPRODUCT(J101:J103,K101:K103)/J104</f>
        <v>0.2340909090909091</v>
      </c>
      <c r="L104" s="318"/>
      <c r="Q104" s="85"/>
      <c r="R104" s="85"/>
      <c r="S104" s="85"/>
    </row>
    <row r="105" spans="1:19" ht="12.75">
      <c r="A105" s="9"/>
      <c r="B105" s="77"/>
      <c r="C105" s="77"/>
      <c r="D105" s="77"/>
      <c r="E105" s="77"/>
      <c r="F105" s="339"/>
      <c r="G105" s="77"/>
      <c r="H105" s="77"/>
      <c r="I105" s="9"/>
      <c r="L105" s="22"/>
      <c r="Q105" s="85"/>
      <c r="R105" s="85"/>
      <c r="S105" s="85"/>
    </row>
    <row r="106" spans="1:19" ht="12.75">
      <c r="A106" s="9"/>
      <c r="B106" s="77"/>
      <c r="C106" s="77"/>
      <c r="D106" s="77"/>
      <c r="E106" s="77"/>
      <c r="F106" s="339"/>
      <c r="G106" s="77"/>
      <c r="H106" s="82"/>
      <c r="J106" s="33"/>
      <c r="L106" s="33"/>
      <c r="Q106" s="85"/>
      <c r="R106" s="85"/>
      <c r="S106" s="85"/>
    </row>
    <row r="107" spans="1:19" ht="12.75">
      <c r="A107" s="9"/>
      <c r="B107" s="340"/>
      <c r="C107" s="340"/>
      <c r="D107" s="340"/>
      <c r="E107" s="341"/>
      <c r="F107" s="9"/>
      <c r="G107" s="9"/>
      <c r="J107" s="33"/>
      <c r="L107" s="22"/>
      <c r="Q107" s="85"/>
      <c r="R107" s="85"/>
      <c r="S107" s="85"/>
    </row>
    <row r="108" spans="1:19" ht="12.75">
      <c r="A108" s="9"/>
      <c r="B108" s="9"/>
      <c r="C108" s="9"/>
      <c r="D108" s="9"/>
      <c r="E108" s="9"/>
      <c r="F108" s="9"/>
      <c r="Q108" s="85"/>
      <c r="R108" s="85"/>
      <c r="S108" s="85"/>
    </row>
    <row r="109" spans="1:19" ht="12.75">
      <c r="A109" s="9"/>
      <c r="B109" s="9"/>
      <c r="C109" s="9"/>
      <c r="D109" s="9"/>
      <c r="E109" s="9"/>
      <c r="F109" s="9"/>
      <c r="Q109" s="85"/>
      <c r="R109" s="85"/>
      <c r="S109" s="85"/>
    </row>
    <row r="110" spans="1:19" ht="12.75">
      <c r="A110" s="9"/>
      <c r="B110" s="9"/>
      <c r="C110" s="56" t="s">
        <v>414</v>
      </c>
      <c r="D110" s="9"/>
      <c r="E110" s="9"/>
      <c r="F110" s="9"/>
      <c r="Q110" s="85"/>
      <c r="R110" s="85"/>
      <c r="S110" s="85"/>
    </row>
    <row r="111" spans="1:19" ht="12.75">
      <c r="A111" s="9"/>
      <c r="B111" s="9"/>
      <c r="C111" s="9"/>
      <c r="D111" s="272" t="s">
        <v>354</v>
      </c>
      <c r="E111" s="9"/>
      <c r="F111" s="9"/>
      <c r="Q111" s="85"/>
      <c r="R111" s="85"/>
      <c r="S111" s="85"/>
    </row>
    <row r="112" spans="1:19" ht="12.75">
      <c r="A112" s="9"/>
      <c r="B112" s="9"/>
      <c r="C112" s="9"/>
      <c r="D112" s="9"/>
      <c r="E112" s="9"/>
      <c r="F112" s="9"/>
      <c r="Q112" s="85"/>
      <c r="R112" s="85"/>
      <c r="S112" s="85"/>
    </row>
    <row r="113" spans="1:19" ht="12.75">
      <c r="A113" s="9"/>
      <c r="B113" s="9"/>
      <c r="C113" s="9"/>
      <c r="D113" s="9"/>
      <c r="E113" s="9"/>
      <c r="F113" s="9"/>
      <c r="Q113" s="85"/>
      <c r="R113" s="85"/>
      <c r="S113" s="85"/>
    </row>
    <row r="114" spans="1:19" ht="12.75">
      <c r="A114" s="9"/>
      <c r="B114" s="9"/>
      <c r="C114" s="9"/>
      <c r="D114" s="9"/>
      <c r="E114" s="9"/>
      <c r="F114" s="9"/>
      <c r="Q114" s="85"/>
      <c r="R114" s="85"/>
      <c r="S114" s="85"/>
    </row>
    <row r="115" spans="1:19" ht="12.75">
      <c r="A115" s="9"/>
      <c r="B115" s="9"/>
      <c r="C115" s="9"/>
      <c r="D115" s="9"/>
      <c r="E115" s="9"/>
      <c r="F115" s="9"/>
      <c r="Q115" s="85"/>
      <c r="R115" s="85"/>
      <c r="S115" s="85"/>
    </row>
    <row r="116" spans="1:19" ht="12.75">
      <c r="A116" s="9"/>
      <c r="B116" s="9"/>
      <c r="C116" s="9"/>
      <c r="D116" s="9"/>
      <c r="E116" s="9"/>
      <c r="F116" s="9"/>
      <c r="Q116" s="85"/>
      <c r="R116" s="85"/>
      <c r="S116" s="85"/>
    </row>
    <row r="117" spans="1:19" ht="12.75">
      <c r="A117" s="9"/>
      <c r="B117" s="9"/>
      <c r="C117" s="9"/>
      <c r="D117" s="9"/>
      <c r="E117" s="9"/>
      <c r="F117" s="9"/>
      <c r="Q117" s="85"/>
      <c r="R117" s="85"/>
      <c r="S117" s="85"/>
    </row>
    <row r="118" spans="1:19" ht="12.75">
      <c r="A118" s="9"/>
      <c r="B118" s="9"/>
      <c r="C118" s="9"/>
      <c r="D118" s="9"/>
      <c r="E118" s="9"/>
      <c r="F118" s="9"/>
      <c r="Q118" s="85"/>
      <c r="R118" s="85"/>
      <c r="S118" s="85"/>
    </row>
    <row r="119" spans="1:19" ht="12.75">
      <c r="A119" s="9"/>
      <c r="B119" s="9"/>
      <c r="C119" s="9"/>
      <c r="D119" s="9"/>
      <c r="E119" s="9"/>
      <c r="F119" s="9"/>
      <c r="Q119" s="85"/>
      <c r="R119" s="85"/>
      <c r="S119" s="85"/>
    </row>
    <row r="120" spans="17:19" ht="12.75">
      <c r="Q120" s="85"/>
      <c r="R120" s="85"/>
      <c r="S120" s="85"/>
    </row>
    <row r="121" spans="17:19" ht="12.75">
      <c r="Q121" s="85"/>
      <c r="R121" s="85"/>
      <c r="S121" s="85"/>
    </row>
    <row r="122" spans="17:19" ht="12.75">
      <c r="Q122" s="85"/>
      <c r="R122" s="85"/>
      <c r="S122" s="85"/>
    </row>
    <row r="123" spans="17:19" ht="12.75">
      <c r="Q123" s="85"/>
      <c r="R123" s="85"/>
      <c r="S123" s="85"/>
    </row>
    <row r="124" spans="17:19" ht="12.75">
      <c r="Q124" s="85"/>
      <c r="R124" s="85"/>
      <c r="S124" s="85"/>
    </row>
    <row r="125" spans="17:19" ht="12.75">
      <c r="Q125" s="85"/>
      <c r="R125" s="85"/>
      <c r="S125" s="85"/>
    </row>
    <row r="126" spans="17:19" ht="12.75">
      <c r="Q126" s="85"/>
      <c r="R126" s="85"/>
      <c r="S126" s="85"/>
    </row>
    <row r="127" spans="17:19" ht="12.75">
      <c r="Q127" s="85"/>
      <c r="R127" s="85"/>
      <c r="S127" s="85"/>
    </row>
    <row r="128" spans="17:19" ht="12.75">
      <c r="Q128" s="85"/>
      <c r="R128" s="85"/>
      <c r="S128" s="85"/>
    </row>
    <row r="129" spans="17:19" ht="12.75">
      <c r="Q129" s="85"/>
      <c r="R129" s="85"/>
      <c r="S129" s="85"/>
    </row>
    <row r="130" spans="17:19" ht="12.75">
      <c r="Q130" s="85"/>
      <c r="R130" s="85"/>
      <c r="S130" s="85"/>
    </row>
    <row r="131" spans="17:19" ht="12.75">
      <c r="Q131" s="85"/>
      <c r="R131" s="85"/>
      <c r="S131" s="85"/>
    </row>
    <row r="132" spans="17:19" ht="12.75">
      <c r="Q132" s="85"/>
      <c r="R132" s="85"/>
      <c r="S132" s="85"/>
    </row>
    <row r="133" spans="17:19" ht="12.75">
      <c r="Q133" s="85"/>
      <c r="R133" s="85"/>
      <c r="S133" s="85"/>
    </row>
    <row r="134" spans="17:19" ht="12.75">
      <c r="Q134" s="85"/>
      <c r="R134" s="85"/>
      <c r="S134" s="85"/>
    </row>
    <row r="135" spans="17:19" ht="12.75">
      <c r="Q135" s="85"/>
      <c r="R135" s="85"/>
      <c r="S135" s="85"/>
    </row>
    <row r="136" spans="17:19" ht="12.75">
      <c r="Q136" s="85"/>
      <c r="R136" s="85"/>
      <c r="S136" s="85"/>
    </row>
    <row r="137" spans="17:19" ht="12.75">
      <c r="Q137" s="85"/>
      <c r="R137" s="85"/>
      <c r="S137" s="85"/>
    </row>
    <row r="138" spans="17:19" ht="12.75">
      <c r="Q138" s="85"/>
      <c r="R138" s="85"/>
      <c r="S138" s="85"/>
    </row>
    <row r="139" spans="17:19" ht="12.75">
      <c r="Q139" s="85"/>
      <c r="R139" s="85"/>
      <c r="S139" s="85"/>
    </row>
    <row r="140" spans="17:19" ht="12.75">
      <c r="Q140" s="85"/>
      <c r="R140" s="85"/>
      <c r="S140" s="85"/>
    </row>
    <row r="141" spans="17:19" ht="12.75">
      <c r="Q141" s="85"/>
      <c r="R141" s="85"/>
      <c r="S141" s="85"/>
    </row>
    <row r="142" spans="17:19" ht="12.75">
      <c r="Q142" s="85"/>
      <c r="R142" s="85"/>
      <c r="S142" s="85"/>
    </row>
    <row r="143" spans="17:19" ht="12.75">
      <c r="Q143" s="85"/>
      <c r="R143" s="85"/>
      <c r="S143" s="85"/>
    </row>
    <row r="144" spans="17:19" ht="12.75">
      <c r="Q144" s="85"/>
      <c r="R144" s="85"/>
      <c r="S144" s="85"/>
    </row>
    <row r="145" spans="17:19" ht="12.75">
      <c r="Q145" s="85"/>
      <c r="R145" s="85"/>
      <c r="S145" s="85"/>
    </row>
    <row r="146" spans="17:19" ht="12.75">
      <c r="Q146" s="85"/>
      <c r="R146" s="85"/>
      <c r="S146" s="85"/>
    </row>
    <row r="147" spans="17:19" ht="12.75">
      <c r="Q147" s="85"/>
      <c r="R147" s="85"/>
      <c r="S147" s="85"/>
    </row>
    <row r="148" spans="17:19" ht="12.75">
      <c r="Q148" s="85"/>
      <c r="R148" s="85"/>
      <c r="S148" s="85"/>
    </row>
    <row r="149" spans="17:19" ht="12.75">
      <c r="Q149" s="85"/>
      <c r="R149" s="85"/>
      <c r="S149" s="85"/>
    </row>
    <row r="150" spans="17:19" ht="12.75">
      <c r="Q150" s="85"/>
      <c r="R150" s="85"/>
      <c r="S150" s="85"/>
    </row>
    <row r="151" spans="17:19" ht="12.75">
      <c r="Q151" s="85"/>
      <c r="R151" s="85"/>
      <c r="S151" s="85"/>
    </row>
    <row r="152" spans="17:19" ht="12.75">
      <c r="Q152" s="85"/>
      <c r="R152" s="85"/>
      <c r="S152" s="85"/>
    </row>
    <row r="153" spans="17:19" ht="12.75">
      <c r="Q153" s="85"/>
      <c r="R153" s="85"/>
      <c r="S153" s="85"/>
    </row>
    <row r="154" spans="17:19" ht="12.75">
      <c r="Q154" s="85"/>
      <c r="R154" s="85"/>
      <c r="S154" s="85"/>
    </row>
    <row r="155" spans="17:19" ht="12.75">
      <c r="Q155" s="85"/>
      <c r="R155" s="85"/>
      <c r="S155" s="85"/>
    </row>
    <row r="156" spans="17:19" ht="12.75">
      <c r="Q156" s="85"/>
      <c r="R156" s="85"/>
      <c r="S156" s="85"/>
    </row>
    <row r="157" spans="17:19" ht="12.75">
      <c r="Q157" s="85"/>
      <c r="R157" s="85"/>
      <c r="S157" s="85"/>
    </row>
    <row r="158" spans="17:19" ht="12.75">
      <c r="Q158" s="85"/>
      <c r="R158" s="85"/>
      <c r="S158" s="85"/>
    </row>
    <row r="159" spans="17:19" ht="12.75">
      <c r="Q159" s="85"/>
      <c r="R159" s="85"/>
      <c r="S159" s="85"/>
    </row>
    <row r="160" spans="17:19" ht="12.75">
      <c r="Q160" s="85"/>
      <c r="R160" s="85"/>
      <c r="S160" s="85"/>
    </row>
    <row r="161" spans="17:19" ht="12.75">
      <c r="Q161" s="85"/>
      <c r="R161" s="85"/>
      <c r="S161" s="85"/>
    </row>
    <row r="162" spans="17:19" ht="12.75">
      <c r="Q162" s="85"/>
      <c r="R162" s="85"/>
      <c r="S162" s="85"/>
    </row>
    <row r="163" spans="17:19" ht="12.75">
      <c r="Q163" s="85"/>
      <c r="R163" s="85"/>
      <c r="S163" s="85"/>
    </row>
    <row r="164" spans="17:19" ht="12.75">
      <c r="Q164" s="85"/>
      <c r="R164" s="85"/>
      <c r="S164" s="85"/>
    </row>
    <row r="165" spans="17:19" ht="12.75">
      <c r="Q165" s="85"/>
      <c r="R165" s="85"/>
      <c r="S165" s="85"/>
    </row>
    <row r="166" spans="17:19" ht="12.75">
      <c r="Q166" s="85"/>
      <c r="R166" s="85"/>
      <c r="S166" s="85"/>
    </row>
    <row r="167" spans="17:19" ht="12.75">
      <c r="Q167" s="85"/>
      <c r="R167" s="85"/>
      <c r="S167" s="85"/>
    </row>
    <row r="168" spans="17:19" ht="12.75">
      <c r="Q168" s="85"/>
      <c r="R168" s="85"/>
      <c r="S168" s="85"/>
    </row>
    <row r="169" spans="17:19" ht="12.75">
      <c r="Q169" s="85"/>
      <c r="R169" s="85"/>
      <c r="S169" s="85"/>
    </row>
    <row r="170" spans="17:19" ht="12.75">
      <c r="Q170" s="85"/>
      <c r="R170" s="85"/>
      <c r="S170" s="85"/>
    </row>
    <row r="171" spans="17:19" ht="12.75">
      <c r="Q171" s="85"/>
      <c r="R171" s="85"/>
      <c r="S171" s="85"/>
    </row>
    <row r="172" spans="17:19" ht="12.75">
      <c r="Q172" s="85"/>
      <c r="R172" s="85"/>
      <c r="S172" s="85"/>
    </row>
    <row r="173" spans="17:19" ht="12.75">
      <c r="Q173" s="85"/>
      <c r="R173" s="85"/>
      <c r="S173" s="85"/>
    </row>
    <row r="174" spans="17:19" ht="12.75">
      <c r="Q174" s="85"/>
      <c r="R174" s="85"/>
      <c r="S174" s="85"/>
    </row>
    <row r="175" spans="17:19" ht="12.75">
      <c r="Q175" s="85"/>
      <c r="R175" s="85"/>
      <c r="S175" s="85"/>
    </row>
    <row r="176" spans="17:19" ht="12.75">
      <c r="Q176" s="85"/>
      <c r="R176" s="85"/>
      <c r="S176" s="85"/>
    </row>
    <row r="177" spans="17:19" ht="12.75">
      <c r="Q177" s="85"/>
      <c r="R177" s="85"/>
      <c r="S177" s="85"/>
    </row>
    <row r="178" spans="17:19" ht="12.75">
      <c r="Q178" s="85"/>
      <c r="R178" s="85"/>
      <c r="S178" s="85"/>
    </row>
    <row r="179" spans="17:19" ht="12.75">
      <c r="Q179" s="85"/>
      <c r="R179" s="85"/>
      <c r="S179" s="85"/>
    </row>
    <row r="180" spans="17:19" ht="12.75">
      <c r="Q180" s="85"/>
      <c r="R180" s="85"/>
      <c r="S180" s="85"/>
    </row>
    <row r="181" spans="17:19" ht="12.75">
      <c r="Q181" s="85"/>
      <c r="R181" s="85"/>
      <c r="S181" s="85"/>
    </row>
    <row r="182" spans="17:19" ht="12.75">
      <c r="Q182" s="85"/>
      <c r="R182" s="85"/>
      <c r="S182" s="85"/>
    </row>
    <row r="183" spans="17:19" ht="12.75">
      <c r="Q183" s="85"/>
      <c r="R183" s="85"/>
      <c r="S183" s="85"/>
    </row>
    <row r="184" spans="17:19" ht="12.75">
      <c r="Q184" s="85"/>
      <c r="R184" s="85"/>
      <c r="S184" s="85"/>
    </row>
    <row r="185" spans="17:19" ht="12.75">
      <c r="Q185" s="85"/>
      <c r="R185" s="85"/>
      <c r="S185" s="85"/>
    </row>
    <row r="186" spans="17:19" ht="12.75">
      <c r="Q186" s="85"/>
      <c r="R186" s="85"/>
      <c r="S186" s="85"/>
    </row>
    <row r="187" spans="17:19" ht="12.75">
      <c r="Q187" s="85"/>
      <c r="R187" s="85"/>
      <c r="S187" s="85"/>
    </row>
    <row r="188" spans="17:19" ht="12.75">
      <c r="Q188" s="85"/>
      <c r="R188" s="85"/>
      <c r="S188" s="85"/>
    </row>
    <row r="189" spans="17:19" ht="12.75">
      <c r="Q189" s="85"/>
      <c r="R189" s="85"/>
      <c r="S189" s="85"/>
    </row>
    <row r="190" spans="17:19" ht="12.75">
      <c r="Q190" s="85"/>
      <c r="R190" s="85"/>
      <c r="S190" s="85"/>
    </row>
    <row r="191" spans="17:19" ht="12.75">
      <c r="Q191" s="85"/>
      <c r="R191" s="85"/>
      <c r="S191" s="85"/>
    </row>
    <row r="192" spans="17:19" ht="12.75">
      <c r="Q192" s="85"/>
      <c r="R192" s="85"/>
      <c r="S192" s="85"/>
    </row>
    <row r="193" spans="17:19" ht="12.75">
      <c r="Q193" s="85"/>
      <c r="R193" s="85"/>
      <c r="S193" s="85"/>
    </row>
    <row r="194" spans="17:19" ht="12.75">
      <c r="Q194" s="85"/>
      <c r="R194" s="85"/>
      <c r="S194" s="85"/>
    </row>
    <row r="195" spans="17:19" ht="12.75">
      <c r="Q195" s="85"/>
      <c r="R195" s="85"/>
      <c r="S195" s="85"/>
    </row>
    <row r="196" spans="17:19" ht="12.75">
      <c r="Q196" s="85"/>
      <c r="R196" s="85"/>
      <c r="S196" s="85"/>
    </row>
    <row r="197" spans="17:19" ht="12.75">
      <c r="Q197" s="85"/>
      <c r="R197" s="85"/>
      <c r="S197" s="85"/>
    </row>
    <row r="198" spans="17:19" ht="12.75">
      <c r="Q198" s="85"/>
      <c r="R198" s="85"/>
      <c r="S198" s="85"/>
    </row>
    <row r="199" spans="17:19" ht="12.75">
      <c r="Q199" s="85"/>
      <c r="R199" s="85"/>
      <c r="S199" s="85"/>
    </row>
    <row r="200" spans="17:19" ht="12.75">
      <c r="Q200" s="85"/>
      <c r="R200" s="85"/>
      <c r="S200" s="85"/>
    </row>
    <row r="201" spans="17:19" ht="12.75">
      <c r="Q201" s="85"/>
      <c r="R201" s="85"/>
      <c r="S201" s="85"/>
    </row>
    <row r="202" spans="17:19" ht="12.75">
      <c r="Q202" s="85"/>
      <c r="R202" s="85"/>
      <c r="S202" s="85"/>
    </row>
    <row r="203" spans="17:19" ht="12.75">
      <c r="Q203" s="85"/>
      <c r="R203" s="85"/>
      <c r="S203" s="85"/>
    </row>
    <row r="204" spans="17:19" ht="12.75">
      <c r="Q204" s="85"/>
      <c r="R204" s="85"/>
      <c r="S204" s="85"/>
    </row>
    <row r="205" spans="17:19" ht="12.75">
      <c r="Q205" s="85"/>
      <c r="R205" s="85"/>
      <c r="S205" s="85"/>
    </row>
    <row r="206" spans="17:19" ht="12.75">
      <c r="Q206" s="85"/>
      <c r="R206" s="85"/>
      <c r="S206" s="85"/>
    </row>
    <row r="207" spans="17:19" ht="12.75">
      <c r="Q207" s="85"/>
      <c r="R207" s="85"/>
      <c r="S207" s="85"/>
    </row>
    <row r="208" spans="17:19" ht="12.75">
      <c r="Q208" s="85"/>
      <c r="R208" s="85"/>
      <c r="S208" s="85"/>
    </row>
    <row r="209" spans="17:19" ht="12.75">
      <c r="Q209" s="85"/>
      <c r="R209" s="85"/>
      <c r="S209" s="85"/>
    </row>
    <row r="210" spans="17:19" ht="12.75">
      <c r="Q210" s="85"/>
      <c r="R210" s="85"/>
      <c r="S210" s="85"/>
    </row>
    <row r="211" spans="17:19" ht="12.75">
      <c r="Q211" s="85"/>
      <c r="R211" s="85"/>
      <c r="S211" s="85"/>
    </row>
    <row r="212" spans="17:19" ht="12.75">
      <c r="Q212" s="85"/>
      <c r="R212" s="85"/>
      <c r="S212" s="85"/>
    </row>
    <row r="213" spans="17:19" ht="12.75">
      <c r="Q213" s="85"/>
      <c r="R213" s="85"/>
      <c r="S213" s="85"/>
    </row>
    <row r="214" spans="17:19" ht="12.75">
      <c r="Q214" s="85"/>
      <c r="R214" s="85"/>
      <c r="S214" s="85"/>
    </row>
    <row r="215" spans="17:19" ht="12.75">
      <c r="Q215" s="85"/>
      <c r="R215" s="85"/>
      <c r="S215" s="85"/>
    </row>
    <row r="216" spans="17:19" ht="12.75">
      <c r="Q216" s="85"/>
      <c r="R216" s="85"/>
      <c r="S216" s="85"/>
    </row>
    <row r="217" spans="17:19" ht="12.75">
      <c r="Q217" s="85"/>
      <c r="R217" s="85"/>
      <c r="S217" s="85"/>
    </row>
    <row r="218" spans="17:19" ht="12.75">
      <c r="Q218" s="85"/>
      <c r="R218" s="85"/>
      <c r="S218" s="85"/>
    </row>
    <row r="219" spans="17:19" ht="12.75">
      <c r="Q219" s="85"/>
      <c r="R219" s="85"/>
      <c r="S219" s="85"/>
    </row>
    <row r="220" spans="17:19" ht="12.75">
      <c r="Q220" s="85"/>
      <c r="R220" s="85"/>
      <c r="S220" s="85"/>
    </row>
    <row r="221" spans="17:19" ht="12.75">
      <c r="Q221" s="85"/>
      <c r="R221" s="85"/>
      <c r="S221" s="85"/>
    </row>
    <row r="222" spans="17:19" ht="12.75">
      <c r="Q222" s="85"/>
      <c r="R222" s="85"/>
      <c r="S222" s="85"/>
    </row>
    <row r="223" spans="17:19" ht="12.75">
      <c r="Q223" s="85"/>
      <c r="R223" s="85"/>
      <c r="S223" s="85"/>
    </row>
    <row r="224" spans="17:19" ht="12.75">
      <c r="Q224" s="85"/>
      <c r="R224" s="85"/>
      <c r="S224" s="85"/>
    </row>
    <row r="225" spans="17:19" ht="12.75">
      <c r="Q225" s="85"/>
      <c r="R225" s="85"/>
      <c r="S225" s="85"/>
    </row>
    <row r="226" spans="17:19" ht="12.75">
      <c r="Q226" s="85"/>
      <c r="R226" s="85"/>
      <c r="S226" s="85"/>
    </row>
    <row r="227" spans="17:19" ht="12.75">
      <c r="Q227" s="85"/>
      <c r="R227" s="85"/>
      <c r="S227" s="85"/>
    </row>
    <row r="228" spans="17:19" ht="12.75">
      <c r="Q228" s="85"/>
      <c r="R228" s="85"/>
      <c r="S228" s="85"/>
    </row>
    <row r="229" spans="17:19" ht="12.75">
      <c r="Q229" s="85"/>
      <c r="R229" s="85"/>
      <c r="S229" s="85"/>
    </row>
    <row r="230" spans="17:19" ht="12.75">
      <c r="Q230" s="85"/>
      <c r="R230" s="85"/>
      <c r="S230" s="85"/>
    </row>
    <row r="231" spans="17:19" ht="12.75">
      <c r="Q231" s="85"/>
      <c r="R231" s="85"/>
      <c r="S231" s="85"/>
    </row>
    <row r="232" spans="17:19" ht="12.75">
      <c r="Q232" s="85"/>
      <c r="R232" s="85"/>
      <c r="S232" s="85"/>
    </row>
    <row r="233" spans="17:19" ht="12.75">
      <c r="Q233" s="85"/>
      <c r="R233" s="85"/>
      <c r="S233" s="85"/>
    </row>
    <row r="234" spans="17:19" ht="12.75">
      <c r="Q234" s="85"/>
      <c r="R234" s="85"/>
      <c r="S234" s="85"/>
    </row>
    <row r="235" spans="17:19" ht="12.75">
      <c r="Q235" s="85"/>
      <c r="R235" s="85"/>
      <c r="S235" s="85"/>
    </row>
    <row r="236" spans="17:19" ht="12.75">
      <c r="Q236" s="85"/>
      <c r="R236" s="85"/>
      <c r="S236" s="85"/>
    </row>
    <row r="237" spans="17:19" ht="12.75">
      <c r="Q237" s="85"/>
      <c r="R237" s="85"/>
      <c r="S237" s="85"/>
    </row>
    <row r="238" spans="17:19" ht="12.75">
      <c r="Q238" s="85"/>
      <c r="R238" s="85"/>
      <c r="S238" s="85"/>
    </row>
    <row r="239" spans="17:19" ht="12.75">
      <c r="Q239" s="85"/>
      <c r="R239" s="85"/>
      <c r="S239" s="85"/>
    </row>
    <row r="240" spans="17:19" ht="12.75">
      <c r="Q240" s="85"/>
      <c r="R240" s="85"/>
      <c r="S240" s="85"/>
    </row>
    <row r="241" spans="17:19" ht="12.75">
      <c r="Q241" s="85"/>
      <c r="R241" s="85"/>
      <c r="S241" s="85"/>
    </row>
    <row r="242" spans="17:19" ht="12.75">
      <c r="Q242" s="85"/>
      <c r="R242" s="85"/>
      <c r="S242" s="85"/>
    </row>
    <row r="243" spans="17:19" ht="12.75">
      <c r="Q243" s="85"/>
      <c r="R243" s="85"/>
      <c r="S243" s="85"/>
    </row>
    <row r="244" spans="17:19" ht="12.75">
      <c r="Q244" s="85"/>
      <c r="R244" s="85"/>
      <c r="S244" s="85"/>
    </row>
    <row r="245" spans="17:19" ht="12.75">
      <c r="Q245" s="85"/>
      <c r="R245" s="85"/>
      <c r="S245" s="85"/>
    </row>
    <row r="246" spans="17:19" ht="12.75">
      <c r="Q246" s="85"/>
      <c r="R246" s="85"/>
      <c r="S246" s="85"/>
    </row>
    <row r="247" spans="17:19" ht="12.75">
      <c r="Q247" s="85"/>
      <c r="R247" s="85"/>
      <c r="S247" s="85"/>
    </row>
    <row r="248" spans="17:19" ht="12.75">
      <c r="Q248" s="85"/>
      <c r="R248" s="85"/>
      <c r="S248" s="85"/>
    </row>
    <row r="249" spans="17:19" ht="12.75">
      <c r="Q249" s="85"/>
      <c r="R249" s="85"/>
      <c r="S249" s="85"/>
    </row>
    <row r="250" spans="17:19" ht="12.75">
      <c r="Q250" s="85"/>
      <c r="R250" s="85"/>
      <c r="S250" s="85"/>
    </row>
    <row r="251" spans="17:19" ht="12.75">
      <c r="Q251" s="85"/>
      <c r="R251" s="85"/>
      <c r="S251" s="85"/>
    </row>
    <row r="252" spans="17:19" ht="12.75">
      <c r="Q252" s="85"/>
      <c r="R252" s="85"/>
      <c r="S252" s="85"/>
    </row>
    <row r="253" spans="17:19" ht="12.75">
      <c r="Q253" s="85"/>
      <c r="R253" s="85"/>
      <c r="S253" s="85"/>
    </row>
    <row r="254" spans="17:19" ht="12.75">
      <c r="Q254" s="85"/>
      <c r="R254" s="85"/>
      <c r="S254" s="85"/>
    </row>
    <row r="255" spans="17:19" ht="12.75">
      <c r="Q255" s="85"/>
      <c r="R255" s="85"/>
      <c r="S255" s="85"/>
    </row>
    <row r="256" spans="17:19" ht="12.75">
      <c r="Q256" s="85"/>
      <c r="R256" s="85"/>
      <c r="S256" s="85"/>
    </row>
    <row r="257" spans="17:19" ht="12.75">
      <c r="Q257" s="85"/>
      <c r="R257" s="85"/>
      <c r="S257" s="85"/>
    </row>
    <row r="258" spans="17:19" ht="12.75">
      <c r="Q258" s="85"/>
      <c r="R258" s="85"/>
      <c r="S258" s="85"/>
    </row>
    <row r="259" spans="17:19" ht="12.75">
      <c r="Q259" s="85"/>
      <c r="R259" s="85"/>
      <c r="S259" s="85"/>
    </row>
    <row r="260" spans="17:19" ht="12.75">
      <c r="Q260" s="85"/>
      <c r="R260" s="85"/>
      <c r="S260" s="85"/>
    </row>
    <row r="261" spans="17:19" ht="12.75">
      <c r="Q261" s="85"/>
      <c r="R261" s="85"/>
      <c r="S261" s="85"/>
    </row>
    <row r="262" spans="17:19" ht="12.75">
      <c r="Q262" s="85"/>
      <c r="R262" s="85"/>
      <c r="S262" s="85"/>
    </row>
    <row r="263" spans="17:19" ht="12.75">
      <c r="Q263" s="85"/>
      <c r="R263" s="85"/>
      <c r="S263" s="85"/>
    </row>
    <row r="264" spans="17:19" ht="12.75">
      <c r="Q264" s="85"/>
      <c r="R264" s="85"/>
      <c r="S264" s="85"/>
    </row>
    <row r="265" spans="17:19" ht="12.75">
      <c r="Q265" s="85"/>
      <c r="R265" s="85"/>
      <c r="S265" s="85"/>
    </row>
    <row r="266" spans="17:19" ht="12.75">
      <c r="Q266" s="85"/>
      <c r="R266" s="85"/>
      <c r="S266" s="85"/>
    </row>
    <row r="267" spans="17:19" ht="12.75">
      <c r="Q267" s="85"/>
      <c r="R267" s="85"/>
      <c r="S267" s="85"/>
    </row>
    <row r="268" spans="17:19" ht="12.75">
      <c r="Q268" s="85"/>
      <c r="R268" s="85"/>
      <c r="S268" s="85"/>
    </row>
    <row r="269" spans="17:19" ht="12.75">
      <c r="Q269" s="85"/>
      <c r="R269" s="85"/>
      <c r="S269" s="85"/>
    </row>
    <row r="270" spans="17:19" ht="12.75">
      <c r="Q270" s="85"/>
      <c r="R270" s="85"/>
      <c r="S270" s="85"/>
    </row>
    <row r="271" spans="17:19" ht="12.75">
      <c r="Q271" s="85"/>
      <c r="R271" s="85"/>
      <c r="S271" s="85"/>
    </row>
    <row r="272" spans="17:19" ht="12.75">
      <c r="Q272" s="85"/>
      <c r="R272" s="85"/>
      <c r="S272" s="85"/>
    </row>
    <row r="273" spans="17:19" ht="12.75">
      <c r="Q273" s="85"/>
      <c r="R273" s="85"/>
      <c r="S273" s="85"/>
    </row>
    <row r="274" spans="17:19" ht="12.75">
      <c r="Q274" s="85"/>
      <c r="R274" s="85"/>
      <c r="S274" s="85"/>
    </row>
    <row r="275" spans="17:19" ht="12.75">
      <c r="Q275" s="85"/>
      <c r="R275" s="85"/>
      <c r="S275" s="85"/>
    </row>
    <row r="276" spans="17:19" ht="12.75">
      <c r="Q276" s="85"/>
      <c r="R276" s="85"/>
      <c r="S276" s="85"/>
    </row>
    <row r="277" spans="17:19" ht="12.75">
      <c r="Q277" s="85"/>
      <c r="R277" s="85"/>
      <c r="S277" s="85"/>
    </row>
    <row r="278" spans="17:19" ht="12.75">
      <c r="Q278" s="85"/>
      <c r="R278" s="85"/>
      <c r="S278" s="85"/>
    </row>
    <row r="279" spans="17:19" ht="12.75">
      <c r="Q279" s="85"/>
      <c r="R279" s="85"/>
      <c r="S279" s="85"/>
    </row>
    <row r="280" spans="17:19" ht="12.75">
      <c r="Q280" s="85"/>
      <c r="R280" s="85"/>
      <c r="S280" s="85"/>
    </row>
    <row r="281" spans="17:19" ht="12.75">
      <c r="Q281" s="85"/>
      <c r="R281" s="85"/>
      <c r="S281" s="85"/>
    </row>
    <row r="282" spans="17:19" ht="12.75">
      <c r="Q282" s="85"/>
      <c r="R282" s="85"/>
      <c r="S282" s="85"/>
    </row>
    <row r="283" spans="17:19" ht="12.75">
      <c r="Q283" s="85"/>
      <c r="R283" s="85"/>
      <c r="S283" s="85"/>
    </row>
    <row r="284" spans="17:19" ht="12.75">
      <c r="Q284" s="85"/>
      <c r="R284" s="85"/>
      <c r="S284" s="85"/>
    </row>
    <row r="285" spans="17:19" ht="12.75">
      <c r="Q285" s="85"/>
      <c r="R285" s="85"/>
      <c r="S285" s="85"/>
    </row>
    <row r="286" spans="17:19" ht="12.75">
      <c r="Q286" s="85"/>
      <c r="R286" s="85"/>
      <c r="S286" s="85"/>
    </row>
    <row r="287" spans="17:19" ht="12.75">
      <c r="Q287" s="85"/>
      <c r="R287" s="85"/>
      <c r="S287" s="85"/>
    </row>
    <row r="288" spans="17:19" ht="12.75">
      <c r="Q288" s="85"/>
      <c r="R288" s="85"/>
      <c r="S288" s="85"/>
    </row>
    <row r="289" spans="17:19" ht="12.75">
      <c r="Q289" s="85"/>
      <c r="R289" s="85"/>
      <c r="S289" s="85"/>
    </row>
    <row r="290" spans="17:19" ht="12.75">
      <c r="Q290" s="85"/>
      <c r="R290" s="85"/>
      <c r="S290" s="85"/>
    </row>
    <row r="291" spans="17:19" ht="12.75">
      <c r="Q291" s="85"/>
      <c r="R291" s="85"/>
      <c r="S291" s="85"/>
    </row>
    <row r="292" spans="17:19" ht="12.75">
      <c r="Q292" s="85"/>
      <c r="R292" s="85"/>
      <c r="S292" s="85"/>
    </row>
    <row r="293" spans="17:19" ht="12.75">
      <c r="Q293" s="85"/>
      <c r="R293" s="85"/>
      <c r="S293" s="85"/>
    </row>
    <row r="294" spans="17:19" ht="12.75">
      <c r="Q294" s="85"/>
      <c r="R294" s="85"/>
      <c r="S294" s="85"/>
    </row>
    <row r="295" spans="17:19" ht="12.75">
      <c r="Q295" s="85"/>
      <c r="R295" s="85"/>
      <c r="S295" s="85"/>
    </row>
    <row r="296" spans="17:19" ht="12.75">
      <c r="Q296" s="85"/>
      <c r="R296" s="85"/>
      <c r="S296" s="85"/>
    </row>
    <row r="297" spans="17:19" ht="12.75">
      <c r="Q297" s="85"/>
      <c r="R297" s="85"/>
      <c r="S297" s="85"/>
    </row>
    <row r="298" spans="17:19" ht="12.75">
      <c r="Q298" s="85"/>
      <c r="R298" s="85"/>
      <c r="S298" s="85"/>
    </row>
    <row r="299" spans="17:19" ht="12.75">
      <c r="Q299" s="85"/>
      <c r="R299" s="85"/>
      <c r="S299" s="85"/>
    </row>
    <row r="300" spans="17:19" ht="12.75">
      <c r="Q300" s="85"/>
      <c r="R300" s="85"/>
      <c r="S300" s="85"/>
    </row>
    <row r="301" spans="17:19" ht="12.75">
      <c r="Q301" s="85"/>
      <c r="R301" s="85"/>
      <c r="S301" s="85"/>
    </row>
    <row r="302" spans="17:19" ht="12.75">
      <c r="Q302" s="85"/>
      <c r="R302" s="85"/>
      <c r="S302" s="85"/>
    </row>
    <row r="303" spans="17:19" ht="12.75">
      <c r="Q303" s="85"/>
      <c r="R303" s="85"/>
      <c r="S303" s="85"/>
    </row>
    <row r="304" spans="17:19" ht="12.75">
      <c r="Q304" s="85"/>
      <c r="R304" s="85"/>
      <c r="S304" s="85"/>
    </row>
    <row r="305" spans="17:19" ht="12.75">
      <c r="Q305" s="85"/>
      <c r="R305" s="85"/>
      <c r="S305" s="85"/>
    </row>
    <row r="306" spans="17:19" ht="12.75">
      <c r="Q306" s="85"/>
      <c r="R306" s="85"/>
      <c r="S306" s="85"/>
    </row>
    <row r="307" spans="17:19" ht="12.75">
      <c r="Q307" s="85"/>
      <c r="R307" s="85"/>
      <c r="S307" s="85"/>
    </row>
    <row r="308" spans="17:19" ht="12.75">
      <c r="Q308" s="85"/>
      <c r="R308" s="85"/>
      <c r="S308" s="85"/>
    </row>
    <row r="309" spans="17:19" ht="12.75">
      <c r="Q309" s="85"/>
      <c r="R309" s="85"/>
      <c r="S309" s="85"/>
    </row>
    <row r="310" spans="17:19" ht="12.75">
      <c r="Q310" s="85"/>
      <c r="R310" s="85"/>
      <c r="S310" s="85"/>
    </row>
    <row r="311" spans="17:19" ht="12.75">
      <c r="Q311" s="85"/>
      <c r="R311" s="85"/>
      <c r="S311" s="85"/>
    </row>
    <row r="312" spans="17:19" ht="12.75">
      <c r="Q312" s="85"/>
      <c r="R312" s="85"/>
      <c r="S312" s="85"/>
    </row>
    <row r="313" spans="17:19" ht="12.75">
      <c r="Q313" s="85"/>
      <c r="R313" s="85"/>
      <c r="S313" s="85"/>
    </row>
    <row r="314" spans="17:19" ht="12.75">
      <c r="Q314" s="85"/>
      <c r="R314" s="85"/>
      <c r="S314" s="85"/>
    </row>
    <row r="315" spans="17:19" ht="12.75">
      <c r="Q315" s="85"/>
      <c r="R315" s="85"/>
      <c r="S315" s="85"/>
    </row>
    <row r="316" spans="17:19" ht="12.75">
      <c r="Q316" s="85"/>
      <c r="R316" s="85"/>
      <c r="S316" s="85"/>
    </row>
    <row r="317" spans="17:19" ht="12.75">
      <c r="Q317" s="85"/>
      <c r="R317" s="85"/>
      <c r="S317" s="85"/>
    </row>
    <row r="318" spans="17:19" ht="12.75">
      <c r="Q318" s="85"/>
      <c r="R318" s="85"/>
      <c r="S318" s="85"/>
    </row>
    <row r="319" spans="17:19" ht="12.75">
      <c r="Q319" s="85"/>
      <c r="R319" s="85"/>
      <c r="S319" s="85"/>
    </row>
    <row r="320" spans="17:19" ht="12.75">
      <c r="Q320" s="85"/>
      <c r="R320" s="85"/>
      <c r="S320" s="85"/>
    </row>
    <row r="321" spans="17:19" ht="12.75">
      <c r="Q321" s="85"/>
      <c r="R321" s="85"/>
      <c r="S321" s="85"/>
    </row>
    <row r="322" spans="17:19" ht="12.75">
      <c r="Q322" s="85"/>
      <c r="R322" s="85"/>
      <c r="S322" s="85"/>
    </row>
    <row r="323" spans="17:19" ht="12.75">
      <c r="Q323" s="85"/>
      <c r="R323" s="85"/>
      <c r="S323" s="85"/>
    </row>
    <row r="324" spans="17:19" ht="12.75">
      <c r="Q324" s="85"/>
      <c r="R324" s="85"/>
      <c r="S324" s="85"/>
    </row>
    <row r="325" spans="17:19" ht="12.75">
      <c r="Q325" s="85"/>
      <c r="R325" s="85"/>
      <c r="S325" s="85"/>
    </row>
    <row r="326" spans="17:19" ht="12.75">
      <c r="Q326" s="85"/>
      <c r="R326" s="85"/>
      <c r="S326" s="85"/>
    </row>
    <row r="327" spans="17:19" ht="12.75">
      <c r="Q327" s="85"/>
      <c r="R327" s="85"/>
      <c r="S327" s="85"/>
    </row>
    <row r="328" spans="17:19" ht="12.75">
      <c r="Q328" s="85"/>
      <c r="R328" s="85"/>
      <c r="S328" s="85"/>
    </row>
    <row r="329" spans="17:19" ht="12.75">
      <c r="Q329" s="85"/>
      <c r="R329" s="85"/>
      <c r="S329" s="85"/>
    </row>
    <row r="330" spans="17:19" ht="12.75">
      <c r="Q330" s="85"/>
      <c r="R330" s="85"/>
      <c r="S330" s="85"/>
    </row>
    <row r="331" spans="17:19" ht="12.75">
      <c r="Q331" s="85"/>
      <c r="R331" s="85"/>
      <c r="S331" s="85"/>
    </row>
    <row r="332" spans="17:19" ht="12.75">
      <c r="Q332" s="85"/>
      <c r="R332" s="85"/>
      <c r="S332" s="85"/>
    </row>
    <row r="333" spans="17:19" ht="12.75">
      <c r="Q333" s="85"/>
      <c r="R333" s="85"/>
      <c r="S333" s="85"/>
    </row>
    <row r="334" spans="17:19" ht="12.75">
      <c r="Q334" s="85"/>
      <c r="R334" s="85"/>
      <c r="S334" s="85"/>
    </row>
    <row r="335" spans="17:19" ht="12.75">
      <c r="Q335" s="85"/>
      <c r="R335" s="85"/>
      <c r="S335" s="85"/>
    </row>
    <row r="336" spans="17:19" ht="12.75">
      <c r="Q336" s="85"/>
      <c r="R336" s="85"/>
      <c r="S336" s="85"/>
    </row>
    <row r="337" spans="17:19" ht="12.75">
      <c r="Q337" s="85"/>
      <c r="R337" s="85"/>
      <c r="S337" s="85"/>
    </row>
    <row r="338" spans="17:19" ht="12.75">
      <c r="Q338" s="85"/>
      <c r="R338" s="85"/>
      <c r="S338" s="85"/>
    </row>
    <row r="339" spans="17:19" ht="12.75">
      <c r="Q339" s="85"/>
      <c r="R339" s="85"/>
      <c r="S339" s="85"/>
    </row>
    <row r="340" spans="17:19" ht="12.75">
      <c r="Q340" s="85"/>
      <c r="R340" s="85"/>
      <c r="S340" s="85"/>
    </row>
  </sheetData>
  <mergeCells count="1">
    <mergeCell ref="I4:K4"/>
  </mergeCells>
  <printOptions/>
  <pageMargins left="0.75" right="0.75" top="1" bottom="1" header="0.5" footer="0.5"/>
  <pageSetup fitToHeight="1" fitToWidth="1" horizontalDpi="1200" verticalDpi="1200" orientation="landscape" scale="93" r:id="rId1"/>
  <ignoredErrors>
    <ignoredError sqref="J41 J53 J57 J60 J70:J74 J13" formula="1"/>
    <ignoredError sqref="H42" numberStoredAsText="1"/>
    <ignoredError sqref="K66 K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B94"/>
  <sheetViews>
    <sheetView workbookViewId="0" topLeftCell="A1">
      <selection activeCell="A1" sqref="A1"/>
    </sheetView>
  </sheetViews>
  <sheetFormatPr defaultColWidth="7.7109375" defaultRowHeight="12.75"/>
  <cols>
    <col min="1" max="1" width="4.8515625" style="0" customWidth="1"/>
    <col min="2" max="3" width="4.7109375" style="0" customWidth="1"/>
    <col min="4" max="4" width="37.28125" style="0" customWidth="1"/>
    <col min="5" max="5" width="6.421875" style="0" customWidth="1"/>
    <col min="9" max="9" width="7.7109375" style="261" customWidth="1"/>
  </cols>
  <sheetData>
    <row r="2" spans="3:8" ht="12.75">
      <c r="C2" s="9"/>
      <c r="D2" s="9"/>
      <c r="E2" s="61"/>
      <c r="F2" s="490" t="s">
        <v>138</v>
      </c>
      <c r="G2" s="490"/>
      <c r="H2" s="491"/>
    </row>
    <row r="3" spans="2:9" ht="25.5">
      <c r="B3" s="448" t="s">
        <v>393</v>
      </c>
      <c r="C3" s="449"/>
      <c r="D3" s="449"/>
      <c r="E3" s="59" t="s">
        <v>292</v>
      </c>
      <c r="F3" s="254" t="s">
        <v>143</v>
      </c>
      <c r="G3" s="254" t="s">
        <v>188</v>
      </c>
      <c r="H3" s="465" t="s">
        <v>185</v>
      </c>
      <c r="I3" s="470"/>
    </row>
    <row r="4" spans="2:9" ht="12.75">
      <c r="B4" s="450"/>
      <c r="C4" s="262" t="s">
        <v>432</v>
      </c>
      <c r="D4" s="9"/>
      <c r="E4" s="255"/>
      <c r="F4" s="256"/>
      <c r="G4" s="256"/>
      <c r="H4" s="256"/>
      <c r="I4" s="471" t="s">
        <v>322</v>
      </c>
    </row>
    <row r="5" spans="2:9" ht="12.75">
      <c r="B5" s="450"/>
      <c r="C5" s="21"/>
      <c r="D5" s="263" t="s">
        <v>379</v>
      </c>
      <c r="E5" s="253">
        <v>1</v>
      </c>
      <c r="F5" s="288">
        <v>29</v>
      </c>
      <c r="G5" s="289">
        <f>+F5*E5</f>
        <v>29</v>
      </c>
      <c r="H5" s="466">
        <v>0.25</v>
      </c>
      <c r="I5" s="472"/>
    </row>
    <row r="6" spans="2:9" ht="12.75">
      <c r="B6" s="450"/>
      <c r="C6" s="21"/>
      <c r="D6" t="s">
        <v>380</v>
      </c>
      <c r="E6" s="28">
        <v>1</v>
      </c>
      <c r="F6" s="290">
        <f>28+23</f>
        <v>51</v>
      </c>
      <c r="G6" s="289">
        <f>+F6*E6</f>
        <v>51</v>
      </c>
      <c r="H6" s="466">
        <v>0.25</v>
      </c>
      <c r="I6" s="472"/>
    </row>
    <row r="7" spans="2:9" ht="12.75">
      <c r="B7" s="450"/>
      <c r="C7" s="21"/>
      <c r="D7" s="263" t="s">
        <v>321</v>
      </c>
      <c r="E7" s="28">
        <v>1</v>
      </c>
      <c r="F7" s="291">
        <f>1.5*(5.6+2)</f>
        <v>11.399999999999999</v>
      </c>
      <c r="G7" s="289">
        <f>+F7*E7</f>
        <v>11.399999999999999</v>
      </c>
      <c r="H7" s="466">
        <v>0.25</v>
      </c>
      <c r="I7" s="472"/>
    </row>
    <row r="8" spans="2:9" ht="12.75">
      <c r="B8" s="450"/>
      <c r="C8" s="21"/>
      <c r="D8" s="21" t="s">
        <v>356</v>
      </c>
      <c r="E8" s="28">
        <v>12</v>
      </c>
      <c r="F8" s="290">
        <f>(12+23)/12</f>
        <v>2.9166666666666665</v>
      </c>
      <c r="G8" s="289">
        <f>+F8*E8</f>
        <v>35</v>
      </c>
      <c r="H8" s="466">
        <v>0.25</v>
      </c>
      <c r="I8" s="472"/>
    </row>
    <row r="9" spans="2:9" ht="12.75">
      <c r="B9" s="450"/>
      <c r="C9" s="21"/>
      <c r="D9" s="21" t="s">
        <v>363</v>
      </c>
      <c r="E9" s="28" t="s">
        <v>140</v>
      </c>
      <c r="F9" s="290">
        <v>15</v>
      </c>
      <c r="G9" s="289">
        <f>F9</f>
        <v>15</v>
      </c>
      <c r="H9" s="466">
        <v>0.25</v>
      </c>
      <c r="I9" s="472" t="s">
        <v>376</v>
      </c>
    </row>
    <row r="10" spans="2:9" ht="12.75">
      <c r="B10" s="450"/>
      <c r="C10" s="21"/>
      <c r="D10" s="21" t="s">
        <v>341</v>
      </c>
      <c r="E10" s="28" t="s">
        <v>140</v>
      </c>
      <c r="F10" s="290">
        <f>28/4</f>
        <v>7</v>
      </c>
      <c r="G10" s="289">
        <f>F10</f>
        <v>7</v>
      </c>
      <c r="H10" s="466">
        <v>0.25</v>
      </c>
      <c r="I10" s="472" t="s">
        <v>354</v>
      </c>
    </row>
    <row r="11" spans="2:9" ht="13.5" thickBot="1">
      <c r="B11" s="450"/>
      <c r="C11" s="21"/>
      <c r="D11" s="21" t="s">
        <v>433</v>
      </c>
      <c r="E11" s="28" t="s">
        <v>140</v>
      </c>
      <c r="F11" s="290">
        <f>(67-28)/4</f>
        <v>9.75</v>
      </c>
      <c r="G11" s="289">
        <f>F11</f>
        <v>9.75</v>
      </c>
      <c r="H11" s="466">
        <v>0.25</v>
      </c>
      <c r="I11" s="472"/>
    </row>
    <row r="12" spans="2:9" ht="13.5" thickBot="1">
      <c r="B12" s="450"/>
      <c r="C12" s="320"/>
      <c r="D12" s="80" t="s">
        <v>338</v>
      </c>
      <c r="E12" s="259"/>
      <c r="F12" s="292"/>
      <c r="G12" s="293">
        <f>+SUM(G5:G11)</f>
        <v>158.15</v>
      </c>
      <c r="H12" s="294">
        <f>SUMPRODUCT(G5:G11,H5:H11)/G12</f>
        <v>0.25</v>
      </c>
      <c r="I12" s="272"/>
    </row>
    <row r="13" spans="2:9" ht="12.75">
      <c r="B13" s="448"/>
      <c r="C13" s="262" t="s">
        <v>339</v>
      </c>
      <c r="D13" s="263"/>
      <c r="E13" s="257"/>
      <c r="F13" s="295"/>
      <c r="G13" s="295"/>
      <c r="H13" s="467"/>
      <c r="I13" s="473"/>
    </row>
    <row r="14" spans="2:24" ht="12.75">
      <c r="B14" s="448"/>
      <c r="C14" s="263"/>
      <c r="D14" s="263" t="s">
        <v>294</v>
      </c>
      <c r="E14" s="253">
        <v>2</v>
      </c>
      <c r="F14" s="296">
        <v>8</v>
      </c>
      <c r="G14" s="289">
        <f aca="true" t="shared" si="0" ref="G14:G19">+F14*E14</f>
        <v>16</v>
      </c>
      <c r="H14" s="466">
        <v>0.25</v>
      </c>
      <c r="I14" s="473" t="s">
        <v>303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2:24" ht="12.75">
      <c r="B15" s="448"/>
      <c r="C15" s="263"/>
      <c r="D15" s="21" t="s">
        <v>291</v>
      </c>
      <c r="E15" s="253">
        <v>2</v>
      </c>
      <c r="F15" s="297">
        <v>6.2</v>
      </c>
      <c r="G15" s="289">
        <f t="shared" si="0"/>
        <v>12.4</v>
      </c>
      <c r="H15" s="466">
        <v>0.25</v>
      </c>
      <c r="I15" s="473" t="s">
        <v>293</v>
      </c>
      <c r="K15" s="285" t="s">
        <v>347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ht="12.75">
      <c r="B16" s="448"/>
      <c r="C16" s="263"/>
      <c r="D16" s="21" t="s">
        <v>333</v>
      </c>
      <c r="E16" s="253">
        <v>2</v>
      </c>
      <c r="F16" s="298">
        <v>5.44</v>
      </c>
      <c r="G16" s="289">
        <f t="shared" si="0"/>
        <v>10.88</v>
      </c>
      <c r="H16" s="466">
        <v>0.25</v>
      </c>
      <c r="I16" s="473" t="s">
        <v>377</v>
      </c>
      <c r="K16" s="285" t="s">
        <v>348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ht="12.75">
      <c r="B17" s="448"/>
      <c r="C17" s="263"/>
      <c r="D17" s="263" t="s">
        <v>23</v>
      </c>
      <c r="E17" s="253">
        <v>4</v>
      </c>
      <c r="F17" s="297">
        <v>11</v>
      </c>
      <c r="G17" s="289">
        <f t="shared" si="0"/>
        <v>44</v>
      </c>
      <c r="H17" s="466">
        <v>0.25</v>
      </c>
      <c r="I17" s="473" t="s">
        <v>364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2:24" ht="12.75">
      <c r="B18" s="448"/>
      <c r="C18" s="263"/>
      <c r="D18" s="263" t="s">
        <v>304</v>
      </c>
      <c r="E18" s="253">
        <v>16</v>
      </c>
      <c r="F18" s="296">
        <v>0.037</v>
      </c>
      <c r="G18" s="289">
        <f t="shared" si="0"/>
        <v>0.592</v>
      </c>
      <c r="H18" s="466">
        <v>0.25</v>
      </c>
      <c r="I18" s="373" t="s">
        <v>306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2:24" ht="13.5" thickBot="1">
      <c r="B19" s="448"/>
      <c r="C19" s="263"/>
      <c r="D19" s="263" t="s">
        <v>305</v>
      </c>
      <c r="E19" s="253">
        <v>4</v>
      </c>
      <c r="F19" s="296">
        <v>0.322</v>
      </c>
      <c r="G19" s="289">
        <f t="shared" si="0"/>
        <v>1.288</v>
      </c>
      <c r="H19" s="466">
        <v>0.25</v>
      </c>
      <c r="I19" s="373" t="s">
        <v>307</v>
      </c>
      <c r="N19" s="21"/>
      <c r="O19" s="21"/>
      <c r="P19" s="264"/>
      <c r="Q19" s="21"/>
      <c r="R19" s="21"/>
      <c r="S19" s="96"/>
      <c r="T19" s="21"/>
      <c r="U19" s="21"/>
      <c r="V19" s="21"/>
      <c r="W19" s="21"/>
      <c r="X19" s="21"/>
    </row>
    <row r="20" spans="2:24" ht="13.5" thickBot="1">
      <c r="B20" s="449"/>
      <c r="C20" s="22"/>
      <c r="D20" s="80" t="s">
        <v>334</v>
      </c>
      <c r="E20" s="259"/>
      <c r="F20" s="292"/>
      <c r="G20" s="293">
        <f>+SUM(G14:G19)</f>
        <v>85.16</v>
      </c>
      <c r="H20" s="294">
        <f>SUMPRODUCT(G14:G19,H14:H19)/G20</f>
        <v>0.25</v>
      </c>
      <c r="I20" s="260"/>
      <c r="N20" s="21"/>
      <c r="O20" s="21"/>
      <c r="P20" s="264"/>
      <c r="Q20" s="21"/>
      <c r="R20" s="21"/>
      <c r="S20" s="96"/>
      <c r="T20" s="21"/>
      <c r="U20" s="96"/>
      <c r="V20" s="21"/>
      <c r="W20" s="21"/>
      <c r="X20" s="21"/>
    </row>
    <row r="21" spans="2:24" ht="12.75">
      <c r="B21" s="448"/>
      <c r="C21" s="262" t="s">
        <v>427</v>
      </c>
      <c r="D21" s="263"/>
      <c r="E21" s="257"/>
      <c r="F21" s="295"/>
      <c r="G21" s="295"/>
      <c r="H21" s="467"/>
      <c r="I21" s="473"/>
      <c r="N21" s="265"/>
      <c r="O21" s="21"/>
      <c r="P21" s="264"/>
      <c r="Q21" s="21"/>
      <c r="R21" s="21"/>
      <c r="S21" s="96"/>
      <c r="T21" s="21"/>
      <c r="U21" s="96"/>
      <c r="V21" s="21"/>
      <c r="W21" s="21"/>
      <c r="X21" s="21"/>
    </row>
    <row r="22" spans="2:24" ht="12.75">
      <c r="B22" s="448"/>
      <c r="C22" s="263"/>
      <c r="D22" s="263" t="s">
        <v>434</v>
      </c>
      <c r="E22" s="253">
        <v>2</v>
      </c>
      <c r="F22" s="299">
        <v>15</v>
      </c>
      <c r="G22" s="289">
        <f>+F22*E22</f>
        <v>30</v>
      </c>
      <c r="H22" s="466">
        <v>0.25</v>
      </c>
      <c r="I22" s="474" t="s">
        <v>365</v>
      </c>
      <c r="N22" s="21"/>
      <c r="O22" s="27"/>
      <c r="P22" s="266"/>
      <c r="Q22" s="21"/>
      <c r="R22" s="21"/>
      <c r="S22" s="96"/>
      <c r="T22" s="21"/>
      <c r="U22" s="96"/>
      <c r="V22" s="21"/>
      <c r="W22" s="21"/>
      <c r="X22" s="21"/>
    </row>
    <row r="23" spans="2:24" ht="12.75">
      <c r="B23" s="448"/>
      <c r="C23" s="263"/>
      <c r="D23" s="21" t="s">
        <v>355</v>
      </c>
      <c r="E23" s="253">
        <v>2</v>
      </c>
      <c r="F23" s="300">
        <v>2</v>
      </c>
      <c r="G23" s="289">
        <f>+F23*E23</f>
        <v>4</v>
      </c>
      <c r="H23" s="466">
        <v>0.25</v>
      </c>
      <c r="I23" s="475" t="s">
        <v>302</v>
      </c>
      <c r="M23" s="21"/>
      <c r="N23" s="21"/>
      <c r="O23" s="27"/>
      <c r="P23" s="266"/>
      <c r="Q23" s="21"/>
      <c r="R23" s="21"/>
      <c r="S23" s="96"/>
      <c r="T23" s="21"/>
      <c r="U23" s="96"/>
      <c r="V23" s="21"/>
      <c r="W23" s="21"/>
      <c r="X23" s="21"/>
    </row>
    <row r="24" spans="2:24" ht="12.75">
      <c r="B24" s="448"/>
      <c r="C24" s="263"/>
      <c r="D24" s="263" t="s">
        <v>295</v>
      </c>
      <c r="E24" s="253">
        <v>2</v>
      </c>
      <c r="F24" s="321">
        <v>14.2</v>
      </c>
      <c r="G24" s="289">
        <f>+F24*E24</f>
        <v>28.4</v>
      </c>
      <c r="H24" s="466">
        <v>0.25</v>
      </c>
      <c r="I24" s="474" t="s">
        <v>442</v>
      </c>
      <c r="N24" s="21"/>
      <c r="O24" s="21"/>
      <c r="P24" s="264"/>
      <c r="Q24" s="21"/>
      <c r="R24" s="21"/>
      <c r="S24" s="96"/>
      <c r="T24" s="21"/>
      <c r="U24" s="96"/>
      <c r="V24" s="21"/>
      <c r="W24" s="21"/>
      <c r="X24" s="21"/>
    </row>
    <row r="25" spans="2:24" ht="12.75">
      <c r="B25" s="448"/>
      <c r="C25" s="263"/>
      <c r="D25" s="263" t="s">
        <v>366</v>
      </c>
      <c r="E25" s="253">
        <v>1</v>
      </c>
      <c r="F25" s="301">
        <v>10</v>
      </c>
      <c r="G25" s="289">
        <f>+F25*E25</f>
        <v>10</v>
      </c>
      <c r="H25" s="466">
        <v>0.25</v>
      </c>
      <c r="I25" s="472" t="s">
        <v>367</v>
      </c>
      <c r="N25" s="21"/>
      <c r="O25" s="21"/>
      <c r="P25" s="264"/>
      <c r="Q25" s="21"/>
      <c r="R25" s="21"/>
      <c r="S25" s="96"/>
      <c r="T25" s="21"/>
      <c r="U25" s="96"/>
      <c r="V25" s="21"/>
      <c r="W25" s="21"/>
      <c r="X25" s="21"/>
    </row>
    <row r="26" spans="2:24" ht="12.75">
      <c r="B26" s="448"/>
      <c r="C26" s="263"/>
      <c r="D26" s="367" t="s">
        <v>438</v>
      </c>
      <c r="E26" s="462">
        <v>12</v>
      </c>
      <c r="F26" s="319">
        <v>2.05</v>
      </c>
      <c r="G26" s="386">
        <f>E26*F26</f>
        <v>24.599999999999998</v>
      </c>
      <c r="H26" s="468">
        <v>0.25</v>
      </c>
      <c r="I26" s="470"/>
      <c r="N26" s="21"/>
      <c r="O26" s="21"/>
      <c r="P26" s="264"/>
      <c r="Q26" s="21"/>
      <c r="R26" s="21"/>
      <c r="S26" s="96"/>
      <c r="T26" s="21"/>
      <c r="U26" s="96"/>
      <c r="V26" s="21"/>
      <c r="W26" s="21"/>
      <c r="X26" s="21"/>
    </row>
    <row r="27" spans="2:9" ht="13.5" thickBot="1">
      <c r="B27" s="450"/>
      <c r="C27" s="21"/>
      <c r="D27" s="367" t="s">
        <v>439</v>
      </c>
      <c r="E27" s="463">
        <v>1</v>
      </c>
      <c r="F27" s="464">
        <v>5</v>
      </c>
      <c r="G27" s="289">
        <f>F27</f>
        <v>5</v>
      </c>
      <c r="H27" s="466">
        <v>0.25</v>
      </c>
      <c r="I27" s="472"/>
    </row>
    <row r="28" spans="2:24" ht="13.5" thickBot="1">
      <c r="B28" s="448"/>
      <c r="C28" s="263"/>
      <c r="D28" s="80" t="s">
        <v>426</v>
      </c>
      <c r="E28" s="259"/>
      <c r="F28" s="292"/>
      <c r="G28" s="293">
        <f>+SUM(G22:G27)</f>
        <v>102</v>
      </c>
      <c r="H28" s="294">
        <f>SUMPRODUCT(G22:G25,H22:H25)/G28</f>
        <v>0.17745098039215687</v>
      </c>
      <c r="I28" s="272"/>
      <c r="N28" s="21"/>
      <c r="O28" s="21"/>
      <c r="P28" s="264"/>
      <c r="Q28" s="21"/>
      <c r="R28" s="21"/>
      <c r="S28" s="96"/>
      <c r="T28" s="21"/>
      <c r="U28" s="96"/>
      <c r="V28" s="21"/>
      <c r="W28" s="21"/>
      <c r="X28" s="21"/>
    </row>
    <row r="29" spans="2:24" ht="12.75">
      <c r="B29" s="448"/>
      <c r="C29" s="262" t="s">
        <v>428</v>
      </c>
      <c r="D29" s="263"/>
      <c r="E29" s="253"/>
      <c r="F29" s="301"/>
      <c r="G29" s="289"/>
      <c r="H29" s="466"/>
      <c r="I29" s="472"/>
      <c r="N29" s="21"/>
      <c r="O29" s="21"/>
      <c r="P29" s="264"/>
      <c r="Q29" s="21"/>
      <c r="R29" s="21"/>
      <c r="S29" s="96"/>
      <c r="T29" s="21"/>
      <c r="U29" s="96"/>
      <c r="V29" s="21"/>
      <c r="W29" s="21"/>
      <c r="X29" s="21"/>
    </row>
    <row r="30" spans="2:24" ht="12.75">
      <c r="B30" s="448"/>
      <c r="C30" s="263"/>
      <c r="D30" s="263" t="s">
        <v>299</v>
      </c>
      <c r="E30" s="253">
        <v>1</v>
      </c>
      <c r="F30" s="302">
        <v>6</v>
      </c>
      <c r="G30" s="289">
        <f aca="true" t="shared" si="1" ref="G30:G35">+F30*E30</f>
        <v>6</v>
      </c>
      <c r="H30" s="466">
        <v>0.25</v>
      </c>
      <c r="I30" s="475" t="s">
        <v>302</v>
      </c>
      <c r="J30" s="476" t="s">
        <v>443</v>
      </c>
      <c r="N30" s="21"/>
      <c r="O30" s="21"/>
      <c r="P30" s="264"/>
      <c r="Q30" s="21"/>
      <c r="R30" s="21"/>
      <c r="S30" s="96"/>
      <c r="T30" s="21"/>
      <c r="U30" s="21"/>
      <c r="V30" s="21"/>
      <c r="W30" s="21"/>
      <c r="X30" s="21"/>
    </row>
    <row r="31" spans="2:24" ht="12.75">
      <c r="B31" s="448"/>
      <c r="C31" s="263"/>
      <c r="D31" s="21" t="s">
        <v>288</v>
      </c>
      <c r="E31" s="253">
        <v>1</v>
      </c>
      <c r="F31" s="302">
        <v>6</v>
      </c>
      <c r="G31" s="289">
        <f t="shared" si="1"/>
        <v>6</v>
      </c>
      <c r="H31" s="466">
        <v>0.25</v>
      </c>
      <c r="I31" s="475" t="s">
        <v>302</v>
      </c>
      <c r="N31" s="21"/>
      <c r="O31" s="21"/>
      <c r="P31" s="264"/>
      <c r="Q31" s="21"/>
      <c r="R31" s="21"/>
      <c r="S31" s="96"/>
      <c r="T31" s="21"/>
      <c r="U31" s="21"/>
      <c r="V31" s="21"/>
      <c r="W31" s="21"/>
      <c r="X31" s="21"/>
    </row>
    <row r="32" spans="2:24" ht="12.75">
      <c r="B32" s="448"/>
      <c r="C32" s="263"/>
      <c r="D32" s="21" t="s">
        <v>290</v>
      </c>
      <c r="E32" s="253">
        <v>1</v>
      </c>
      <c r="F32" s="302">
        <v>6</v>
      </c>
      <c r="G32" s="289">
        <f t="shared" si="1"/>
        <v>6</v>
      </c>
      <c r="H32" s="466">
        <v>0.25</v>
      </c>
      <c r="I32" s="475" t="s">
        <v>302</v>
      </c>
      <c r="N32" s="21"/>
      <c r="O32" s="21"/>
      <c r="P32" s="264"/>
      <c r="Q32" s="21"/>
      <c r="R32" s="21"/>
      <c r="S32" s="96"/>
      <c r="T32" s="21"/>
      <c r="U32" s="21"/>
      <c r="V32" s="21"/>
      <c r="W32" s="21"/>
      <c r="X32" s="21"/>
    </row>
    <row r="33" spans="2:24" ht="12.75">
      <c r="B33" s="448"/>
      <c r="C33" s="263"/>
      <c r="D33" s="263" t="s">
        <v>337</v>
      </c>
      <c r="E33" s="253">
        <v>1</v>
      </c>
      <c r="F33" s="302">
        <v>6</v>
      </c>
      <c r="G33" s="289">
        <f t="shared" si="1"/>
        <v>6</v>
      </c>
      <c r="H33" s="466">
        <v>0.25</v>
      </c>
      <c r="I33" s="475" t="s">
        <v>302</v>
      </c>
      <c r="N33" s="21"/>
      <c r="O33" s="21"/>
      <c r="P33" s="264"/>
      <c r="Q33" s="21"/>
      <c r="R33" s="21"/>
      <c r="S33" s="96"/>
      <c r="T33" s="21"/>
      <c r="U33" s="21"/>
      <c r="V33" s="21"/>
      <c r="W33" s="21"/>
      <c r="X33" s="21"/>
    </row>
    <row r="34" spans="2:24" ht="12.75">
      <c r="B34" s="448"/>
      <c r="C34" s="263"/>
      <c r="D34" s="263" t="s">
        <v>300</v>
      </c>
      <c r="E34" s="253">
        <v>1</v>
      </c>
      <c r="F34" s="302">
        <v>2</v>
      </c>
      <c r="G34" s="289">
        <f t="shared" si="1"/>
        <v>2</v>
      </c>
      <c r="H34" s="466">
        <v>0.25</v>
      </c>
      <c r="I34" s="475" t="s">
        <v>302</v>
      </c>
      <c r="N34" s="21"/>
      <c r="O34" s="21"/>
      <c r="P34" s="264"/>
      <c r="Q34" s="21"/>
      <c r="R34" s="21"/>
      <c r="S34" s="96"/>
      <c r="T34" s="21"/>
      <c r="U34" s="21"/>
      <c r="V34" s="21"/>
      <c r="W34" s="21"/>
      <c r="X34" s="21"/>
    </row>
    <row r="35" spans="2:24" ht="13.5" thickBot="1">
      <c r="B35" s="448"/>
      <c r="C35" s="263"/>
      <c r="D35" s="263" t="s">
        <v>301</v>
      </c>
      <c r="E35" s="253">
        <v>1</v>
      </c>
      <c r="F35" s="302">
        <v>1</v>
      </c>
      <c r="G35" s="289">
        <f t="shared" si="1"/>
        <v>1</v>
      </c>
      <c r="H35" s="466">
        <v>0.25</v>
      </c>
      <c r="I35" s="475" t="s">
        <v>302</v>
      </c>
      <c r="N35" s="21"/>
      <c r="O35" s="21"/>
      <c r="P35" s="264"/>
      <c r="Q35" s="21"/>
      <c r="R35" s="21"/>
      <c r="S35" s="96"/>
      <c r="T35" s="21"/>
      <c r="U35" s="21"/>
      <c r="V35" s="21"/>
      <c r="W35" s="21"/>
      <c r="X35" s="21"/>
    </row>
    <row r="36" spans="2:24" ht="13.5" thickBot="1">
      <c r="B36" s="448"/>
      <c r="C36" s="22"/>
      <c r="D36" s="80" t="s">
        <v>429</v>
      </c>
      <c r="E36" s="259"/>
      <c r="F36" s="292"/>
      <c r="G36" s="293">
        <f>+SUM(G30:G35)</f>
        <v>27</v>
      </c>
      <c r="H36" s="294">
        <f>SUMPRODUCT(G30:G35,H30:H35)/G36</f>
        <v>0.25</v>
      </c>
      <c r="I36" s="26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ht="12.75">
      <c r="B37" s="448"/>
      <c r="C37" s="262" t="s">
        <v>430</v>
      </c>
      <c r="D37" s="263"/>
      <c r="E37" s="257"/>
      <c r="F37" s="295"/>
      <c r="G37" s="295"/>
      <c r="H37" s="467"/>
      <c r="I37" s="47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2:24" ht="12.75">
      <c r="B38" s="448"/>
      <c r="C38" s="263"/>
      <c r="D38" s="263" t="s">
        <v>296</v>
      </c>
      <c r="E38" s="253">
        <v>2</v>
      </c>
      <c r="F38" s="303">
        <v>12</v>
      </c>
      <c r="G38" s="289">
        <f aca="true" t="shared" si="2" ref="G38:G43">+F38*E38</f>
        <v>24</v>
      </c>
      <c r="H38" s="466">
        <v>0.25</v>
      </c>
      <c r="I38" s="473" t="s">
        <v>293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2:24" ht="12.75">
      <c r="B39" s="448"/>
      <c r="C39" s="263"/>
      <c r="D39" s="263" t="s">
        <v>297</v>
      </c>
      <c r="E39" s="253">
        <v>2</v>
      </c>
      <c r="F39" s="299">
        <v>3</v>
      </c>
      <c r="G39" s="289">
        <f t="shared" si="2"/>
        <v>6</v>
      </c>
      <c r="H39" s="466">
        <v>0.25</v>
      </c>
      <c r="I39" s="473" t="s">
        <v>293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2:24" ht="12.75">
      <c r="B40" s="448"/>
      <c r="C40" s="263"/>
      <c r="D40" s="21" t="s">
        <v>289</v>
      </c>
      <c r="E40" s="253">
        <v>2</v>
      </c>
      <c r="F40" s="299">
        <v>2.5</v>
      </c>
      <c r="G40" s="289">
        <f t="shared" si="2"/>
        <v>5</v>
      </c>
      <c r="H40" s="466">
        <v>0.25</v>
      </c>
      <c r="I40" s="473" t="s">
        <v>293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9" ht="12.75">
      <c r="B41" s="448"/>
      <c r="C41" s="263"/>
      <c r="D41" s="263" t="s">
        <v>298</v>
      </c>
      <c r="E41" s="253">
        <v>1</v>
      </c>
      <c r="F41" s="300">
        <v>20</v>
      </c>
      <c r="G41" s="289">
        <f t="shared" si="2"/>
        <v>20</v>
      </c>
      <c r="H41" s="466">
        <v>0.25</v>
      </c>
      <c r="I41" s="475" t="s">
        <v>302</v>
      </c>
    </row>
    <row r="42" spans="2:9" ht="12.75">
      <c r="B42" s="448"/>
      <c r="C42" s="263"/>
      <c r="D42" s="263" t="s">
        <v>324</v>
      </c>
      <c r="E42" s="253">
        <v>2</v>
      </c>
      <c r="F42" s="299">
        <v>5</v>
      </c>
      <c r="G42" s="289">
        <f t="shared" si="2"/>
        <v>10</v>
      </c>
      <c r="H42" s="466">
        <v>0.25</v>
      </c>
      <c r="I42" s="473" t="s">
        <v>293</v>
      </c>
    </row>
    <row r="43" spans="2:9" ht="13.5" thickBot="1">
      <c r="B43" s="448"/>
      <c r="C43" s="263"/>
      <c r="D43" s="263" t="s">
        <v>323</v>
      </c>
      <c r="E43" s="253">
        <v>4</v>
      </c>
      <c r="F43" s="299">
        <v>0.5</v>
      </c>
      <c r="G43" s="289">
        <f t="shared" si="2"/>
        <v>2</v>
      </c>
      <c r="H43" s="466">
        <v>0.25</v>
      </c>
      <c r="I43" s="473" t="s">
        <v>293</v>
      </c>
    </row>
    <row r="44" spans="2:9" ht="13.5" thickBot="1">
      <c r="B44" s="448"/>
      <c r="C44" s="22"/>
      <c r="D44" s="80" t="s">
        <v>441</v>
      </c>
      <c r="E44" s="259"/>
      <c r="F44" s="292"/>
      <c r="G44" s="293">
        <f>+SUM(G38:G43)</f>
        <v>67</v>
      </c>
      <c r="H44" s="294">
        <f>SUMPRODUCT(G38:G43,H38:H43)/G44</f>
        <v>0.25</v>
      </c>
      <c r="I44" s="65"/>
    </row>
    <row r="45" spans="2:9" ht="12.75">
      <c r="B45" s="448"/>
      <c r="C45" s="262" t="s">
        <v>431</v>
      </c>
      <c r="D45" s="263"/>
      <c r="E45" s="257"/>
      <c r="F45" s="304"/>
      <c r="G45" s="304"/>
      <c r="H45" s="467"/>
      <c r="I45" s="470"/>
    </row>
    <row r="46" spans="2:9" ht="12.75">
      <c r="B46" s="448"/>
      <c r="C46" s="262"/>
      <c r="D46" s="9" t="s">
        <v>325</v>
      </c>
      <c r="E46" s="253">
        <v>5</v>
      </c>
      <c r="F46" s="299">
        <f>13*0.4536</f>
        <v>5.8968</v>
      </c>
      <c r="G46" s="289">
        <f aca="true" t="shared" si="3" ref="G46:G51">+F46*E46</f>
        <v>29.483999999999998</v>
      </c>
      <c r="H46" s="466">
        <v>0.25</v>
      </c>
      <c r="I46" s="474" t="s">
        <v>328</v>
      </c>
    </row>
    <row r="47" spans="2:9" ht="12.75">
      <c r="B47" s="448"/>
      <c r="C47" s="262"/>
      <c r="D47" s="263" t="s">
        <v>331</v>
      </c>
      <c r="E47" s="253">
        <v>5</v>
      </c>
      <c r="F47" s="299">
        <v>1.1</v>
      </c>
      <c r="G47" s="289">
        <f t="shared" si="3"/>
        <v>5.5</v>
      </c>
      <c r="H47" s="466">
        <v>0.25</v>
      </c>
      <c r="I47" s="474"/>
    </row>
    <row r="48" spans="2:9" ht="12.75">
      <c r="B48" s="448"/>
      <c r="C48" s="263"/>
      <c r="D48" s="9" t="s">
        <v>326</v>
      </c>
      <c r="E48" s="253">
        <v>2</v>
      </c>
      <c r="F48" s="301">
        <v>1.533</v>
      </c>
      <c r="G48" s="289">
        <f t="shared" si="3"/>
        <v>3.066</v>
      </c>
      <c r="H48" s="466">
        <v>0.25</v>
      </c>
      <c r="I48" s="474" t="s">
        <v>327</v>
      </c>
    </row>
    <row r="49" spans="2:9" ht="12.75">
      <c r="B49" s="448"/>
      <c r="C49" s="263"/>
      <c r="D49" s="263" t="s">
        <v>332</v>
      </c>
      <c r="E49" s="253">
        <v>2</v>
      </c>
      <c r="F49" s="301">
        <v>1.5</v>
      </c>
      <c r="G49" s="289">
        <f t="shared" si="3"/>
        <v>3</v>
      </c>
      <c r="H49" s="466">
        <v>0.25</v>
      </c>
      <c r="I49" s="474"/>
    </row>
    <row r="50" spans="2:10" ht="12.75">
      <c r="B50" s="448"/>
      <c r="C50" s="263"/>
      <c r="D50" s="9" t="s">
        <v>329</v>
      </c>
      <c r="E50" s="253">
        <v>14</v>
      </c>
      <c r="F50" s="299">
        <v>0.45</v>
      </c>
      <c r="G50" s="289">
        <f t="shared" si="3"/>
        <v>6.3</v>
      </c>
      <c r="H50" s="466">
        <v>0.25</v>
      </c>
      <c r="I50" s="474" t="s">
        <v>362</v>
      </c>
      <c r="J50" s="91"/>
    </row>
    <row r="51" spans="2:9" ht="13.5" thickBot="1">
      <c r="B51" s="448"/>
      <c r="C51" s="263"/>
      <c r="D51" s="9" t="s">
        <v>330</v>
      </c>
      <c r="E51" s="253">
        <v>5</v>
      </c>
      <c r="F51" s="301">
        <v>2</v>
      </c>
      <c r="G51" s="289">
        <f t="shared" si="3"/>
        <v>10</v>
      </c>
      <c r="H51" s="466">
        <v>0.25</v>
      </c>
      <c r="I51" s="472"/>
    </row>
    <row r="52" spans="2:9" ht="13.5" thickBot="1">
      <c r="B52" s="448"/>
      <c r="D52" s="80" t="s">
        <v>440</v>
      </c>
      <c r="E52" s="259"/>
      <c r="F52" s="305"/>
      <c r="G52" s="293">
        <f>+SUM(G46:G51)</f>
        <v>57.349999999999994</v>
      </c>
      <c r="H52" s="294">
        <f>SUMPRODUCT(G46:G51,H46:H51)/G52</f>
        <v>0.25</v>
      </c>
      <c r="I52" s="65"/>
    </row>
    <row r="53" spans="2:9" ht="13.5" thickBot="1">
      <c r="B53" s="448"/>
      <c r="C53" s="56"/>
      <c r="D53" s="188"/>
      <c r="E53" s="246"/>
      <c r="F53" s="446"/>
      <c r="G53" s="447"/>
      <c r="H53" s="469"/>
      <c r="I53" s="470"/>
    </row>
    <row r="54" spans="2:28" ht="13.5" thickBot="1">
      <c r="B54" s="450"/>
      <c r="C54" s="80" t="s">
        <v>335</v>
      </c>
      <c r="D54" s="81"/>
      <c r="E54" s="81"/>
      <c r="F54" s="445"/>
      <c r="G54" s="293">
        <f>+G12+G20+G28+G36+G44+G52</f>
        <v>496.65999999999997</v>
      </c>
      <c r="H54" s="294"/>
      <c r="I54" s="65"/>
      <c r="P54" s="22"/>
      <c r="Q54" s="258"/>
      <c r="T54" s="258"/>
      <c r="U54" s="258"/>
      <c r="V54" s="258"/>
      <c r="W54" s="258"/>
      <c r="X54" s="258"/>
      <c r="Y54" s="258"/>
      <c r="Z54" s="258"/>
      <c r="AA54" s="258"/>
      <c r="AB54" s="258"/>
    </row>
    <row r="55" spans="2:28" ht="12.75">
      <c r="B55" s="9"/>
      <c r="C55" s="21"/>
      <c r="D55" s="21"/>
      <c r="E55" s="22"/>
      <c r="F55" s="9"/>
      <c r="G55" s="21"/>
      <c r="H55" s="92"/>
      <c r="P55" s="22"/>
      <c r="Q55" s="258"/>
      <c r="T55" s="258"/>
      <c r="U55" s="258"/>
      <c r="V55" s="258"/>
      <c r="W55" s="258"/>
      <c r="X55" s="258"/>
      <c r="Y55" s="258"/>
      <c r="Z55" s="258"/>
      <c r="AA55" s="258"/>
      <c r="AB55" s="258"/>
    </row>
    <row r="56" spans="16:28" ht="12.75">
      <c r="P56" s="22"/>
      <c r="Q56" s="258"/>
      <c r="T56" s="258"/>
      <c r="U56" s="258"/>
      <c r="V56" s="258"/>
      <c r="W56" s="258"/>
      <c r="X56" s="258"/>
      <c r="Y56" s="258"/>
      <c r="Z56" s="258"/>
      <c r="AA56" s="258"/>
      <c r="AB56" s="258"/>
    </row>
    <row r="57" spans="3:28" ht="12.75">
      <c r="C57" s="1" t="s">
        <v>180</v>
      </c>
      <c r="G57" s="94" t="s">
        <v>184</v>
      </c>
      <c r="H57" t="s">
        <v>249</v>
      </c>
      <c r="P57" s="22"/>
      <c r="Q57" s="258"/>
      <c r="T57" s="258"/>
      <c r="U57" s="258"/>
      <c r="V57" s="258"/>
      <c r="W57" s="258"/>
      <c r="X57" s="258"/>
      <c r="Y57" s="258"/>
      <c r="Z57" s="258"/>
      <c r="AA57" s="258"/>
      <c r="AB57" s="258"/>
    </row>
    <row r="58" spans="4:28" ht="12.75">
      <c r="D58" s="91" t="s">
        <v>175</v>
      </c>
      <c r="E58" s="91"/>
      <c r="F58" s="82"/>
      <c r="G58" s="85">
        <v>608</v>
      </c>
      <c r="H58" s="85">
        <v>380</v>
      </c>
      <c r="P58" s="22"/>
      <c r="Q58" s="258"/>
      <c r="T58" s="258"/>
      <c r="U58" s="258"/>
      <c r="V58" s="258"/>
      <c r="W58" s="258"/>
      <c r="X58" s="258"/>
      <c r="Y58" s="258"/>
      <c r="Z58" s="258"/>
      <c r="AA58" s="258"/>
      <c r="AB58" s="258"/>
    </row>
    <row r="59" spans="4:28" ht="12.75">
      <c r="D59" s="91" t="s">
        <v>176</v>
      </c>
      <c r="E59" s="91"/>
      <c r="F59" s="82"/>
      <c r="G59" s="85">
        <v>354</v>
      </c>
      <c r="H59" s="85">
        <v>666</v>
      </c>
      <c r="P59" s="22"/>
      <c r="Q59" s="258"/>
      <c r="T59" s="258"/>
      <c r="U59" s="258"/>
      <c r="V59" s="258"/>
      <c r="W59" s="258"/>
      <c r="X59" s="258"/>
      <c r="Y59" s="258"/>
      <c r="Z59" s="258"/>
      <c r="AA59" s="258"/>
      <c r="AB59" s="258"/>
    </row>
    <row r="60" spans="4:28" ht="12.75">
      <c r="D60" s="91" t="s">
        <v>177</v>
      </c>
      <c r="E60" s="91"/>
      <c r="F60" s="82"/>
      <c r="G60" s="85">
        <v>566</v>
      </c>
      <c r="H60" s="85">
        <v>200</v>
      </c>
      <c r="I60" s="261" t="s">
        <v>250</v>
      </c>
      <c r="P60" s="22"/>
      <c r="Q60" s="258"/>
      <c r="T60" s="258"/>
      <c r="U60" s="258"/>
      <c r="V60" s="258"/>
      <c r="W60" s="258"/>
      <c r="X60" s="258"/>
      <c r="Y60" s="258"/>
      <c r="Z60" s="258"/>
      <c r="AA60" s="258"/>
      <c r="AB60" s="258"/>
    </row>
    <row r="61" spans="4:28" ht="12.75">
      <c r="D61" s="91" t="s">
        <v>178</v>
      </c>
      <c r="E61" s="91"/>
      <c r="F61" s="82"/>
      <c r="G61" s="85">
        <v>492</v>
      </c>
      <c r="H61" s="85">
        <v>470</v>
      </c>
      <c r="I61" s="261" t="s">
        <v>251</v>
      </c>
      <c r="P61" s="22"/>
      <c r="Q61" s="258"/>
      <c r="T61" s="258"/>
      <c r="U61" s="258"/>
      <c r="V61" s="258"/>
      <c r="W61" s="258"/>
      <c r="X61" s="258"/>
      <c r="Y61" s="258"/>
      <c r="Z61" s="258"/>
      <c r="AA61" s="258"/>
      <c r="AB61" s="258"/>
    </row>
    <row r="62" spans="4:28" ht="12.75">
      <c r="D62" s="91" t="s">
        <v>179</v>
      </c>
      <c r="E62" s="91"/>
      <c r="F62" s="82"/>
      <c r="G62" s="85">
        <v>580</v>
      </c>
      <c r="H62" s="85">
        <v>780</v>
      </c>
      <c r="P62" s="22"/>
      <c r="Q62" s="258"/>
      <c r="T62" s="258"/>
      <c r="U62" s="258"/>
      <c r="V62" s="258"/>
      <c r="W62" s="258"/>
      <c r="X62" s="258"/>
      <c r="Y62" s="258"/>
      <c r="Z62" s="258"/>
      <c r="AA62" s="258"/>
      <c r="AB62" s="258"/>
    </row>
    <row r="63" spans="6:28" ht="12.75">
      <c r="F63" t="s">
        <v>181</v>
      </c>
      <c r="G63" s="89">
        <f>AVERAGE(G58:G62)</f>
        <v>520</v>
      </c>
      <c r="H63" s="89">
        <f>AVERAGE(H58:H62)</f>
        <v>499.2</v>
      </c>
      <c r="P63" s="22"/>
      <c r="Q63" s="258"/>
      <c r="T63" s="258"/>
      <c r="U63" s="258"/>
      <c r="V63" s="258"/>
      <c r="W63" s="258"/>
      <c r="X63" s="258"/>
      <c r="Y63" s="258"/>
      <c r="Z63" s="258"/>
      <c r="AA63" s="258"/>
      <c r="AB63" s="258"/>
    </row>
    <row r="64" spans="16:28" ht="12.75">
      <c r="P64" s="22"/>
      <c r="Q64" s="258"/>
      <c r="T64" s="258"/>
      <c r="U64" s="258"/>
      <c r="V64" s="258"/>
      <c r="W64" s="258"/>
      <c r="X64" s="258"/>
      <c r="Y64" s="258"/>
      <c r="Z64" s="258"/>
      <c r="AA64" s="258"/>
      <c r="AB64" s="258"/>
    </row>
    <row r="65" spans="16:28" ht="12.75">
      <c r="P65" s="22"/>
      <c r="Q65" s="258"/>
      <c r="T65" s="258"/>
      <c r="U65" s="258"/>
      <c r="V65" s="258"/>
      <c r="W65" s="258"/>
      <c r="X65" s="258"/>
      <c r="Y65" s="258"/>
      <c r="Z65" s="258"/>
      <c r="AA65" s="258"/>
      <c r="AB65" s="258"/>
    </row>
    <row r="66" spans="3:28" ht="12.75">
      <c r="C66" s="214"/>
      <c r="P66" s="22"/>
      <c r="Q66" s="258"/>
      <c r="T66" s="258"/>
      <c r="U66" s="258"/>
      <c r="V66" s="258"/>
      <c r="W66" s="258"/>
      <c r="X66" s="258"/>
      <c r="Y66" s="258"/>
      <c r="Z66" s="258"/>
      <c r="AA66" s="258"/>
      <c r="AB66" s="258"/>
    </row>
    <row r="67" spans="7:28" ht="12.75">
      <c r="G67" s="215"/>
      <c r="P67" s="22"/>
      <c r="Q67" s="258"/>
      <c r="T67" s="258"/>
      <c r="U67" s="258"/>
      <c r="V67" s="258"/>
      <c r="W67" s="258"/>
      <c r="X67" s="258"/>
      <c r="Y67" s="258"/>
      <c r="Z67" s="258"/>
      <c r="AA67" s="258"/>
      <c r="AB67" s="258"/>
    </row>
    <row r="68" spans="7:28" ht="12.75">
      <c r="G68" s="215"/>
      <c r="P68" s="22"/>
      <c r="Q68" s="258"/>
      <c r="T68" s="258"/>
      <c r="U68" s="258"/>
      <c r="V68" s="258"/>
      <c r="W68" s="258"/>
      <c r="X68" s="258"/>
      <c r="Y68" s="258"/>
      <c r="Z68" s="258"/>
      <c r="AA68" s="258"/>
      <c r="AB68" s="258"/>
    </row>
    <row r="69" spans="7:28" ht="12.75">
      <c r="G69" s="215"/>
      <c r="P69" s="22"/>
      <c r="Q69" s="258"/>
      <c r="T69" s="258"/>
      <c r="U69" s="258"/>
      <c r="V69" s="258"/>
      <c r="W69" s="258"/>
      <c r="X69" s="258"/>
      <c r="Y69" s="258"/>
      <c r="Z69" s="258"/>
      <c r="AA69" s="258"/>
      <c r="AB69" s="258"/>
    </row>
    <row r="70" spans="7:28" ht="12.75">
      <c r="G70" s="215"/>
      <c r="P70" s="22"/>
      <c r="Q70" s="258"/>
      <c r="T70" s="258"/>
      <c r="U70" s="258"/>
      <c r="V70" s="258"/>
      <c r="W70" s="258"/>
      <c r="X70" s="258"/>
      <c r="Y70" s="258"/>
      <c r="Z70" s="258"/>
      <c r="AA70" s="258"/>
      <c r="AB70" s="258"/>
    </row>
    <row r="71" spans="7:28" ht="12.75">
      <c r="G71" s="215"/>
      <c r="Q71" s="258"/>
      <c r="T71" s="258"/>
      <c r="U71" s="258"/>
      <c r="V71" s="258"/>
      <c r="W71" s="258"/>
      <c r="X71" s="258"/>
      <c r="Y71" s="258"/>
      <c r="Z71" s="258"/>
      <c r="AA71" s="258"/>
      <c r="AB71" s="258"/>
    </row>
    <row r="72" spans="7:28" ht="12.75">
      <c r="G72" s="215"/>
      <c r="Q72" s="258"/>
      <c r="T72" s="258"/>
      <c r="U72" s="258"/>
      <c r="V72" s="258"/>
      <c r="W72" s="258"/>
      <c r="X72" s="258"/>
      <c r="Y72" s="258"/>
      <c r="Z72" s="258"/>
      <c r="AA72" s="258"/>
      <c r="AB72" s="258"/>
    </row>
    <row r="73" spans="7:28" ht="12.75">
      <c r="G73" s="215"/>
      <c r="Q73" s="258"/>
      <c r="T73" s="258"/>
      <c r="U73" s="258"/>
      <c r="V73" s="258"/>
      <c r="W73" s="258"/>
      <c r="X73" s="258"/>
      <c r="Y73" s="258"/>
      <c r="Z73" s="258"/>
      <c r="AA73" s="258"/>
      <c r="AB73" s="258"/>
    </row>
    <row r="74" spans="7:28" ht="12.75">
      <c r="G74" s="215"/>
      <c r="Q74" s="258"/>
      <c r="T74" s="258"/>
      <c r="U74" s="258"/>
      <c r="V74" s="258"/>
      <c r="W74" s="258"/>
      <c r="X74" s="258"/>
      <c r="Y74" s="258"/>
      <c r="Z74" s="258"/>
      <c r="AA74" s="258"/>
      <c r="AB74" s="258"/>
    </row>
    <row r="75" spans="7:28" ht="12.75">
      <c r="G75" s="215"/>
      <c r="Q75" s="258"/>
      <c r="T75" s="258"/>
      <c r="U75" s="258"/>
      <c r="V75" s="258"/>
      <c r="W75" s="258"/>
      <c r="X75" s="258"/>
      <c r="Y75" s="258"/>
      <c r="Z75" s="258"/>
      <c r="AA75" s="258"/>
      <c r="AB75" s="258"/>
    </row>
    <row r="76" ht="12.75">
      <c r="G76" s="215"/>
    </row>
    <row r="77" ht="12.75">
      <c r="G77" s="215"/>
    </row>
    <row r="78" ht="12.75">
      <c r="G78" s="215"/>
    </row>
    <row r="85" ht="12.75">
      <c r="C85" s="214"/>
    </row>
    <row r="86" spans="6:7" ht="12.75">
      <c r="F86" s="215"/>
      <c r="G86" s="215"/>
    </row>
    <row r="87" spans="6:7" ht="12.75">
      <c r="F87" s="215"/>
      <c r="G87" s="215"/>
    </row>
    <row r="88" spans="6:7" ht="12.75">
      <c r="F88" s="215"/>
      <c r="G88" s="215"/>
    </row>
    <row r="89" spans="6:7" ht="12.75">
      <c r="F89" s="215"/>
      <c r="G89" s="215"/>
    </row>
    <row r="90" spans="6:7" ht="12.75">
      <c r="F90" s="215"/>
      <c r="G90" s="215"/>
    </row>
    <row r="91" spans="6:7" ht="12.75">
      <c r="F91" s="215"/>
      <c r="G91" s="215"/>
    </row>
    <row r="92" spans="6:7" ht="12.75">
      <c r="F92" s="215"/>
      <c r="G92" s="215"/>
    </row>
    <row r="93" spans="6:7" ht="12.75">
      <c r="F93" s="215"/>
      <c r="G93" s="215"/>
    </row>
    <row r="94" spans="6:7" ht="12.75">
      <c r="F94" s="215"/>
      <c r="G94" s="215"/>
    </row>
  </sheetData>
  <mergeCells count="1">
    <mergeCell ref="F2:H2"/>
  </mergeCells>
  <printOptions/>
  <pageMargins left="0.75" right="0.75" top="1" bottom="1" header="0.5" footer="0.5"/>
  <pageSetup horizontalDpi="1200" verticalDpi="1200" orientation="portrait" r:id="rId1"/>
  <ignoredErrors>
    <ignoredError sqref="H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6" width="7.28125" style="0" customWidth="1"/>
    <col min="7" max="13" width="6.7109375" style="0" customWidth="1"/>
    <col min="14" max="15" width="5.7109375" style="0" customWidth="1"/>
    <col min="16" max="16" width="6.421875" style="0" customWidth="1"/>
    <col min="17" max="19" width="5.7109375" style="0" customWidth="1"/>
    <col min="20" max="22" width="6.28125" style="0" customWidth="1"/>
    <col min="23" max="25" width="6.7109375" style="0" customWidth="1"/>
  </cols>
  <sheetData>
    <row r="1" spans="2:20" ht="15" thickBot="1">
      <c r="B1" s="211" t="s">
        <v>201</v>
      </c>
      <c r="E1" s="95" t="s">
        <v>197</v>
      </c>
      <c r="I1" s="207" t="s">
        <v>198</v>
      </c>
      <c r="Q1" s="104" t="s">
        <v>199</v>
      </c>
      <c r="T1" t="s">
        <v>200</v>
      </c>
    </row>
    <row r="2" spans="1:25" ht="15" thickBot="1">
      <c r="A2" s="9"/>
      <c r="B2" s="212" t="s">
        <v>205</v>
      </c>
      <c r="C2" s="106"/>
      <c r="G2" s="105"/>
      <c r="H2" s="107"/>
      <c r="I2" s="107"/>
      <c r="J2" s="107"/>
      <c r="K2" s="107"/>
      <c r="L2" s="107"/>
      <c r="M2" s="108"/>
      <c r="N2" s="105"/>
      <c r="O2" s="107"/>
      <c r="P2" s="107"/>
      <c r="Q2" s="109" t="s">
        <v>202</v>
      </c>
      <c r="R2" s="107"/>
      <c r="S2" s="108"/>
      <c r="T2" s="110" t="s">
        <v>203</v>
      </c>
      <c r="U2" s="107"/>
      <c r="V2" s="108"/>
      <c r="W2" s="110" t="s">
        <v>204</v>
      </c>
      <c r="X2" s="107"/>
      <c r="Y2" s="108"/>
    </row>
    <row r="3" spans="1:25" ht="13.5" thickBot="1">
      <c r="A3" s="9"/>
      <c r="B3" s="213" t="s">
        <v>196</v>
      </c>
      <c r="C3" s="112"/>
      <c r="D3" s="492" t="s">
        <v>138</v>
      </c>
      <c r="E3" s="492"/>
      <c r="F3" s="492"/>
      <c r="G3" s="113" t="s">
        <v>206</v>
      </c>
      <c r="H3" s="35" t="s">
        <v>207</v>
      </c>
      <c r="I3" s="35"/>
      <c r="J3" s="35"/>
      <c r="K3" s="35" t="s">
        <v>240</v>
      </c>
      <c r="L3" s="35"/>
      <c r="M3" s="114"/>
      <c r="N3" s="115" t="s">
        <v>208</v>
      </c>
      <c r="O3" s="35"/>
      <c r="P3" s="35"/>
      <c r="Q3" s="115" t="s">
        <v>209</v>
      </c>
      <c r="R3" s="35" t="s">
        <v>210</v>
      </c>
      <c r="S3" s="114" t="s">
        <v>211</v>
      </c>
      <c r="T3" s="116" t="s">
        <v>212</v>
      </c>
      <c r="U3" s="116" t="s">
        <v>213</v>
      </c>
      <c r="V3" s="117" t="s">
        <v>214</v>
      </c>
      <c r="W3" s="118" t="s">
        <v>215</v>
      </c>
      <c r="X3" s="118" t="s">
        <v>216</v>
      </c>
      <c r="Y3" s="117" t="s">
        <v>217</v>
      </c>
    </row>
    <row r="4" spans="1:25" ht="39" thickBot="1">
      <c r="A4" s="9"/>
      <c r="C4" s="75" t="s">
        <v>55</v>
      </c>
      <c r="D4" s="50" t="s">
        <v>143</v>
      </c>
      <c r="E4" s="119" t="s">
        <v>218</v>
      </c>
      <c r="F4" s="50" t="s">
        <v>131</v>
      </c>
      <c r="G4" s="114"/>
      <c r="H4" s="120" t="s">
        <v>243</v>
      </c>
      <c r="I4" s="120" t="s">
        <v>244</v>
      </c>
      <c r="J4" s="120" t="s">
        <v>245</v>
      </c>
      <c r="K4" s="35" t="s">
        <v>219</v>
      </c>
      <c r="L4" s="35" t="s">
        <v>220</v>
      </c>
      <c r="M4" s="114" t="s">
        <v>221</v>
      </c>
      <c r="N4" s="121" t="s">
        <v>222</v>
      </c>
      <c r="O4" s="122" t="s">
        <v>223</v>
      </c>
      <c r="P4" s="122" t="s">
        <v>224</v>
      </c>
      <c r="Q4" s="123" t="s">
        <v>225</v>
      </c>
      <c r="R4" s="124" t="s">
        <v>226</v>
      </c>
      <c r="S4" s="125" t="s">
        <v>227</v>
      </c>
      <c r="T4" s="124" t="s">
        <v>228</v>
      </c>
      <c r="U4" s="124" t="s">
        <v>229</v>
      </c>
      <c r="V4" s="125" t="s">
        <v>230</v>
      </c>
      <c r="W4" s="35"/>
      <c r="X4" s="35"/>
      <c r="Y4" s="114"/>
    </row>
    <row r="5" spans="1:25" ht="13.5" thickBot="1">
      <c r="A5" s="80" t="s">
        <v>122</v>
      </c>
      <c r="B5" s="78"/>
      <c r="C5" s="126"/>
      <c r="D5" s="127"/>
      <c r="E5" s="128"/>
      <c r="F5" s="128"/>
      <c r="G5" s="114"/>
      <c r="H5" s="129" t="s">
        <v>231</v>
      </c>
      <c r="I5" s="129"/>
      <c r="J5" s="129"/>
      <c r="K5" s="129" t="s">
        <v>231</v>
      </c>
      <c r="L5" s="129"/>
      <c r="M5" s="130"/>
      <c r="N5" s="111" t="s">
        <v>232</v>
      </c>
      <c r="O5" s="129"/>
      <c r="P5" s="129"/>
      <c r="Q5" s="111"/>
      <c r="R5" s="129" t="s">
        <v>233</v>
      </c>
      <c r="S5" s="130"/>
      <c r="T5" s="129"/>
      <c r="U5" s="129" t="s">
        <v>233</v>
      </c>
      <c r="V5" s="131"/>
      <c r="W5" s="129"/>
      <c r="X5" s="129" t="s">
        <v>233</v>
      </c>
      <c r="Y5" s="130"/>
    </row>
    <row r="6" spans="1:25" ht="12.75">
      <c r="A6" s="9"/>
      <c r="B6" s="63" t="s">
        <v>119</v>
      </c>
      <c r="C6" s="26">
        <f>Instrument!H7</f>
        <v>36</v>
      </c>
      <c r="D6" s="52">
        <f>Instrument!I7</f>
        <v>0.14</v>
      </c>
      <c r="E6" s="55">
        <f>Instrument!K7</f>
        <v>0.15</v>
      </c>
      <c r="F6" s="132">
        <f>C6*D6*(1+E6)</f>
        <v>5.796</v>
      </c>
      <c r="G6" s="133" t="s">
        <v>234</v>
      </c>
      <c r="H6" s="134">
        <v>0.65</v>
      </c>
      <c r="I6" s="134">
        <v>0.26</v>
      </c>
      <c r="J6" s="134">
        <v>0.01</v>
      </c>
      <c r="K6" s="134">
        <v>0.91</v>
      </c>
      <c r="L6" s="134">
        <v>0</v>
      </c>
      <c r="M6" s="135">
        <v>1.29</v>
      </c>
      <c r="N6" s="136">
        <f>F6*K6</f>
        <v>5.274360000000001</v>
      </c>
      <c r="O6" s="137">
        <f>F6*L6</f>
        <v>0</v>
      </c>
      <c r="P6" s="137">
        <f>$F6*M6</f>
        <v>7.47684</v>
      </c>
      <c r="Q6" s="144">
        <f>F6*(H6^2+I6^2)/8</f>
        <v>0.35507745</v>
      </c>
      <c r="R6" s="145">
        <f>$F6*(($H6^2+$I6^2)/16+$J6^2/12)</f>
        <v>0.177587025</v>
      </c>
      <c r="S6" s="146">
        <f>$F6*(($H6^2+$I6^2)/16+$J6^2/12)</f>
        <v>0.177587025</v>
      </c>
      <c r="T6" s="147" t="e">
        <f aca="true" t="shared" si="0" ref="T6:T16">$F6*((L6-L$69)^2+(M6-M$69)^2)</f>
        <v>#REF!</v>
      </c>
      <c r="U6" s="147" t="e">
        <f aca="true" t="shared" si="1" ref="U6:U16">$F6*((K6-K$69)^2+(M6-M$69)^2)</f>
        <v>#REF!</v>
      </c>
      <c r="V6" s="148" t="e">
        <f aca="true" t="shared" si="2" ref="V6:V16">$F6*((K6-K$69)^2+(L6-L$69)^2)</f>
        <v>#REF!</v>
      </c>
      <c r="W6" s="138" t="e">
        <f aca="true" t="shared" si="3" ref="W6:Y20">Q6+T6</f>
        <v>#REF!</v>
      </c>
      <c r="X6" s="138" t="e">
        <f t="shared" si="3"/>
        <v>#REF!</v>
      </c>
      <c r="Y6" s="139" t="e">
        <f t="shared" si="3"/>
        <v>#REF!</v>
      </c>
    </row>
    <row r="7" spans="1:25" ht="12.75">
      <c r="A7" s="9"/>
      <c r="B7" s="61" t="s">
        <v>132</v>
      </c>
      <c r="C7" s="26">
        <f>Instrument!H8</f>
        <v>36</v>
      </c>
      <c r="D7" s="52">
        <f>Instrument!I8</f>
        <v>0.075</v>
      </c>
      <c r="E7" s="55">
        <f>Instrument!K8</f>
        <v>0.2</v>
      </c>
      <c r="F7" s="132">
        <f>C7*D7*(1+E7)</f>
        <v>3.2399999999999998</v>
      </c>
      <c r="G7" s="140" t="s">
        <v>234</v>
      </c>
      <c r="H7" s="141">
        <v>0.65</v>
      </c>
      <c r="I7" s="141">
        <v>0.26</v>
      </c>
      <c r="J7" s="141">
        <v>0.02</v>
      </c>
      <c r="K7" s="141">
        <v>0.98</v>
      </c>
      <c r="L7" s="141">
        <v>0</v>
      </c>
      <c r="M7" s="142">
        <v>1.29</v>
      </c>
      <c r="N7" s="143">
        <f>F7*K7</f>
        <v>3.1752</v>
      </c>
      <c r="O7" s="84">
        <f>F7*L7</f>
        <v>0</v>
      </c>
      <c r="P7" s="84">
        <f>$F7*M7</f>
        <v>4.1796</v>
      </c>
      <c r="Q7" s="144">
        <f>F7*(H7^2+I7^2)/8</f>
        <v>0.19849050000000001</v>
      </c>
      <c r="R7" s="145">
        <f aca="true" t="shared" si="4" ref="R7:S23">$F7*(($H7^2+$I7^2)/16+$J7^2/12)</f>
        <v>0.09935325</v>
      </c>
      <c r="S7" s="146">
        <f t="shared" si="4"/>
        <v>0.09935325</v>
      </c>
      <c r="T7" s="147" t="e">
        <f t="shared" si="0"/>
        <v>#REF!</v>
      </c>
      <c r="U7" s="147" t="e">
        <f t="shared" si="1"/>
        <v>#REF!</v>
      </c>
      <c r="V7" s="148" t="e">
        <f t="shared" si="2"/>
        <v>#REF!</v>
      </c>
      <c r="W7" s="147" t="e">
        <f t="shared" si="3"/>
        <v>#REF!</v>
      </c>
      <c r="X7" s="147" t="e">
        <f t="shared" si="3"/>
        <v>#REF!</v>
      </c>
      <c r="Y7" s="148" t="e">
        <f t="shared" si="3"/>
        <v>#REF!</v>
      </c>
    </row>
    <row r="8" spans="1:25" ht="12.75">
      <c r="A8" s="9"/>
      <c r="B8" s="61" t="s">
        <v>120</v>
      </c>
      <c r="C8" s="26">
        <f>Instrument!H9</f>
        <v>36</v>
      </c>
      <c r="D8" s="52">
        <f>Instrument!I9</f>
        <v>0.1</v>
      </c>
      <c r="E8" s="55">
        <f>Instrument!K9</f>
        <v>0.15</v>
      </c>
      <c r="F8" s="132">
        <f>C8*D8*(1+E8)</f>
        <v>4.14</v>
      </c>
      <c r="G8" s="140" t="s">
        <v>234</v>
      </c>
      <c r="H8" s="141">
        <v>0.65</v>
      </c>
      <c r="I8" s="141">
        <v>0.26</v>
      </c>
      <c r="J8" s="141">
        <v>0.01</v>
      </c>
      <c r="K8" s="141">
        <v>0.91</v>
      </c>
      <c r="L8" s="141">
        <v>0</v>
      </c>
      <c r="M8" s="142">
        <v>1.29</v>
      </c>
      <c r="N8" s="143">
        <f aca="true" t="shared" si="5" ref="N8:N66">F8*K8</f>
        <v>3.7674</v>
      </c>
      <c r="O8" s="84">
        <f aca="true" t="shared" si="6" ref="O8:O66">F8*L8</f>
        <v>0</v>
      </c>
      <c r="P8" s="84">
        <f aca="true" t="shared" si="7" ref="P8:P66">$F8*M8</f>
        <v>5.340599999999999</v>
      </c>
      <c r="Q8" s="144">
        <f>F8*(H8^2+I8^2)/8</f>
        <v>0.25362675</v>
      </c>
      <c r="R8" s="145">
        <f t="shared" si="4"/>
        <v>0.126847875</v>
      </c>
      <c r="S8" s="146">
        <f t="shared" si="4"/>
        <v>0.126847875</v>
      </c>
      <c r="T8" s="147" t="e">
        <f t="shared" si="0"/>
        <v>#REF!</v>
      </c>
      <c r="U8" s="147" t="e">
        <f t="shared" si="1"/>
        <v>#REF!</v>
      </c>
      <c r="V8" s="148" t="e">
        <f t="shared" si="2"/>
        <v>#REF!</v>
      </c>
      <c r="W8" s="147" t="e">
        <f t="shared" si="3"/>
        <v>#REF!</v>
      </c>
      <c r="X8" s="147" t="e">
        <f t="shared" si="3"/>
        <v>#REF!</v>
      </c>
      <c r="Y8" s="148" t="e">
        <f t="shared" si="3"/>
        <v>#REF!</v>
      </c>
    </row>
    <row r="9" spans="1:25" ht="13.5" thickBot="1">
      <c r="A9" s="9"/>
      <c r="B9" s="61" t="s">
        <v>133</v>
      </c>
      <c r="C9" s="26">
        <f>Instrument!H10</f>
        <v>36</v>
      </c>
      <c r="D9" s="52">
        <f>Instrument!I10</f>
        <v>0.075</v>
      </c>
      <c r="E9" s="55">
        <f>Instrument!K10</f>
        <v>0.2</v>
      </c>
      <c r="F9" s="132">
        <f>C9*D9*(1+E9)</f>
        <v>3.2399999999999998</v>
      </c>
      <c r="G9" s="140" t="s">
        <v>234</v>
      </c>
      <c r="H9" s="141">
        <v>0.65</v>
      </c>
      <c r="I9" s="141">
        <v>0.26</v>
      </c>
      <c r="J9" s="141">
        <v>0.02</v>
      </c>
      <c r="K9" s="141">
        <v>0.98</v>
      </c>
      <c r="L9" s="141">
        <v>0</v>
      </c>
      <c r="M9" s="142">
        <v>1.29</v>
      </c>
      <c r="N9" s="143">
        <f t="shared" si="5"/>
        <v>3.1752</v>
      </c>
      <c r="O9" s="84">
        <f t="shared" si="6"/>
        <v>0</v>
      </c>
      <c r="P9" s="84">
        <f t="shared" si="7"/>
        <v>4.1796</v>
      </c>
      <c r="Q9" s="144">
        <f>F9*(H9^2+I9^2)/8</f>
        <v>0.19849050000000001</v>
      </c>
      <c r="R9" s="145">
        <f t="shared" si="4"/>
        <v>0.09935325</v>
      </c>
      <c r="S9" s="146">
        <f t="shared" si="4"/>
        <v>0.09935325</v>
      </c>
      <c r="T9" s="147" t="e">
        <f t="shared" si="0"/>
        <v>#REF!</v>
      </c>
      <c r="U9" s="147" t="e">
        <f t="shared" si="1"/>
        <v>#REF!</v>
      </c>
      <c r="V9" s="148" t="e">
        <f t="shared" si="2"/>
        <v>#REF!</v>
      </c>
      <c r="W9" s="147" t="e">
        <f t="shared" si="3"/>
        <v>#REF!</v>
      </c>
      <c r="X9" s="147" t="e">
        <f t="shared" si="3"/>
        <v>#REF!</v>
      </c>
      <c r="Y9" s="148" t="e">
        <f t="shared" si="3"/>
        <v>#REF!</v>
      </c>
    </row>
    <row r="10" spans="1:25" ht="13.5" thickBot="1">
      <c r="A10" s="9"/>
      <c r="B10" s="61" t="s">
        <v>135</v>
      </c>
      <c r="C10" s="26">
        <f>Instrument!H11</f>
        <v>1</v>
      </c>
      <c r="D10" s="52">
        <f>Instrument!I11</f>
        <v>10</v>
      </c>
      <c r="E10" s="55">
        <f>Instrument!K11</f>
        <v>0.5</v>
      </c>
      <c r="F10" s="132">
        <f>C10*D10*(1+E10)</f>
        <v>15</v>
      </c>
      <c r="G10" s="149" t="s">
        <v>235</v>
      </c>
      <c r="H10" s="141">
        <v>0.6</v>
      </c>
      <c r="I10" s="141">
        <v>0.1</v>
      </c>
      <c r="J10" s="141">
        <v>0.2</v>
      </c>
      <c r="K10" s="141">
        <v>1</v>
      </c>
      <c r="L10" s="141">
        <v>0</v>
      </c>
      <c r="M10" s="142">
        <v>1.29</v>
      </c>
      <c r="N10" s="143">
        <f t="shared" si="5"/>
        <v>15</v>
      </c>
      <c r="O10" s="84">
        <f t="shared" si="6"/>
        <v>0</v>
      </c>
      <c r="P10" s="84">
        <f t="shared" si="7"/>
        <v>19.35</v>
      </c>
      <c r="Q10" s="150">
        <f>($F10/12)*($I10^2+$J10^2)</f>
        <v>0.06250000000000001</v>
      </c>
      <c r="R10" s="151">
        <f>($F10/12)*($H10^2+$J10^2)</f>
        <v>0.5</v>
      </c>
      <c r="S10" s="152">
        <f>(F10/12)*(H10^2+I10^2)</f>
        <v>0.4625</v>
      </c>
      <c r="T10" s="147" t="e">
        <f t="shared" si="0"/>
        <v>#REF!</v>
      </c>
      <c r="U10" s="147" t="e">
        <f t="shared" si="1"/>
        <v>#REF!</v>
      </c>
      <c r="V10" s="148" t="e">
        <f t="shared" si="2"/>
        <v>#REF!</v>
      </c>
      <c r="W10" s="147" t="e">
        <f t="shared" si="3"/>
        <v>#REF!</v>
      </c>
      <c r="X10" s="147" t="e">
        <f t="shared" si="3"/>
        <v>#REF!</v>
      </c>
      <c r="Y10" s="148" t="e">
        <f t="shared" si="3"/>
        <v>#REF!</v>
      </c>
    </row>
    <row r="11" spans="1:25" ht="12.75">
      <c r="A11" s="9"/>
      <c r="B11" s="61" t="s">
        <v>152</v>
      </c>
      <c r="C11" s="26" t="str">
        <f>Instrument!H13</f>
        <v>as reqd</v>
      </c>
      <c r="D11" s="52">
        <f>Instrument!I13</f>
        <v>0.5</v>
      </c>
      <c r="E11" s="55">
        <f>Instrument!K13</f>
        <v>0.2</v>
      </c>
      <c r="F11" s="132">
        <f>D11*(1+E11)</f>
        <v>0.6</v>
      </c>
      <c r="G11" s="133" t="s">
        <v>234</v>
      </c>
      <c r="H11" s="141">
        <v>0.65</v>
      </c>
      <c r="I11" s="141">
        <v>0.26</v>
      </c>
      <c r="J11" s="141">
        <v>0.1</v>
      </c>
      <c r="K11" s="141">
        <v>0.95</v>
      </c>
      <c r="L11" s="141">
        <v>0</v>
      </c>
      <c r="M11" s="142">
        <v>1.29</v>
      </c>
      <c r="N11" s="143">
        <f t="shared" si="5"/>
        <v>0.57</v>
      </c>
      <c r="O11" s="84">
        <f t="shared" si="6"/>
        <v>0</v>
      </c>
      <c r="P11" s="84">
        <f t="shared" si="7"/>
        <v>0.774</v>
      </c>
      <c r="Q11" s="144">
        <f aca="true" t="shared" si="8" ref="Q11:Q16">F11*(H11^2+I11^2)/8</f>
        <v>0.0367575</v>
      </c>
      <c r="R11" s="145">
        <f t="shared" si="4"/>
        <v>0.018878750000000003</v>
      </c>
      <c r="S11" s="146">
        <f t="shared" si="4"/>
        <v>0.018878750000000003</v>
      </c>
      <c r="T11" s="147" t="e">
        <f t="shared" si="0"/>
        <v>#REF!</v>
      </c>
      <c r="U11" s="147" t="e">
        <f t="shared" si="1"/>
        <v>#REF!</v>
      </c>
      <c r="V11" s="148" t="e">
        <f t="shared" si="2"/>
        <v>#REF!</v>
      </c>
      <c r="W11" s="147" t="e">
        <f t="shared" si="3"/>
        <v>#REF!</v>
      </c>
      <c r="X11" s="147" t="e">
        <f t="shared" si="3"/>
        <v>#REF!</v>
      </c>
      <c r="Y11" s="148" t="e">
        <f t="shared" si="3"/>
        <v>#REF!</v>
      </c>
    </row>
    <row r="12" spans="1:25" ht="13.5" thickBot="1">
      <c r="A12" s="9"/>
      <c r="B12" s="79" t="s">
        <v>121</v>
      </c>
      <c r="C12" s="26">
        <f>Instrument!H14</f>
        <v>4</v>
      </c>
      <c r="D12" s="52">
        <f>Instrument!I14</f>
        <v>0.14</v>
      </c>
      <c r="E12" s="55">
        <f>Instrument!K14</f>
        <v>0.2</v>
      </c>
      <c r="F12" s="132">
        <f>C12*D12*(1+E12)</f>
        <v>0.672</v>
      </c>
      <c r="G12" s="140" t="s">
        <v>234</v>
      </c>
      <c r="H12" s="141">
        <v>0.65</v>
      </c>
      <c r="I12" s="141">
        <v>0.26</v>
      </c>
      <c r="J12" s="141">
        <v>0.01</v>
      </c>
      <c r="K12" s="141">
        <v>0.91</v>
      </c>
      <c r="L12" s="141">
        <v>0</v>
      </c>
      <c r="M12" s="142">
        <v>1.29</v>
      </c>
      <c r="N12" s="143">
        <f t="shared" si="5"/>
        <v>0.6115200000000001</v>
      </c>
      <c r="O12" s="84">
        <f t="shared" si="6"/>
        <v>0</v>
      </c>
      <c r="P12" s="84">
        <f t="shared" si="7"/>
        <v>0.8668800000000001</v>
      </c>
      <c r="Q12" s="144">
        <f t="shared" si="8"/>
        <v>0.04116840000000001</v>
      </c>
      <c r="R12" s="145">
        <f t="shared" si="4"/>
        <v>0.020589800000000002</v>
      </c>
      <c r="S12" s="146">
        <f t="shared" si="4"/>
        <v>0.020589800000000002</v>
      </c>
      <c r="T12" s="147" t="e">
        <f t="shared" si="0"/>
        <v>#REF!</v>
      </c>
      <c r="U12" s="147" t="e">
        <f t="shared" si="1"/>
        <v>#REF!</v>
      </c>
      <c r="V12" s="148" t="e">
        <f t="shared" si="2"/>
        <v>#REF!</v>
      </c>
      <c r="W12" s="147" t="e">
        <f t="shared" si="3"/>
        <v>#REF!</v>
      </c>
      <c r="X12" s="147" t="e">
        <f t="shared" si="3"/>
        <v>#REF!</v>
      </c>
      <c r="Y12" s="148" t="e">
        <f t="shared" si="3"/>
        <v>#REF!</v>
      </c>
    </row>
    <row r="13" spans="1:25" ht="13.5" thickBot="1">
      <c r="A13" s="153" t="s">
        <v>172</v>
      </c>
      <c r="B13" s="154"/>
      <c r="C13" s="26">
        <f>Instrument!H18</f>
        <v>1</v>
      </c>
      <c r="D13" s="52">
        <f>Instrument!I18</f>
        <v>55</v>
      </c>
      <c r="E13" s="55">
        <f>Instrument!K18</f>
        <v>0.2</v>
      </c>
      <c r="F13" s="132">
        <f>C13*D13*(1+E13)</f>
        <v>66</v>
      </c>
      <c r="G13" s="140" t="s">
        <v>234</v>
      </c>
      <c r="H13" s="141">
        <v>0.65</v>
      </c>
      <c r="I13" s="141">
        <v>0.26</v>
      </c>
      <c r="J13" s="141">
        <v>0.05</v>
      </c>
      <c r="K13" s="141">
        <v>0.91</v>
      </c>
      <c r="L13" s="141">
        <v>0</v>
      </c>
      <c r="M13" s="142">
        <v>1.29</v>
      </c>
      <c r="N13" s="143">
        <f t="shared" si="5"/>
        <v>60.06</v>
      </c>
      <c r="O13" s="84">
        <f t="shared" si="6"/>
        <v>0</v>
      </c>
      <c r="P13" s="84">
        <f t="shared" si="7"/>
        <v>85.14</v>
      </c>
      <c r="Q13" s="144">
        <f t="shared" si="8"/>
        <v>4.043325</v>
      </c>
      <c r="R13" s="145">
        <f t="shared" si="4"/>
        <v>2.0354125</v>
      </c>
      <c r="S13" s="146">
        <f t="shared" si="4"/>
        <v>2.0354125</v>
      </c>
      <c r="T13" s="147" t="e">
        <f t="shared" si="0"/>
        <v>#REF!</v>
      </c>
      <c r="U13" s="147" t="e">
        <f t="shared" si="1"/>
        <v>#REF!</v>
      </c>
      <c r="V13" s="148" t="e">
        <f t="shared" si="2"/>
        <v>#REF!</v>
      </c>
      <c r="W13" s="147" t="e">
        <f t="shared" si="3"/>
        <v>#REF!</v>
      </c>
      <c r="X13" s="147" t="e">
        <f t="shared" si="3"/>
        <v>#REF!</v>
      </c>
      <c r="Y13" s="148" t="e">
        <f t="shared" si="3"/>
        <v>#REF!</v>
      </c>
    </row>
    <row r="14" spans="1:25" ht="12.75">
      <c r="A14" s="9"/>
      <c r="B14" s="63" t="s">
        <v>124</v>
      </c>
      <c r="C14" s="26">
        <f>Instrument!H19</f>
        <v>3</v>
      </c>
      <c r="D14" s="52">
        <f>Instrument!I19</f>
        <v>1.9933333333333334</v>
      </c>
      <c r="E14" s="55">
        <f>Instrument!K19</f>
        <v>0.2</v>
      </c>
      <c r="F14" s="132">
        <f>C14*D14*(1+E14)</f>
        <v>7.176</v>
      </c>
      <c r="G14" s="140" t="s">
        <v>234</v>
      </c>
      <c r="H14" s="141">
        <v>0.8</v>
      </c>
      <c r="I14" s="141">
        <v>0.6</v>
      </c>
      <c r="J14" s="141">
        <v>0.2</v>
      </c>
      <c r="K14" s="141">
        <v>0.91</v>
      </c>
      <c r="L14" s="141">
        <v>0</v>
      </c>
      <c r="M14" s="142">
        <v>1.29</v>
      </c>
      <c r="N14" s="143">
        <f t="shared" si="5"/>
        <v>6.53016</v>
      </c>
      <c r="O14" s="84">
        <f t="shared" si="6"/>
        <v>0</v>
      </c>
      <c r="P14" s="84">
        <f t="shared" si="7"/>
        <v>9.25704</v>
      </c>
      <c r="Q14" s="144">
        <f t="shared" si="8"/>
        <v>0.897</v>
      </c>
      <c r="R14" s="145">
        <f t="shared" si="4"/>
        <v>0.47241999999999995</v>
      </c>
      <c r="S14" s="146">
        <f t="shared" si="4"/>
        <v>0.47241999999999995</v>
      </c>
      <c r="T14" s="147" t="e">
        <f t="shared" si="0"/>
        <v>#REF!</v>
      </c>
      <c r="U14" s="147" t="e">
        <f t="shared" si="1"/>
        <v>#REF!</v>
      </c>
      <c r="V14" s="148" t="e">
        <f t="shared" si="2"/>
        <v>#REF!</v>
      </c>
      <c r="W14" s="147" t="e">
        <f t="shared" si="3"/>
        <v>#REF!</v>
      </c>
      <c r="X14" s="147" t="e">
        <f t="shared" si="3"/>
        <v>#REF!</v>
      </c>
      <c r="Y14" s="148" t="e">
        <f t="shared" si="3"/>
        <v>#REF!</v>
      </c>
    </row>
    <row r="15" spans="1:25" ht="12.75">
      <c r="A15" s="9"/>
      <c r="B15" s="61" t="s">
        <v>123</v>
      </c>
      <c r="C15" s="26" t="e">
        <f>Instrument!#REF!</f>
        <v>#REF!</v>
      </c>
      <c r="D15" s="52" t="e">
        <f>Instrument!#REF!</f>
        <v>#REF!</v>
      </c>
      <c r="E15" s="55" t="e">
        <f>Instrument!#REF!</f>
        <v>#REF!</v>
      </c>
      <c r="F15" s="132" t="e">
        <f>D15*(1+E15)</f>
        <v>#REF!</v>
      </c>
      <c r="G15" s="140" t="s">
        <v>234</v>
      </c>
      <c r="H15" s="141">
        <v>0.7</v>
      </c>
      <c r="I15" s="141">
        <v>0.65</v>
      </c>
      <c r="J15" s="141">
        <v>0.05</v>
      </c>
      <c r="K15" s="141">
        <v>0.91</v>
      </c>
      <c r="L15" s="141">
        <v>0</v>
      </c>
      <c r="M15" s="142">
        <v>1.29</v>
      </c>
      <c r="N15" s="143" t="e">
        <f t="shared" si="5"/>
        <v>#REF!</v>
      </c>
      <c r="O15" s="84" t="e">
        <f t="shared" si="6"/>
        <v>#REF!</v>
      </c>
      <c r="P15" s="84" t="e">
        <f t="shared" si="7"/>
        <v>#REF!</v>
      </c>
      <c r="Q15" s="144" t="e">
        <f t="shared" si="8"/>
        <v>#REF!</v>
      </c>
      <c r="R15" s="145" t="e">
        <f t="shared" si="4"/>
        <v>#REF!</v>
      </c>
      <c r="S15" s="146" t="e">
        <f t="shared" si="4"/>
        <v>#REF!</v>
      </c>
      <c r="T15" s="147" t="e">
        <f t="shared" si="0"/>
        <v>#REF!</v>
      </c>
      <c r="U15" s="147" t="e">
        <f t="shared" si="1"/>
        <v>#REF!</v>
      </c>
      <c r="V15" s="148" t="e">
        <f t="shared" si="2"/>
        <v>#REF!</v>
      </c>
      <c r="W15" s="147" t="e">
        <f t="shared" si="3"/>
        <v>#REF!</v>
      </c>
      <c r="X15" s="147" t="e">
        <f t="shared" si="3"/>
        <v>#REF!</v>
      </c>
      <c r="Y15" s="148" t="e">
        <f t="shared" si="3"/>
        <v>#REF!</v>
      </c>
    </row>
    <row r="16" spans="1:25" ht="13.5" thickBot="1">
      <c r="A16" s="9"/>
      <c r="B16" s="58" t="s">
        <v>125</v>
      </c>
      <c r="C16" s="26" t="str">
        <f>Instrument!H20</f>
        <v>as reqd</v>
      </c>
      <c r="D16" s="52">
        <f>Instrument!I20</f>
        <v>1</v>
      </c>
      <c r="E16" s="55">
        <f>Instrument!K20</f>
        <v>0.2</v>
      </c>
      <c r="F16" s="132">
        <f>D16*(1+E16)</f>
        <v>1.2</v>
      </c>
      <c r="G16" s="140" t="s">
        <v>234</v>
      </c>
      <c r="H16" s="141">
        <v>0.65</v>
      </c>
      <c r="I16" s="141">
        <v>0.26</v>
      </c>
      <c r="J16" s="141">
        <v>0.01</v>
      </c>
      <c r="K16" s="141">
        <v>0.91</v>
      </c>
      <c r="L16" s="141">
        <v>0</v>
      </c>
      <c r="M16" s="142">
        <v>1.29</v>
      </c>
      <c r="N16" s="143">
        <f t="shared" si="5"/>
        <v>1.092</v>
      </c>
      <c r="O16" s="84">
        <f t="shared" si="6"/>
        <v>0</v>
      </c>
      <c r="P16" s="84">
        <f t="shared" si="7"/>
        <v>1.548</v>
      </c>
      <c r="Q16" s="144">
        <f t="shared" si="8"/>
        <v>0.073515</v>
      </c>
      <c r="R16" s="145">
        <f t="shared" si="4"/>
        <v>0.0367675</v>
      </c>
      <c r="S16" s="146">
        <f t="shared" si="4"/>
        <v>0.0367675</v>
      </c>
      <c r="T16" s="147" t="e">
        <f t="shared" si="0"/>
        <v>#REF!</v>
      </c>
      <c r="U16" s="147" t="e">
        <f t="shared" si="1"/>
        <v>#REF!</v>
      </c>
      <c r="V16" s="148" t="e">
        <f t="shared" si="2"/>
        <v>#REF!</v>
      </c>
      <c r="W16" s="147" t="e">
        <f t="shared" si="3"/>
        <v>#REF!</v>
      </c>
      <c r="X16" s="147" t="e">
        <f t="shared" si="3"/>
        <v>#REF!</v>
      </c>
      <c r="Y16" s="148" t="e">
        <f t="shared" si="3"/>
        <v>#REF!</v>
      </c>
    </row>
    <row r="17" spans="1:25" ht="13.5" thickBot="1">
      <c r="A17" s="80" t="s">
        <v>167</v>
      </c>
      <c r="B17" s="78"/>
      <c r="C17" s="155"/>
      <c r="D17" s="25"/>
      <c r="E17" s="18"/>
      <c r="F17" s="156"/>
      <c r="G17" s="140"/>
      <c r="H17" s="141"/>
      <c r="I17" s="141"/>
      <c r="J17" s="141"/>
      <c r="K17" s="141"/>
      <c r="L17" s="141"/>
      <c r="M17" s="142"/>
      <c r="N17" s="143"/>
      <c r="O17" s="84"/>
      <c r="P17" s="84"/>
      <c r="Q17" s="144"/>
      <c r="R17" s="145"/>
      <c r="S17" s="146"/>
      <c r="T17" s="147"/>
      <c r="U17" s="147"/>
      <c r="V17" s="148"/>
      <c r="W17" s="147"/>
      <c r="X17" s="147"/>
      <c r="Y17" s="148"/>
    </row>
    <row r="18" spans="1:25" ht="12.75">
      <c r="A18" s="77"/>
      <c r="B18" s="157" t="s">
        <v>168</v>
      </c>
      <c r="C18" s="26">
        <f>Instrument!H24</f>
        <v>1</v>
      </c>
      <c r="D18" s="57">
        <f>Instrument!I24</f>
        <v>15</v>
      </c>
      <c r="E18" s="55">
        <f>Instrument!K24</f>
        <v>0.25</v>
      </c>
      <c r="F18" s="132">
        <f>C18*D18*(1+E18)</f>
        <v>18.75</v>
      </c>
      <c r="G18" s="140" t="s">
        <v>234</v>
      </c>
      <c r="H18" s="141">
        <v>0.46</v>
      </c>
      <c r="I18" s="141">
        <v>0.45</v>
      </c>
      <c r="J18" s="141">
        <v>0.66</v>
      </c>
      <c r="K18" s="141">
        <v>0.6</v>
      </c>
      <c r="L18" s="141">
        <v>0</v>
      </c>
      <c r="M18" s="142">
        <v>1.29</v>
      </c>
      <c r="N18" s="143">
        <f t="shared" si="5"/>
        <v>11.25</v>
      </c>
      <c r="O18" s="84">
        <f t="shared" si="6"/>
        <v>0</v>
      </c>
      <c r="P18" s="84">
        <f t="shared" si="7"/>
        <v>24.1875</v>
      </c>
      <c r="Q18" s="144">
        <f>F18*(H18^2+I18^2)/8</f>
        <v>0.970546875</v>
      </c>
      <c r="R18" s="145">
        <f t="shared" si="4"/>
        <v>1.1658984375</v>
      </c>
      <c r="S18" s="146">
        <f t="shared" si="4"/>
        <v>1.1658984375</v>
      </c>
      <c r="T18" s="147" t="e">
        <f>$F18*((L18-L$69)^2+(M18-M$69)^2)</f>
        <v>#REF!</v>
      </c>
      <c r="U18" s="147" t="e">
        <f>$F18*((K18-K$69)^2+(M18-M$69)^2)</f>
        <v>#REF!</v>
      </c>
      <c r="V18" s="148" t="e">
        <f>$F18*((K18-K$69)^2+(L18-L$69)^2)</f>
        <v>#REF!</v>
      </c>
      <c r="W18" s="147" t="e">
        <f t="shared" si="3"/>
        <v>#REF!</v>
      </c>
      <c r="X18" s="147" t="e">
        <f t="shared" si="3"/>
        <v>#REF!</v>
      </c>
      <c r="Y18" s="148" t="e">
        <f t="shared" si="3"/>
        <v>#REF!</v>
      </c>
    </row>
    <row r="19" spans="1:25" ht="12.75">
      <c r="A19" s="9"/>
      <c r="B19" s="63" t="s">
        <v>124</v>
      </c>
      <c r="C19" s="26" t="str">
        <f>Instrument!H26</f>
        <v>as reqd</v>
      </c>
      <c r="D19" s="57">
        <f>Instrument!I26</f>
        <v>2</v>
      </c>
      <c r="E19" s="55">
        <f>Instrument!K26</f>
        <v>0.2</v>
      </c>
      <c r="F19" s="132" t="e">
        <f>C19*D19*(1+E19)</f>
        <v>#VALUE!</v>
      </c>
      <c r="G19" s="140" t="s">
        <v>234</v>
      </c>
      <c r="H19" s="141">
        <v>0.46</v>
      </c>
      <c r="I19" s="141">
        <v>0.45</v>
      </c>
      <c r="J19" s="141">
        <v>0.66</v>
      </c>
      <c r="K19" s="141">
        <v>0.6</v>
      </c>
      <c r="L19" s="141">
        <v>0</v>
      </c>
      <c r="M19" s="142">
        <v>1.29</v>
      </c>
      <c r="N19" s="143" t="e">
        <f t="shared" si="5"/>
        <v>#VALUE!</v>
      </c>
      <c r="O19" s="84" t="e">
        <f t="shared" si="6"/>
        <v>#VALUE!</v>
      </c>
      <c r="P19" s="84" t="e">
        <f t="shared" si="7"/>
        <v>#VALUE!</v>
      </c>
      <c r="Q19" s="144" t="e">
        <f>F19*(H19^2+I19^2)/8</f>
        <v>#VALUE!</v>
      </c>
      <c r="R19" s="145" t="e">
        <f t="shared" si="4"/>
        <v>#VALUE!</v>
      </c>
      <c r="S19" s="146" t="e">
        <f t="shared" si="4"/>
        <v>#VALUE!</v>
      </c>
      <c r="T19" s="147" t="e">
        <f>$F19*((L19-L$69)^2+(M19-M$69)^2)</f>
        <v>#VALUE!</v>
      </c>
      <c r="U19" s="147" t="e">
        <f>$F19*((K19-K$69)^2+(M19-M$69)^2)</f>
        <v>#VALUE!</v>
      </c>
      <c r="V19" s="148" t="e">
        <f>$F19*((K19-K$69)^2+(L19-L$69)^2)</f>
        <v>#VALUE!</v>
      </c>
      <c r="W19" s="147" t="e">
        <f t="shared" si="3"/>
        <v>#VALUE!</v>
      </c>
      <c r="X19" s="147" t="e">
        <f t="shared" si="3"/>
        <v>#VALUE!</v>
      </c>
      <c r="Y19" s="148" t="e">
        <f t="shared" si="3"/>
        <v>#VALUE!</v>
      </c>
    </row>
    <row r="20" spans="2:25" ht="13.5" thickBot="1">
      <c r="B20" s="58" t="s">
        <v>146</v>
      </c>
      <c r="C20" s="26" t="e">
        <f>Instrument!#REF!</f>
        <v>#REF!</v>
      </c>
      <c r="D20" s="57" t="e">
        <f>Instrument!#REF!</f>
        <v>#REF!</v>
      </c>
      <c r="E20" s="55" t="e">
        <f>Instrument!#REF!</f>
        <v>#REF!</v>
      </c>
      <c r="F20" s="132" t="e">
        <f>C20*D20*(1+E20)</f>
        <v>#REF!</v>
      </c>
      <c r="G20" s="140" t="s">
        <v>234</v>
      </c>
      <c r="H20" s="141">
        <v>0.46</v>
      </c>
      <c r="I20" s="141">
        <v>0.45</v>
      </c>
      <c r="J20" s="141">
        <v>0.66</v>
      </c>
      <c r="K20" s="141">
        <v>0.6</v>
      </c>
      <c r="L20" s="141">
        <v>0</v>
      </c>
      <c r="M20" s="142">
        <v>1.29</v>
      </c>
      <c r="N20" s="143" t="e">
        <f t="shared" si="5"/>
        <v>#REF!</v>
      </c>
      <c r="O20" s="84" t="e">
        <f t="shared" si="6"/>
        <v>#REF!</v>
      </c>
      <c r="P20" s="84" t="e">
        <f t="shared" si="7"/>
        <v>#REF!</v>
      </c>
      <c r="Q20" s="144" t="e">
        <f>F20*(H20^2+I20^2)/8</f>
        <v>#REF!</v>
      </c>
      <c r="R20" s="145" t="e">
        <f t="shared" si="4"/>
        <v>#REF!</v>
      </c>
      <c r="S20" s="146" t="e">
        <f t="shared" si="4"/>
        <v>#REF!</v>
      </c>
      <c r="T20" s="147" t="e">
        <f>$F20*((L20-L$69)^2+(M20-M$69)^2)</f>
        <v>#REF!</v>
      </c>
      <c r="U20" s="147" t="e">
        <f>$F20*((K20-K$69)^2+(M20-M$69)^2)</f>
        <v>#REF!</v>
      </c>
      <c r="V20" s="148" t="e">
        <f>$F20*((K20-K$69)^2+(L20-L$69)^2)</f>
        <v>#REF!</v>
      </c>
      <c r="W20" s="147" t="e">
        <f t="shared" si="3"/>
        <v>#REF!</v>
      </c>
      <c r="X20" s="147" t="e">
        <f t="shared" si="3"/>
        <v>#REF!</v>
      </c>
      <c r="Y20" s="148" t="e">
        <f t="shared" si="3"/>
        <v>#REF!</v>
      </c>
    </row>
    <row r="21" spans="1:25" ht="13.5" thickBot="1">
      <c r="A21" s="80" t="s">
        <v>193</v>
      </c>
      <c r="B21" s="158"/>
      <c r="C21" s="159"/>
      <c r="D21" s="160"/>
      <c r="E21" s="161"/>
      <c r="F21" s="156"/>
      <c r="G21" s="140"/>
      <c r="H21" s="141"/>
      <c r="I21" s="141"/>
      <c r="J21" s="141"/>
      <c r="K21" s="141"/>
      <c r="L21" s="141"/>
      <c r="M21" s="142"/>
      <c r="N21" s="143"/>
      <c r="O21" s="84"/>
      <c r="P21" s="84"/>
      <c r="Q21" s="144"/>
      <c r="R21" s="145"/>
      <c r="S21" s="146"/>
      <c r="T21" s="147"/>
      <c r="U21" s="147"/>
      <c r="V21" s="148"/>
      <c r="W21" s="147"/>
      <c r="X21" s="147"/>
      <c r="Y21" s="148"/>
    </row>
    <row r="22" spans="1:25" ht="12.75">
      <c r="A22" s="56"/>
      <c r="B22" s="59" t="s">
        <v>241</v>
      </c>
      <c r="C22" s="26" t="e">
        <f>Instrument!#REF!</f>
        <v>#REF!</v>
      </c>
      <c r="D22" s="57" t="e">
        <f>Instrument!#REF!</f>
        <v>#REF!</v>
      </c>
      <c r="E22" s="55" t="e">
        <f>Instrument!#REF!</f>
        <v>#REF!</v>
      </c>
      <c r="F22" s="132" t="e">
        <f>C22*D22*(1+E22)</f>
        <v>#REF!</v>
      </c>
      <c r="G22" s="140" t="s">
        <v>234</v>
      </c>
      <c r="H22" s="141">
        <v>0.18</v>
      </c>
      <c r="I22" s="141">
        <v>0</v>
      </c>
      <c r="J22" s="141">
        <v>0.8</v>
      </c>
      <c r="K22" s="141">
        <v>0</v>
      </c>
      <c r="L22" s="141">
        <v>0</v>
      </c>
      <c r="M22" s="142">
        <v>0.65</v>
      </c>
      <c r="N22" s="143" t="e">
        <f>F22*K22</f>
        <v>#REF!</v>
      </c>
      <c r="O22" s="84" t="e">
        <f>F22*L22</f>
        <v>#REF!</v>
      </c>
      <c r="P22" s="84" t="e">
        <f>$F22*M22</f>
        <v>#REF!</v>
      </c>
      <c r="Q22" s="144" t="e">
        <f>F22*(H22^2+I22^2)/8</f>
        <v>#REF!</v>
      </c>
      <c r="R22" s="145" t="e">
        <f t="shared" si="4"/>
        <v>#REF!</v>
      </c>
      <c r="S22" s="146" t="e">
        <f t="shared" si="4"/>
        <v>#REF!</v>
      </c>
      <c r="T22" s="147" t="e">
        <f aca="true" t="shared" si="9" ref="T22:T27">$F22*((L22-L$69)^2+(M22-M$69)^2)</f>
        <v>#REF!</v>
      </c>
      <c r="U22" s="147" t="e">
        <f aca="true" t="shared" si="10" ref="U22:U27">$F22*((K22-K$69)^2+(M22-M$69)^2)</f>
        <v>#REF!</v>
      </c>
      <c r="V22" s="148" t="e">
        <f aca="true" t="shared" si="11" ref="V22:V27">$F22*((K22-K$69)^2+(L22-L$69)^2)</f>
        <v>#REF!</v>
      </c>
      <c r="W22" s="147" t="e">
        <f>Q22+T22</f>
        <v>#REF!</v>
      </c>
      <c r="X22" s="147" t="e">
        <f>R22+U22</f>
        <v>#REF!</v>
      </c>
      <c r="Y22" s="148" t="e">
        <f>S22+V22</f>
        <v>#REF!</v>
      </c>
    </row>
    <row r="23" spans="1:25" ht="12.75">
      <c r="A23" s="64"/>
      <c r="B23" s="63" t="s">
        <v>126</v>
      </c>
      <c r="C23" s="26" t="e">
        <f>Instrument!#REF!</f>
        <v>#REF!</v>
      </c>
      <c r="D23" s="57" t="e">
        <f>Instrument!#REF!</f>
        <v>#REF!</v>
      </c>
      <c r="E23" s="55" t="e">
        <f>Instrument!#REF!</f>
        <v>#REF!</v>
      </c>
      <c r="F23" s="132" t="e">
        <f>C23*D23*(1+E23)</f>
        <v>#REF!</v>
      </c>
      <c r="G23" s="140" t="s">
        <v>234</v>
      </c>
      <c r="H23" s="141">
        <v>0.46</v>
      </c>
      <c r="I23" s="141">
        <v>0.45</v>
      </c>
      <c r="J23" s="141">
        <v>0.15</v>
      </c>
      <c r="K23" s="141">
        <v>0</v>
      </c>
      <c r="L23" s="141">
        <v>0</v>
      </c>
      <c r="M23" s="142">
        <v>0.9</v>
      </c>
      <c r="N23" s="143" t="e">
        <f t="shared" si="5"/>
        <v>#REF!</v>
      </c>
      <c r="O23" s="84" t="e">
        <f t="shared" si="6"/>
        <v>#REF!</v>
      </c>
      <c r="P23" s="84" t="e">
        <f t="shared" si="7"/>
        <v>#REF!</v>
      </c>
      <c r="Q23" s="144" t="e">
        <f>F23*(H23^2+I23^2)/8</f>
        <v>#REF!</v>
      </c>
      <c r="R23" s="145" t="e">
        <f t="shared" si="4"/>
        <v>#REF!</v>
      </c>
      <c r="S23" s="146" t="e">
        <f t="shared" si="4"/>
        <v>#REF!</v>
      </c>
      <c r="T23" s="147" t="e">
        <f t="shared" si="9"/>
        <v>#REF!</v>
      </c>
      <c r="U23" s="147" t="e">
        <f t="shared" si="10"/>
        <v>#REF!</v>
      </c>
      <c r="V23" s="148" t="e">
        <f t="shared" si="11"/>
        <v>#REF!</v>
      </c>
      <c r="W23" s="147" t="e">
        <f aca="true" t="shared" si="12" ref="W23:Y66">Q23+T23</f>
        <v>#REF!</v>
      </c>
      <c r="X23" s="147" t="e">
        <f t="shared" si="12"/>
        <v>#REF!</v>
      </c>
      <c r="Y23" s="148" t="e">
        <f t="shared" si="12"/>
        <v>#REF!</v>
      </c>
    </row>
    <row r="24" spans="1:25" ht="12.75">
      <c r="A24" s="64"/>
      <c r="B24" s="162" t="s">
        <v>127</v>
      </c>
      <c r="C24" s="26" t="e">
        <f>Instrument!#REF!</f>
        <v>#REF!</v>
      </c>
      <c r="D24" s="57" t="e">
        <f>Instrument!#REF!</f>
        <v>#REF!</v>
      </c>
      <c r="E24" s="55" t="e">
        <f>Instrument!#REF!</f>
        <v>#REF!</v>
      </c>
      <c r="F24" s="132" t="e">
        <f>C24*D24*(1+E24)</f>
        <v>#REF!</v>
      </c>
      <c r="G24" s="140" t="s">
        <v>234</v>
      </c>
      <c r="H24" s="141">
        <v>0.46</v>
      </c>
      <c r="I24" s="141">
        <v>0.45</v>
      </c>
      <c r="J24" s="141">
        <v>0.15</v>
      </c>
      <c r="K24" s="141">
        <v>0</v>
      </c>
      <c r="L24" s="141">
        <v>0</v>
      </c>
      <c r="M24" s="142">
        <v>0.9</v>
      </c>
      <c r="N24" s="143" t="e">
        <f t="shared" si="5"/>
        <v>#REF!</v>
      </c>
      <c r="O24" s="84" t="e">
        <f t="shared" si="6"/>
        <v>#REF!</v>
      </c>
      <c r="P24" s="84" t="e">
        <f t="shared" si="7"/>
        <v>#REF!</v>
      </c>
      <c r="Q24" s="144" t="e">
        <f>F24*(H24^2+I24^2)/8</f>
        <v>#REF!</v>
      </c>
      <c r="R24" s="145" t="e">
        <f aca="true" t="shared" si="13" ref="R24:S26">$F24*(($H24^2+$I24^2)/16+$J24^2/12)</f>
        <v>#REF!</v>
      </c>
      <c r="S24" s="146" t="e">
        <f t="shared" si="13"/>
        <v>#REF!</v>
      </c>
      <c r="T24" s="147" t="e">
        <f t="shared" si="9"/>
        <v>#REF!</v>
      </c>
      <c r="U24" s="147" t="e">
        <f t="shared" si="10"/>
        <v>#REF!</v>
      </c>
      <c r="V24" s="148" t="e">
        <f t="shared" si="11"/>
        <v>#REF!</v>
      </c>
      <c r="W24" s="147" t="e">
        <f t="shared" si="12"/>
        <v>#REF!</v>
      </c>
      <c r="X24" s="147" t="e">
        <f t="shared" si="12"/>
        <v>#REF!</v>
      </c>
      <c r="Y24" s="148" t="e">
        <f t="shared" si="12"/>
        <v>#REF!</v>
      </c>
    </row>
    <row r="25" spans="1:25" ht="12.75">
      <c r="A25" s="65"/>
      <c r="B25" s="162" t="s">
        <v>128</v>
      </c>
      <c r="C25" s="26" t="e">
        <f>Instrument!#REF!</f>
        <v>#REF!</v>
      </c>
      <c r="D25" s="57" t="e">
        <f>Instrument!#REF!</f>
        <v>#REF!</v>
      </c>
      <c r="E25" s="55" t="e">
        <f>Instrument!#REF!</f>
        <v>#REF!</v>
      </c>
      <c r="F25" s="132" t="e">
        <f>C25*D25*(1+E25)</f>
        <v>#REF!</v>
      </c>
      <c r="G25" s="140" t="s">
        <v>234</v>
      </c>
      <c r="H25" s="141">
        <v>0.46</v>
      </c>
      <c r="I25" s="141">
        <v>0.45</v>
      </c>
      <c r="J25" s="141">
        <v>0.15</v>
      </c>
      <c r="K25" s="141">
        <v>0</v>
      </c>
      <c r="L25" s="141">
        <v>0</v>
      </c>
      <c r="M25" s="142">
        <v>0.9</v>
      </c>
      <c r="N25" s="143" t="e">
        <f t="shared" si="5"/>
        <v>#REF!</v>
      </c>
      <c r="O25" s="84" t="e">
        <f t="shared" si="6"/>
        <v>#REF!</v>
      </c>
      <c r="P25" s="84" t="e">
        <f t="shared" si="7"/>
        <v>#REF!</v>
      </c>
      <c r="Q25" s="144" t="e">
        <f>F25*(H25^2+I25^2)/8</f>
        <v>#REF!</v>
      </c>
      <c r="R25" s="145" t="e">
        <f t="shared" si="13"/>
        <v>#REF!</v>
      </c>
      <c r="S25" s="146" t="e">
        <f t="shared" si="13"/>
        <v>#REF!</v>
      </c>
      <c r="T25" s="147" t="e">
        <f t="shared" si="9"/>
        <v>#REF!</v>
      </c>
      <c r="U25" s="147" t="e">
        <f t="shared" si="10"/>
        <v>#REF!</v>
      </c>
      <c r="V25" s="148" t="e">
        <f t="shared" si="11"/>
        <v>#REF!</v>
      </c>
      <c r="W25" s="147" t="e">
        <f t="shared" si="12"/>
        <v>#REF!</v>
      </c>
      <c r="X25" s="147" t="e">
        <f t="shared" si="12"/>
        <v>#REF!</v>
      </c>
      <c r="Y25" s="148" t="e">
        <f t="shared" si="12"/>
        <v>#REF!</v>
      </c>
    </row>
    <row r="26" spans="1:25" ht="12.75">
      <c r="A26" s="65"/>
      <c r="B26" s="162" t="s">
        <v>136</v>
      </c>
      <c r="C26" s="26" t="e">
        <f>Instrument!#REF!</f>
        <v>#REF!</v>
      </c>
      <c r="D26" s="57" t="e">
        <f>Instrument!#REF!</f>
        <v>#REF!</v>
      </c>
      <c r="E26" s="55" t="e">
        <f>Instrument!#REF!</f>
        <v>#REF!</v>
      </c>
      <c r="F26" s="132" t="e">
        <f>C26*D26*(1+E26)</f>
        <v>#REF!</v>
      </c>
      <c r="G26" s="140" t="s">
        <v>234</v>
      </c>
      <c r="H26" s="141">
        <v>0.46</v>
      </c>
      <c r="I26" s="141">
        <v>0.45</v>
      </c>
      <c r="J26" s="141">
        <v>0.15</v>
      </c>
      <c r="K26" s="141">
        <v>0</v>
      </c>
      <c r="L26" s="141">
        <v>0</v>
      </c>
      <c r="M26" s="142">
        <v>0.9</v>
      </c>
      <c r="N26" s="163" t="e">
        <f t="shared" si="5"/>
        <v>#REF!</v>
      </c>
      <c r="O26" s="147" t="e">
        <f t="shared" si="6"/>
        <v>#REF!</v>
      </c>
      <c r="P26" s="147" t="e">
        <f t="shared" si="7"/>
        <v>#REF!</v>
      </c>
      <c r="Q26" s="144" t="e">
        <f>F26*(H26^2+I26^2)/8</f>
        <v>#REF!</v>
      </c>
      <c r="R26" s="145" t="e">
        <f t="shared" si="13"/>
        <v>#REF!</v>
      </c>
      <c r="S26" s="146" t="e">
        <f t="shared" si="13"/>
        <v>#REF!</v>
      </c>
      <c r="T26" s="147" t="e">
        <f t="shared" si="9"/>
        <v>#REF!</v>
      </c>
      <c r="U26" s="147" t="e">
        <f t="shared" si="10"/>
        <v>#REF!</v>
      </c>
      <c r="V26" s="148" t="e">
        <f t="shared" si="11"/>
        <v>#REF!</v>
      </c>
      <c r="W26" s="147" t="e">
        <f t="shared" si="12"/>
        <v>#REF!</v>
      </c>
      <c r="X26" s="147" t="e">
        <f t="shared" si="12"/>
        <v>#REF!</v>
      </c>
      <c r="Y26" s="148" t="e">
        <f t="shared" si="12"/>
        <v>#REF!</v>
      </c>
    </row>
    <row r="27" spans="1:25" ht="13.5" thickBot="1">
      <c r="A27" s="65"/>
      <c r="B27" s="58" t="s">
        <v>130</v>
      </c>
      <c r="C27" s="26" t="e">
        <f>Instrument!#REF!</f>
        <v>#REF!</v>
      </c>
      <c r="D27" s="57" t="e">
        <f>Instrument!#REF!</f>
        <v>#REF!</v>
      </c>
      <c r="E27" s="55" t="e">
        <f>Instrument!#REF!</f>
        <v>#REF!</v>
      </c>
      <c r="F27" s="132" t="e">
        <f>D27*(1+E27)</f>
        <v>#REF!</v>
      </c>
      <c r="G27" s="140" t="s">
        <v>236</v>
      </c>
      <c r="H27" s="141">
        <v>0.46</v>
      </c>
      <c r="I27" s="141">
        <v>0.45</v>
      </c>
      <c r="J27" s="141">
        <v>0.3</v>
      </c>
      <c r="K27" s="141">
        <v>0</v>
      </c>
      <c r="L27" s="141">
        <v>0</v>
      </c>
      <c r="M27" s="142">
        <v>0.7</v>
      </c>
      <c r="N27" s="163" t="e">
        <f t="shared" si="5"/>
        <v>#REF!</v>
      </c>
      <c r="O27" s="147" t="e">
        <f t="shared" si="6"/>
        <v>#REF!</v>
      </c>
      <c r="P27" s="147" t="e">
        <f t="shared" si="7"/>
        <v>#REF!</v>
      </c>
      <c r="Q27" s="144" t="e">
        <f>$F27*($H27^2/16+$J27^2/12)</f>
        <v>#REF!</v>
      </c>
      <c r="R27" s="145" t="e">
        <f>$F27*($H27^2/16+$J27^2/12)</f>
        <v>#REF!</v>
      </c>
      <c r="S27" s="146" t="e">
        <f>F27*(H27^2+I27^2)/8</f>
        <v>#REF!</v>
      </c>
      <c r="T27" s="147" t="e">
        <f t="shared" si="9"/>
        <v>#REF!</v>
      </c>
      <c r="U27" s="147" t="e">
        <f t="shared" si="10"/>
        <v>#REF!</v>
      </c>
      <c r="V27" s="148" t="e">
        <f t="shared" si="11"/>
        <v>#REF!</v>
      </c>
      <c r="W27" s="147" t="e">
        <f t="shared" si="12"/>
        <v>#REF!</v>
      </c>
      <c r="X27" s="147" t="e">
        <f t="shared" si="12"/>
        <v>#REF!</v>
      </c>
      <c r="Y27" s="148" t="e">
        <f t="shared" si="12"/>
        <v>#REF!</v>
      </c>
    </row>
    <row r="28" spans="1:25" ht="13.5" thickBot="1">
      <c r="A28" s="80" t="s">
        <v>275</v>
      </c>
      <c r="B28" s="78"/>
      <c r="C28" s="159"/>
      <c r="D28" s="160"/>
      <c r="E28" s="161"/>
      <c r="F28" s="156"/>
      <c r="G28" s="140"/>
      <c r="H28" s="141"/>
      <c r="I28" s="141"/>
      <c r="J28" s="141"/>
      <c r="K28" s="141"/>
      <c r="L28" s="141"/>
      <c r="M28" s="142"/>
      <c r="N28" s="163"/>
      <c r="O28" s="147"/>
      <c r="P28" s="147"/>
      <c r="Q28" s="144"/>
      <c r="R28" s="145"/>
      <c r="S28" s="146"/>
      <c r="T28" s="147"/>
      <c r="U28" s="147"/>
      <c r="V28" s="148"/>
      <c r="W28" s="147"/>
      <c r="X28" s="147"/>
      <c r="Y28" s="148"/>
    </row>
    <row r="29" spans="2:25" ht="12.75">
      <c r="B29" s="240" t="s">
        <v>274</v>
      </c>
      <c r="C29" s="51">
        <f>Instrument!H30</f>
        <v>3</v>
      </c>
      <c r="D29" s="57">
        <f>Instrument!I30</f>
        <v>9</v>
      </c>
      <c r="E29" s="55">
        <f>Instrument!K30</f>
        <v>0.5</v>
      </c>
      <c r="F29" s="132">
        <f>C29*D29*(1+E29)</f>
        <v>40.5</v>
      </c>
      <c r="G29" s="140" t="s">
        <v>235</v>
      </c>
      <c r="H29" s="249"/>
      <c r="I29" s="249"/>
      <c r="J29" s="249"/>
      <c r="K29" s="249"/>
      <c r="L29" s="249"/>
      <c r="M29" s="250"/>
      <c r="N29" s="143">
        <f>F29*K29</f>
        <v>0</v>
      </c>
      <c r="O29" s="84">
        <f>F29*L29</f>
        <v>0</v>
      </c>
      <c r="P29" s="84">
        <f>$F29*M29</f>
        <v>0</v>
      </c>
      <c r="Q29" s="144">
        <f>F29*(H29^2+I29^2)/8</f>
        <v>0</v>
      </c>
      <c r="R29" s="145">
        <f>$F29*(($H29^2+$I29^2)/16+$J29^2/12)</f>
        <v>0</v>
      </c>
      <c r="S29" s="146">
        <f>$F29*(($H29^2+$I29^2)/16+$J29^2/12)</f>
        <v>0</v>
      </c>
      <c r="T29" s="147" t="e">
        <f>$F29*((L29-L$69)^2+(M29-M$69)^2)</f>
        <v>#REF!</v>
      </c>
      <c r="U29" s="147" t="e">
        <f>$F29*((K29-K$69)^2+(M29-M$69)^2)</f>
        <v>#REF!</v>
      </c>
      <c r="V29" s="148" t="e">
        <f>$F29*((K29-K$69)^2+(L29-L$69)^2)</f>
        <v>#REF!</v>
      </c>
      <c r="W29" s="147" t="e">
        <f aca="true" t="shared" si="14" ref="W29:Y30">Q29+T29</f>
        <v>#REF!</v>
      </c>
      <c r="X29" s="147" t="e">
        <f t="shared" si="14"/>
        <v>#REF!</v>
      </c>
      <c r="Y29" s="148" t="e">
        <f t="shared" si="14"/>
        <v>#REF!</v>
      </c>
    </row>
    <row r="30" spans="2:25" ht="13.5" thickBot="1">
      <c r="B30" s="241" t="s">
        <v>276</v>
      </c>
      <c r="C30" s="51">
        <f>Instrument!H31</f>
        <v>2</v>
      </c>
      <c r="D30" s="57">
        <f>Instrument!I31</f>
        <v>15</v>
      </c>
      <c r="E30" s="55">
        <f>Instrument!K31</f>
        <v>0.25</v>
      </c>
      <c r="F30" s="132">
        <f>C30*D30*(1+E30)</f>
        <v>37.5</v>
      </c>
      <c r="G30" s="140" t="s">
        <v>235</v>
      </c>
      <c r="H30" s="249"/>
      <c r="I30" s="249"/>
      <c r="J30" s="249"/>
      <c r="K30" s="249"/>
      <c r="L30" s="249"/>
      <c r="M30" s="250"/>
      <c r="N30" s="143">
        <f>F30*K30</f>
        <v>0</v>
      </c>
      <c r="O30" s="84">
        <f>F30*L30</f>
        <v>0</v>
      </c>
      <c r="P30" s="84">
        <f>$F30*M30</f>
        <v>0</v>
      </c>
      <c r="Q30" s="144">
        <f>F30*(H30^2+I30^2)/8</f>
        <v>0</v>
      </c>
      <c r="R30" s="145">
        <f>$F30*(($H30^2+$I30^2)/16+$J30^2/12)</f>
        <v>0</v>
      </c>
      <c r="S30" s="146">
        <f>$F30*(($H30^2+$I30^2)/16+$J30^2/12)</f>
        <v>0</v>
      </c>
      <c r="T30" s="147" t="e">
        <f>$F30*((L30-L$69)^2+(M30-M$69)^2)</f>
        <v>#REF!</v>
      </c>
      <c r="U30" s="147" t="e">
        <f>$F30*((K30-K$69)^2+(M30-M$69)^2)</f>
        <v>#REF!</v>
      </c>
      <c r="V30" s="148" t="e">
        <f>$F30*((K30-K$69)^2+(L30-L$69)^2)</f>
        <v>#REF!</v>
      </c>
      <c r="W30" s="147" t="e">
        <f t="shared" si="14"/>
        <v>#REF!</v>
      </c>
      <c r="X30" s="147" t="e">
        <f t="shared" si="14"/>
        <v>#REF!</v>
      </c>
      <c r="Y30" s="148" t="e">
        <f t="shared" si="14"/>
        <v>#REF!</v>
      </c>
    </row>
    <row r="31" spans="1:25" ht="13.5" thickBot="1">
      <c r="A31" s="80" t="s">
        <v>187</v>
      </c>
      <c r="B31" s="78"/>
      <c r="C31" s="159"/>
      <c r="D31" s="160"/>
      <c r="E31" s="161"/>
      <c r="F31" s="156"/>
      <c r="G31" s="140"/>
      <c r="H31" s="249"/>
      <c r="I31" s="249"/>
      <c r="J31" s="249"/>
      <c r="K31" s="249"/>
      <c r="L31" s="249"/>
      <c r="M31" s="250"/>
      <c r="N31" s="163"/>
      <c r="O31" s="147"/>
      <c r="P31" s="147"/>
      <c r="Q31" s="144"/>
      <c r="R31" s="145"/>
      <c r="S31" s="146"/>
      <c r="T31" s="147"/>
      <c r="U31" s="147"/>
      <c r="V31" s="148"/>
      <c r="W31" s="147"/>
      <c r="X31" s="147"/>
      <c r="Y31" s="148"/>
    </row>
    <row r="32" spans="2:25" ht="12.75">
      <c r="B32" s="241" t="s">
        <v>277</v>
      </c>
      <c r="C32" s="51" t="e">
        <f>Instrument!#REF!</f>
        <v>#REF!</v>
      </c>
      <c r="D32" s="57" t="e">
        <f>Instrument!#REF!</f>
        <v>#REF!</v>
      </c>
      <c r="E32" s="55" t="e">
        <f>Instrument!#REF!</f>
        <v>#REF!</v>
      </c>
      <c r="F32" s="132" t="e">
        <f>C32*D32*(1+E32)</f>
        <v>#REF!</v>
      </c>
      <c r="G32" s="140" t="s">
        <v>236</v>
      </c>
      <c r="H32" s="249"/>
      <c r="I32" s="249"/>
      <c r="J32" s="249"/>
      <c r="K32" s="249"/>
      <c r="L32" s="249"/>
      <c r="M32" s="250"/>
      <c r="N32" s="163" t="e">
        <f t="shared" si="5"/>
        <v>#REF!</v>
      </c>
      <c r="O32" s="147" t="e">
        <f t="shared" si="6"/>
        <v>#REF!</v>
      </c>
      <c r="P32" s="147" t="e">
        <f t="shared" si="7"/>
        <v>#REF!</v>
      </c>
      <c r="Q32" s="144" t="e">
        <f>$F32*($H32^2/16+$J32^2/12)</f>
        <v>#REF!</v>
      </c>
      <c r="R32" s="145" t="e">
        <f>$F32*($H32^2/16+$J32^2/12)</f>
        <v>#REF!</v>
      </c>
      <c r="S32" s="146" t="e">
        <f>F32*(H32^2+I32^2)/8</f>
        <v>#REF!</v>
      </c>
      <c r="T32" s="147" t="e">
        <f>$F32*((L32-L$69)^2+(M32-M$69)^2)</f>
        <v>#REF!</v>
      </c>
      <c r="U32" s="147" t="e">
        <f>$F32*((K32-K$69)^2+(M32-M$69)^2)</f>
        <v>#REF!</v>
      </c>
      <c r="V32" s="148" t="e">
        <f>$F32*((K32-K$69)^2+(L32-L$69)^2)</f>
        <v>#REF!</v>
      </c>
      <c r="W32" s="147" t="e">
        <f t="shared" si="12"/>
        <v>#REF!</v>
      </c>
      <c r="X32" s="147" t="e">
        <f t="shared" si="12"/>
        <v>#REF!</v>
      </c>
      <c r="Y32" s="148" t="e">
        <f t="shared" si="12"/>
        <v>#REF!</v>
      </c>
    </row>
    <row r="33" spans="2:25" ht="13.5" thickBot="1">
      <c r="B33" s="73" t="s">
        <v>118</v>
      </c>
      <c r="C33" s="26">
        <f>Instrument!H36</f>
        <v>1</v>
      </c>
      <c r="D33" s="57">
        <f>Instrument!I36</f>
        <v>7.5</v>
      </c>
      <c r="E33" s="55">
        <f>Instrument!K36</f>
        <v>0.25</v>
      </c>
      <c r="F33" s="132">
        <f>C33*D33*(1+E33)</f>
        <v>9.375</v>
      </c>
      <c r="G33" s="140" t="s">
        <v>236</v>
      </c>
      <c r="H33" s="141">
        <v>0.46</v>
      </c>
      <c r="I33" s="141">
        <v>0.45</v>
      </c>
      <c r="J33" s="141">
        <v>0.2</v>
      </c>
      <c r="K33" s="141">
        <v>0.3</v>
      </c>
      <c r="L33" s="141">
        <v>0</v>
      </c>
      <c r="M33" s="142">
        <v>1.29</v>
      </c>
      <c r="N33" s="163">
        <f t="shared" si="5"/>
        <v>2.8125</v>
      </c>
      <c r="O33" s="147">
        <f t="shared" si="6"/>
        <v>0</v>
      </c>
      <c r="P33" s="147">
        <f t="shared" si="7"/>
        <v>12.09375</v>
      </c>
      <c r="Q33" s="144">
        <f>$F33*($H33^2/16+$J33^2/12)</f>
        <v>0.155234375</v>
      </c>
      <c r="R33" s="145">
        <f>$F33*($H33^2/16+$J33^2/12)</f>
        <v>0.155234375</v>
      </c>
      <c r="S33" s="146">
        <f>F33*(H33^2+I33^2)/8</f>
        <v>0.4852734375</v>
      </c>
      <c r="T33" s="147" t="e">
        <f>$F33*((L33-L$69)^2+(M33-M$69)^2)</f>
        <v>#REF!</v>
      </c>
      <c r="U33" s="147" t="e">
        <f>$F33*((K33-K$69)^2+(M33-M$69)^2)</f>
        <v>#REF!</v>
      </c>
      <c r="V33" s="148" t="e">
        <f>$F33*((K33-K$69)^2+(L33-L$69)^2)</f>
        <v>#REF!</v>
      </c>
      <c r="W33" s="147" t="e">
        <f t="shared" si="12"/>
        <v>#REF!</v>
      </c>
      <c r="X33" s="147" t="e">
        <f t="shared" si="12"/>
        <v>#REF!</v>
      </c>
      <c r="Y33" s="148" t="e">
        <f t="shared" si="12"/>
        <v>#REF!</v>
      </c>
    </row>
    <row r="34" spans="1:25" ht="13.5" thickBot="1">
      <c r="A34" s="80" t="s">
        <v>129</v>
      </c>
      <c r="B34" s="78"/>
      <c r="C34" s="159"/>
      <c r="D34" s="160"/>
      <c r="E34" s="161"/>
      <c r="F34" s="156"/>
      <c r="G34" s="140"/>
      <c r="H34" s="141"/>
      <c r="I34" s="141"/>
      <c r="J34" s="141"/>
      <c r="K34" s="141"/>
      <c r="L34" s="141"/>
      <c r="M34" s="142"/>
      <c r="N34" s="163"/>
      <c r="O34" s="147"/>
      <c r="P34" s="147"/>
      <c r="Q34" s="144"/>
      <c r="R34" s="145"/>
      <c r="S34" s="146"/>
      <c r="T34" s="147"/>
      <c r="U34" s="147"/>
      <c r="V34" s="148"/>
      <c r="W34" s="147"/>
      <c r="X34" s="147"/>
      <c r="Y34" s="148"/>
    </row>
    <row r="35" spans="1:25" ht="12.75">
      <c r="A35" s="9"/>
      <c r="B35" s="63" t="s">
        <v>139</v>
      </c>
      <c r="C35" s="26">
        <f>Instrument!H40</f>
        <v>1</v>
      </c>
      <c r="D35" s="57">
        <f>Instrument!I40</f>
        <v>82.7024266057513</v>
      </c>
      <c r="E35" s="55">
        <f>Instrument!K40</f>
        <v>0.25</v>
      </c>
      <c r="F35" s="132">
        <f>C35*D35*(1+E35)</f>
        <v>103.37803325718912</v>
      </c>
      <c r="G35" s="140" t="s">
        <v>234</v>
      </c>
      <c r="H35" s="141">
        <v>1.6</v>
      </c>
      <c r="I35" s="141">
        <v>0</v>
      </c>
      <c r="J35" s="141">
        <v>0.15</v>
      </c>
      <c r="K35" s="141">
        <v>1.2</v>
      </c>
      <c r="L35" s="141">
        <v>0</v>
      </c>
      <c r="M35" s="142">
        <v>1.29</v>
      </c>
      <c r="N35" s="163">
        <f t="shared" si="5"/>
        <v>124.05363990862693</v>
      </c>
      <c r="O35" s="147">
        <f t="shared" si="6"/>
        <v>0</v>
      </c>
      <c r="P35" s="147">
        <f t="shared" si="7"/>
        <v>133.35766290177398</v>
      </c>
      <c r="Q35" s="144">
        <f>F35*(H35^2+I35^2)/8</f>
        <v>33.08097064230052</v>
      </c>
      <c r="R35" s="145">
        <f aca="true" t="shared" si="15" ref="R35:S37">$F35*(($H35^2+$I35^2)/16+$J35^2/12)</f>
        <v>16.73431913350749</v>
      </c>
      <c r="S35" s="146">
        <f t="shared" si="15"/>
        <v>16.73431913350749</v>
      </c>
      <c r="T35" s="147" t="e">
        <f>$F35*((L35-L$69)^2+(M35-M$69)^2)</f>
        <v>#REF!</v>
      </c>
      <c r="U35" s="147" t="e">
        <f>$F35*((K35-K$69)^2+(M35-M$69)^2)</f>
        <v>#REF!</v>
      </c>
      <c r="V35" s="148" t="e">
        <f>$F35*((K35-K$69)^2+(L35-L$69)^2)</f>
        <v>#REF!</v>
      </c>
      <c r="W35" s="147" t="e">
        <f t="shared" si="12"/>
        <v>#REF!</v>
      </c>
      <c r="X35" s="147" t="e">
        <f t="shared" si="12"/>
        <v>#REF!</v>
      </c>
      <c r="Y35" s="148" t="e">
        <f t="shared" si="12"/>
        <v>#REF!</v>
      </c>
    </row>
    <row r="36" spans="1:25" ht="12.75">
      <c r="A36" s="9"/>
      <c r="B36" s="162" t="s">
        <v>161</v>
      </c>
      <c r="C36" s="26">
        <f>Instrument!H43</f>
        <v>8</v>
      </c>
      <c r="D36" s="57">
        <f>Instrument!I43</f>
        <v>2</v>
      </c>
      <c r="E36" s="55">
        <f>Instrument!K43</f>
        <v>0.25</v>
      </c>
      <c r="F36" s="132">
        <f>C36*D36*(1+E36)</f>
        <v>20</v>
      </c>
      <c r="G36" s="140" t="s">
        <v>234</v>
      </c>
      <c r="H36" s="141">
        <v>0.65</v>
      </c>
      <c r="I36" s="141">
        <v>0.26</v>
      </c>
      <c r="J36" s="141">
        <v>0.2</v>
      </c>
      <c r="K36" s="141">
        <v>1.1</v>
      </c>
      <c r="L36" s="141">
        <v>0</v>
      </c>
      <c r="M36" s="142">
        <v>1.29</v>
      </c>
      <c r="N36" s="163">
        <f t="shared" si="5"/>
        <v>22</v>
      </c>
      <c r="O36" s="147">
        <f t="shared" si="6"/>
        <v>0</v>
      </c>
      <c r="P36" s="147">
        <f t="shared" si="7"/>
        <v>25.8</v>
      </c>
      <c r="Q36" s="144">
        <f>F36*(H36^2+I36^2)/8</f>
        <v>1.2252500000000002</v>
      </c>
      <c r="R36" s="145">
        <f t="shared" si="15"/>
        <v>0.6792916666666668</v>
      </c>
      <c r="S36" s="146">
        <f t="shared" si="15"/>
        <v>0.6792916666666668</v>
      </c>
      <c r="T36" s="147" t="e">
        <f>$F36*((L36-L$69)^2+(M36-M$69)^2)</f>
        <v>#REF!</v>
      </c>
      <c r="U36" s="147" t="e">
        <f>$F36*((K36-K$69)^2+(M36-M$69)^2)</f>
        <v>#REF!</v>
      </c>
      <c r="V36" s="148" t="e">
        <f>$F36*((K36-K$69)^2+(L36-L$69)^2)</f>
        <v>#REF!</v>
      </c>
      <c r="W36" s="147" t="e">
        <f t="shared" si="12"/>
        <v>#REF!</v>
      </c>
      <c r="X36" s="147" t="e">
        <f t="shared" si="12"/>
        <v>#REF!</v>
      </c>
      <c r="Y36" s="148" t="e">
        <f t="shared" si="12"/>
        <v>#REF!</v>
      </c>
    </row>
    <row r="37" spans="1:25" ht="13.5" thickBot="1">
      <c r="A37" s="9"/>
      <c r="B37" s="58" t="s">
        <v>124</v>
      </c>
      <c r="C37" s="26">
        <f>Instrument!H44</f>
        <v>6</v>
      </c>
      <c r="D37" s="57">
        <f>Instrument!I44</f>
        <v>1</v>
      </c>
      <c r="E37" s="55">
        <f>Instrument!K44</f>
        <v>0.25</v>
      </c>
      <c r="F37" s="132">
        <f>C37*D37*(1+E37)</f>
        <v>7.5</v>
      </c>
      <c r="G37" s="140" t="s">
        <v>234</v>
      </c>
      <c r="H37" s="141">
        <v>0.8</v>
      </c>
      <c r="I37" s="141">
        <v>0.6</v>
      </c>
      <c r="J37" s="141">
        <v>0.2</v>
      </c>
      <c r="K37" s="141">
        <v>1.1</v>
      </c>
      <c r="L37" s="141">
        <v>0</v>
      </c>
      <c r="M37" s="142">
        <v>1.29</v>
      </c>
      <c r="N37" s="163">
        <f t="shared" si="5"/>
        <v>8.25</v>
      </c>
      <c r="O37" s="147">
        <f t="shared" si="6"/>
        <v>0</v>
      </c>
      <c r="P37" s="147">
        <f t="shared" si="7"/>
        <v>9.675</v>
      </c>
      <c r="Q37" s="144">
        <f>F37*(H37^2+I37^2)/8</f>
        <v>0.9375</v>
      </c>
      <c r="R37" s="145">
        <f t="shared" si="15"/>
        <v>0.49374999999999997</v>
      </c>
      <c r="S37" s="146">
        <f t="shared" si="15"/>
        <v>0.49374999999999997</v>
      </c>
      <c r="T37" s="147" t="e">
        <f>$F37*((L37-L$69)^2+(M37-M$69)^2)</f>
        <v>#REF!</v>
      </c>
      <c r="U37" s="147" t="e">
        <f>$F37*((K37-K$69)^2+(M37-M$69)^2)</f>
        <v>#REF!</v>
      </c>
      <c r="V37" s="148" t="e">
        <f>$F37*((K37-K$69)^2+(L37-L$69)^2)</f>
        <v>#REF!</v>
      </c>
      <c r="W37" s="147" t="e">
        <f t="shared" si="12"/>
        <v>#REF!</v>
      </c>
      <c r="X37" s="147" t="e">
        <f t="shared" si="12"/>
        <v>#REF!</v>
      </c>
      <c r="Y37" s="148" t="e">
        <f t="shared" si="12"/>
        <v>#REF!</v>
      </c>
    </row>
    <row r="38" spans="1:25" ht="13.5" thickBot="1">
      <c r="A38" s="164" t="s">
        <v>182</v>
      </c>
      <c r="B38" s="165"/>
      <c r="C38" s="155"/>
      <c r="D38" s="166"/>
      <c r="E38" s="18"/>
      <c r="F38" s="156"/>
      <c r="G38" s="140"/>
      <c r="H38" s="141"/>
      <c r="I38" s="141"/>
      <c r="J38" s="141"/>
      <c r="K38" s="141"/>
      <c r="L38" s="141"/>
      <c r="M38" s="142"/>
      <c r="N38" s="163"/>
      <c r="O38" s="147"/>
      <c r="P38" s="147"/>
      <c r="Q38" s="144"/>
      <c r="R38" s="145"/>
      <c r="S38" s="146"/>
      <c r="T38" s="147"/>
      <c r="U38" s="147"/>
      <c r="V38" s="148"/>
      <c r="W38" s="147"/>
      <c r="X38" s="147"/>
      <c r="Y38" s="148"/>
    </row>
    <row r="39" spans="1:25" ht="12.75">
      <c r="A39" s="3"/>
      <c r="B39" s="63" t="s">
        <v>144</v>
      </c>
      <c r="C39" s="26">
        <f>Instrument!H50</f>
        <v>1</v>
      </c>
      <c r="D39" s="57">
        <f>Instrument!I50</f>
        <v>198</v>
      </c>
      <c r="E39" s="55">
        <f>Instrument!K50</f>
        <v>0.15</v>
      </c>
      <c r="F39" s="132">
        <f aca="true" t="shared" si="16" ref="F39:F47">C39*D39*(1+E39)</f>
        <v>227.7</v>
      </c>
      <c r="G39" s="140" t="s">
        <v>236</v>
      </c>
      <c r="H39" s="141">
        <v>2</v>
      </c>
      <c r="I39" s="141">
        <v>0.38</v>
      </c>
      <c r="J39" s="141">
        <v>0.35</v>
      </c>
      <c r="K39" s="141">
        <v>0</v>
      </c>
      <c r="L39" s="141">
        <v>0</v>
      </c>
      <c r="M39" s="142">
        <v>2.15</v>
      </c>
      <c r="N39" s="163">
        <f t="shared" si="5"/>
        <v>0</v>
      </c>
      <c r="O39" s="147">
        <f t="shared" si="6"/>
        <v>0</v>
      </c>
      <c r="P39" s="147">
        <f t="shared" si="7"/>
        <v>489.55499999999995</v>
      </c>
      <c r="Q39" s="144">
        <f aca="true" t="shared" si="17" ref="Q39:R45">$F39*($H39^2/16+$J39^2/12)</f>
        <v>59.24943749999999</v>
      </c>
      <c r="R39" s="145">
        <f t="shared" si="17"/>
        <v>59.24943749999999</v>
      </c>
      <c r="S39" s="146">
        <f aca="true" t="shared" si="18" ref="S39:S45">F39*(H39^2+I39^2)/8</f>
        <v>117.959985</v>
      </c>
      <c r="T39" s="147" t="e">
        <f aca="true" t="shared" si="19" ref="T39:T47">$F39*((L39-L$69)^2+(M39-M$69)^2)</f>
        <v>#REF!</v>
      </c>
      <c r="U39" s="147" t="e">
        <f aca="true" t="shared" si="20" ref="U39:U47">$F39*((K39-K$69)^2+(M39-M$69)^2)</f>
        <v>#REF!</v>
      </c>
      <c r="V39" s="148" t="e">
        <f aca="true" t="shared" si="21" ref="V39:V47">$F39*((K39-K$69)^2+(L39-L$69)^2)</f>
        <v>#REF!</v>
      </c>
      <c r="W39" s="147" t="e">
        <f t="shared" si="12"/>
        <v>#REF!</v>
      </c>
      <c r="X39" s="147" t="e">
        <f t="shared" si="12"/>
        <v>#REF!</v>
      </c>
      <c r="Y39" s="148" t="e">
        <f t="shared" si="12"/>
        <v>#REF!</v>
      </c>
    </row>
    <row r="40" spans="1:25" ht="12.75">
      <c r="A40" s="3"/>
      <c r="B40" s="61" t="s">
        <v>154</v>
      </c>
      <c r="C40" s="26">
        <f>Instrument!H51</f>
        <v>1</v>
      </c>
      <c r="D40" s="57">
        <f>Instrument!I51</f>
        <v>8</v>
      </c>
      <c r="E40" s="55">
        <f>Instrument!K51</f>
        <v>0.25</v>
      </c>
      <c r="F40" s="132">
        <f t="shared" si="16"/>
        <v>10</v>
      </c>
      <c r="G40" s="140" t="s">
        <v>236</v>
      </c>
      <c r="H40" s="141">
        <v>1.6</v>
      </c>
      <c r="I40" s="141">
        <v>1.4</v>
      </c>
      <c r="J40" s="141">
        <v>0.2</v>
      </c>
      <c r="K40" s="141">
        <v>0</v>
      </c>
      <c r="L40" s="141">
        <v>0</v>
      </c>
      <c r="M40" s="142">
        <v>1.95</v>
      </c>
      <c r="N40" s="163">
        <f t="shared" si="5"/>
        <v>0</v>
      </c>
      <c r="O40" s="147">
        <f t="shared" si="6"/>
        <v>0</v>
      </c>
      <c r="P40" s="147">
        <f t="shared" si="7"/>
        <v>19.5</v>
      </c>
      <c r="Q40" s="144">
        <f t="shared" si="17"/>
        <v>1.6333333333333335</v>
      </c>
      <c r="R40" s="145">
        <f t="shared" si="17"/>
        <v>1.6333333333333335</v>
      </c>
      <c r="S40" s="146">
        <f t="shared" si="18"/>
        <v>5.65</v>
      </c>
      <c r="T40" s="147" t="e">
        <f t="shared" si="19"/>
        <v>#REF!</v>
      </c>
      <c r="U40" s="147" t="e">
        <f t="shared" si="20"/>
        <v>#REF!</v>
      </c>
      <c r="V40" s="148" t="e">
        <f t="shared" si="21"/>
        <v>#REF!</v>
      </c>
      <c r="W40" s="147" t="e">
        <f t="shared" si="12"/>
        <v>#REF!</v>
      </c>
      <c r="X40" s="147" t="e">
        <f t="shared" si="12"/>
        <v>#REF!</v>
      </c>
      <c r="Y40" s="148" t="e">
        <f t="shared" si="12"/>
        <v>#REF!</v>
      </c>
    </row>
    <row r="41" spans="1:25" ht="12.75">
      <c r="A41" s="3"/>
      <c r="B41" s="61" t="s">
        <v>141</v>
      </c>
      <c r="C41" s="26">
        <f>Instrument!H54</f>
        <v>1</v>
      </c>
      <c r="D41" s="57">
        <f>Instrument!I54</f>
        <v>4.1</v>
      </c>
      <c r="E41" s="55">
        <f>Instrument!K54</f>
        <v>0.15</v>
      </c>
      <c r="F41" s="132">
        <f t="shared" si="16"/>
        <v>4.714999999999999</v>
      </c>
      <c r="G41" s="140" t="s">
        <v>236</v>
      </c>
      <c r="H41" s="141">
        <v>0.42</v>
      </c>
      <c r="I41" s="141">
        <v>0</v>
      </c>
      <c r="J41" s="141">
        <v>0.07</v>
      </c>
      <c r="K41" s="141">
        <v>0</v>
      </c>
      <c r="L41" s="141">
        <v>0</v>
      </c>
      <c r="M41" s="142">
        <v>4.26</v>
      </c>
      <c r="N41" s="163">
        <f t="shared" si="5"/>
        <v>0</v>
      </c>
      <c r="O41" s="147">
        <f t="shared" si="6"/>
        <v>0</v>
      </c>
      <c r="P41" s="147">
        <f t="shared" si="7"/>
        <v>20.085899999999995</v>
      </c>
      <c r="Q41" s="144">
        <f t="shared" si="17"/>
        <v>0.053908166666666646</v>
      </c>
      <c r="R41" s="145">
        <f t="shared" si="17"/>
        <v>0.053908166666666646</v>
      </c>
      <c r="S41" s="146">
        <f t="shared" si="18"/>
        <v>0.10396574999999997</v>
      </c>
      <c r="T41" s="147" t="e">
        <f t="shared" si="19"/>
        <v>#REF!</v>
      </c>
      <c r="U41" s="147" t="e">
        <f t="shared" si="20"/>
        <v>#REF!</v>
      </c>
      <c r="V41" s="148" t="e">
        <f t="shared" si="21"/>
        <v>#REF!</v>
      </c>
      <c r="W41" s="147" t="e">
        <f t="shared" si="12"/>
        <v>#REF!</v>
      </c>
      <c r="X41" s="147" t="e">
        <f t="shared" si="12"/>
        <v>#REF!</v>
      </c>
      <c r="Y41" s="148" t="e">
        <f t="shared" si="12"/>
        <v>#REF!</v>
      </c>
    </row>
    <row r="42" spans="1:25" ht="12.75">
      <c r="A42" s="3"/>
      <c r="B42" s="61" t="s">
        <v>153</v>
      </c>
      <c r="C42" s="26" t="e">
        <f>#REF!</f>
        <v>#REF!</v>
      </c>
      <c r="D42" s="57" t="e">
        <f>#REF!</f>
        <v>#REF!</v>
      </c>
      <c r="E42" s="55" t="e">
        <f>#REF!</f>
        <v>#REF!</v>
      </c>
      <c r="F42" s="132" t="e">
        <f t="shared" si="16"/>
        <v>#REF!</v>
      </c>
      <c r="G42" s="140" t="s">
        <v>236</v>
      </c>
      <c r="H42" s="141">
        <v>0.5</v>
      </c>
      <c r="I42" s="141">
        <v>0.4</v>
      </c>
      <c r="J42" s="141">
        <v>0.3</v>
      </c>
      <c r="K42" s="141">
        <v>0</v>
      </c>
      <c r="L42" s="141">
        <v>0</v>
      </c>
      <c r="M42" s="142">
        <v>4.4</v>
      </c>
      <c r="N42" s="163" t="e">
        <f t="shared" si="5"/>
        <v>#REF!</v>
      </c>
      <c r="O42" s="147" t="e">
        <f t="shared" si="6"/>
        <v>#REF!</v>
      </c>
      <c r="P42" s="147" t="e">
        <f t="shared" si="7"/>
        <v>#REF!</v>
      </c>
      <c r="Q42" s="144" t="e">
        <f t="shared" si="17"/>
        <v>#REF!</v>
      </c>
      <c r="R42" s="145" t="e">
        <f t="shared" si="17"/>
        <v>#REF!</v>
      </c>
      <c r="S42" s="146" t="e">
        <f t="shared" si="18"/>
        <v>#REF!</v>
      </c>
      <c r="T42" s="147" t="e">
        <f t="shared" si="19"/>
        <v>#REF!</v>
      </c>
      <c r="U42" s="147" t="e">
        <f t="shared" si="20"/>
        <v>#REF!</v>
      </c>
      <c r="V42" s="148" t="e">
        <f t="shared" si="21"/>
        <v>#REF!</v>
      </c>
      <c r="W42" s="147" t="e">
        <f t="shared" si="12"/>
        <v>#REF!</v>
      </c>
      <c r="X42" s="147" t="e">
        <f t="shared" si="12"/>
        <v>#REF!</v>
      </c>
      <c r="Y42" s="148" t="e">
        <f t="shared" si="12"/>
        <v>#REF!</v>
      </c>
    </row>
    <row r="43" spans="1:25" ht="12.75">
      <c r="A43" s="3"/>
      <c r="B43" s="61" t="s">
        <v>155</v>
      </c>
      <c r="C43" s="26" t="e">
        <f>#REF!</f>
        <v>#REF!</v>
      </c>
      <c r="D43" s="57" t="e">
        <f>#REF!</f>
        <v>#REF!</v>
      </c>
      <c r="E43" s="55" t="e">
        <f>#REF!</f>
        <v>#REF!</v>
      </c>
      <c r="F43" s="132" t="e">
        <f t="shared" si="16"/>
        <v>#REF!</v>
      </c>
      <c r="G43" s="140" t="s">
        <v>236</v>
      </c>
      <c r="H43" s="141">
        <v>0.5</v>
      </c>
      <c r="I43" s="141">
        <v>0.4</v>
      </c>
      <c r="J43" s="141">
        <v>0.1</v>
      </c>
      <c r="K43" s="141">
        <v>0</v>
      </c>
      <c r="L43" s="141">
        <v>0</v>
      </c>
      <c r="M43" s="142">
        <v>4.4</v>
      </c>
      <c r="N43" s="163" t="e">
        <f t="shared" si="5"/>
        <v>#REF!</v>
      </c>
      <c r="O43" s="147" t="e">
        <f t="shared" si="6"/>
        <v>#REF!</v>
      </c>
      <c r="P43" s="147" t="e">
        <f t="shared" si="7"/>
        <v>#REF!</v>
      </c>
      <c r="Q43" s="144" t="e">
        <f t="shared" si="17"/>
        <v>#REF!</v>
      </c>
      <c r="R43" s="145" t="e">
        <f t="shared" si="17"/>
        <v>#REF!</v>
      </c>
      <c r="S43" s="146" t="e">
        <f t="shared" si="18"/>
        <v>#REF!</v>
      </c>
      <c r="T43" s="147" t="e">
        <f t="shared" si="19"/>
        <v>#REF!</v>
      </c>
      <c r="U43" s="147" t="e">
        <f t="shared" si="20"/>
        <v>#REF!</v>
      </c>
      <c r="V43" s="148" t="e">
        <f t="shared" si="21"/>
        <v>#REF!</v>
      </c>
      <c r="W43" s="147" t="e">
        <f t="shared" si="12"/>
        <v>#REF!</v>
      </c>
      <c r="X43" s="147" t="e">
        <f t="shared" si="12"/>
        <v>#REF!</v>
      </c>
      <c r="Y43" s="148" t="e">
        <f t="shared" si="12"/>
        <v>#REF!</v>
      </c>
    </row>
    <row r="44" spans="1:25" ht="12.75">
      <c r="A44" s="3"/>
      <c r="B44" s="61" t="s">
        <v>145</v>
      </c>
      <c r="C44" s="26">
        <f>Instrument!H58</f>
        <v>1</v>
      </c>
      <c r="D44" s="57">
        <f>Instrument!I58</f>
        <v>14.4</v>
      </c>
      <c r="E44" s="55">
        <f>Instrument!K58</f>
        <v>0.2</v>
      </c>
      <c r="F44" s="132">
        <f t="shared" si="16"/>
        <v>17.28</v>
      </c>
      <c r="G44" s="140" t="s">
        <v>236</v>
      </c>
      <c r="H44" s="141">
        <v>0.5</v>
      </c>
      <c r="I44" s="141">
        <v>0.2</v>
      </c>
      <c r="J44" s="141">
        <v>0.5</v>
      </c>
      <c r="K44" s="141">
        <v>0.1</v>
      </c>
      <c r="L44" s="141">
        <v>0</v>
      </c>
      <c r="M44" s="142">
        <v>1.29</v>
      </c>
      <c r="N44" s="163">
        <f t="shared" si="5"/>
        <v>1.7280000000000002</v>
      </c>
      <c r="O44" s="147">
        <f t="shared" si="6"/>
        <v>0</v>
      </c>
      <c r="P44" s="147">
        <f t="shared" si="7"/>
        <v>22.291200000000003</v>
      </c>
      <c r="Q44" s="144">
        <f t="shared" si="17"/>
        <v>0.63</v>
      </c>
      <c r="R44" s="145">
        <f t="shared" si="17"/>
        <v>0.63</v>
      </c>
      <c r="S44" s="146">
        <f t="shared" si="18"/>
        <v>0.6264000000000001</v>
      </c>
      <c r="T44" s="147" t="e">
        <f t="shared" si="19"/>
        <v>#REF!</v>
      </c>
      <c r="U44" s="147" t="e">
        <f t="shared" si="20"/>
        <v>#REF!</v>
      </c>
      <c r="V44" s="148" t="e">
        <f t="shared" si="21"/>
        <v>#REF!</v>
      </c>
      <c r="W44" s="147" t="e">
        <f t="shared" si="12"/>
        <v>#REF!</v>
      </c>
      <c r="X44" s="147" t="e">
        <f t="shared" si="12"/>
        <v>#REF!</v>
      </c>
      <c r="Y44" s="148" t="e">
        <f t="shared" si="12"/>
        <v>#REF!</v>
      </c>
    </row>
    <row r="45" spans="1:25" ht="12.75">
      <c r="A45" s="3"/>
      <c r="B45" s="61" t="s">
        <v>154</v>
      </c>
      <c r="C45" s="26">
        <f>Instrument!H59</f>
        <v>3</v>
      </c>
      <c r="D45" s="57">
        <f>Instrument!I59</f>
        <v>0.5366666666666667</v>
      </c>
      <c r="E45" s="55">
        <f>Instrument!K59</f>
        <v>0.25</v>
      </c>
      <c r="F45" s="132">
        <f t="shared" si="16"/>
        <v>2.0125</v>
      </c>
      <c r="G45" s="140" t="s">
        <v>236</v>
      </c>
      <c r="H45" s="141">
        <v>0.8</v>
      </c>
      <c r="I45" s="141">
        <v>0.5</v>
      </c>
      <c r="J45" s="141">
        <v>0.2</v>
      </c>
      <c r="K45" s="141">
        <v>0.1</v>
      </c>
      <c r="L45" s="141">
        <v>0</v>
      </c>
      <c r="M45" s="142">
        <v>1.29</v>
      </c>
      <c r="N45" s="163">
        <f t="shared" si="5"/>
        <v>0.20125000000000004</v>
      </c>
      <c r="O45" s="147">
        <f t="shared" si="6"/>
        <v>0</v>
      </c>
      <c r="P45" s="147">
        <f t="shared" si="7"/>
        <v>2.5961250000000002</v>
      </c>
      <c r="Q45" s="144">
        <f t="shared" si="17"/>
        <v>0.08720833333333336</v>
      </c>
      <c r="R45" s="145">
        <f t="shared" si="17"/>
        <v>0.08720833333333336</v>
      </c>
      <c r="S45" s="146">
        <f t="shared" si="18"/>
        <v>0.22389062500000004</v>
      </c>
      <c r="T45" s="147" t="e">
        <f t="shared" si="19"/>
        <v>#REF!</v>
      </c>
      <c r="U45" s="147" t="e">
        <f t="shared" si="20"/>
        <v>#REF!</v>
      </c>
      <c r="V45" s="148" t="e">
        <f t="shared" si="21"/>
        <v>#REF!</v>
      </c>
      <c r="W45" s="147" t="e">
        <f t="shared" si="12"/>
        <v>#REF!</v>
      </c>
      <c r="X45" s="147" t="e">
        <f t="shared" si="12"/>
        <v>#REF!</v>
      </c>
      <c r="Y45" s="148" t="e">
        <f t="shared" si="12"/>
        <v>#REF!</v>
      </c>
    </row>
    <row r="46" spans="1:25" ht="12.75">
      <c r="A46" s="3"/>
      <c r="B46" s="61" t="s">
        <v>142</v>
      </c>
      <c r="C46" s="26">
        <f>Instrument!H61</f>
        <v>1</v>
      </c>
      <c r="D46" s="57">
        <f>Instrument!I61</f>
        <v>13.8</v>
      </c>
      <c r="E46" s="55">
        <f>Instrument!K61</f>
        <v>0.15</v>
      </c>
      <c r="F46" s="132">
        <f t="shared" si="16"/>
        <v>15.87</v>
      </c>
      <c r="G46" s="140" t="s">
        <v>234</v>
      </c>
      <c r="H46" s="141">
        <v>0.68</v>
      </c>
      <c r="I46" s="141">
        <v>0</v>
      </c>
      <c r="J46" s="141">
        <v>0.1</v>
      </c>
      <c r="K46" s="167">
        <v>-0.91</v>
      </c>
      <c r="L46" s="141">
        <v>0</v>
      </c>
      <c r="M46" s="142">
        <v>1.29</v>
      </c>
      <c r="N46" s="163">
        <f t="shared" si="5"/>
        <v>-14.441699999999999</v>
      </c>
      <c r="O46" s="147">
        <f t="shared" si="6"/>
        <v>0</v>
      </c>
      <c r="P46" s="147">
        <f t="shared" si="7"/>
        <v>20.4723</v>
      </c>
      <c r="Q46" s="144">
        <f>F46*(H46^2+I46^2)/8</f>
        <v>0.9172860000000002</v>
      </c>
      <c r="R46" s="145">
        <f>$F46*(($H46^2+$I46^2)/16+$J46^2/12)</f>
        <v>0.4718680000000001</v>
      </c>
      <c r="S46" s="146">
        <f>$F46*(($H46^2+$I46^2)/16+$J46^2/12)</f>
        <v>0.4718680000000001</v>
      </c>
      <c r="T46" s="147" t="e">
        <f t="shared" si="19"/>
        <v>#REF!</v>
      </c>
      <c r="U46" s="147" t="e">
        <f t="shared" si="20"/>
        <v>#REF!</v>
      </c>
      <c r="V46" s="148" t="e">
        <f t="shared" si="21"/>
        <v>#REF!</v>
      </c>
      <c r="W46" s="147" t="e">
        <f t="shared" si="12"/>
        <v>#REF!</v>
      </c>
      <c r="X46" s="147" t="e">
        <f t="shared" si="12"/>
        <v>#REF!</v>
      </c>
      <c r="Y46" s="148" t="e">
        <f t="shared" si="12"/>
        <v>#REF!</v>
      </c>
    </row>
    <row r="47" spans="1:25" ht="13.5" thickBot="1">
      <c r="A47" s="3"/>
      <c r="B47" s="79" t="s">
        <v>164</v>
      </c>
      <c r="C47" s="26">
        <f>Instrument!H62</f>
        <v>3</v>
      </c>
      <c r="D47" s="57">
        <f>Instrument!I62</f>
        <v>0.7766666666666667</v>
      </c>
      <c r="E47" s="55">
        <f>Instrument!K62</f>
        <v>0.2</v>
      </c>
      <c r="F47" s="132">
        <f t="shared" si="16"/>
        <v>2.796</v>
      </c>
      <c r="G47" s="140" t="s">
        <v>234</v>
      </c>
      <c r="H47" s="141">
        <v>0.8</v>
      </c>
      <c r="I47" s="141">
        <v>0.5</v>
      </c>
      <c r="J47" s="141">
        <v>0.2</v>
      </c>
      <c r="K47" s="167">
        <v>-0.84</v>
      </c>
      <c r="L47" s="141">
        <v>0</v>
      </c>
      <c r="M47" s="142">
        <v>1.29</v>
      </c>
      <c r="N47" s="163">
        <f t="shared" si="5"/>
        <v>-2.3486399999999996</v>
      </c>
      <c r="O47" s="147">
        <f t="shared" si="6"/>
        <v>0</v>
      </c>
      <c r="P47" s="147">
        <f t="shared" si="7"/>
        <v>3.60684</v>
      </c>
      <c r="Q47" s="144">
        <f>F47*(H47^2+I47^2)/8</f>
        <v>0.311055</v>
      </c>
      <c r="R47" s="145">
        <f>$F47*(($H47^2+$I47^2)/16+$J47^2/12)</f>
        <v>0.1648475</v>
      </c>
      <c r="S47" s="146">
        <f>$F47*(($H47^2+$I47^2)/16+$J47^2/12)</f>
        <v>0.1648475</v>
      </c>
      <c r="T47" s="147" t="e">
        <f t="shared" si="19"/>
        <v>#REF!</v>
      </c>
      <c r="U47" s="147" t="e">
        <f t="shared" si="20"/>
        <v>#REF!</v>
      </c>
      <c r="V47" s="148" t="e">
        <f t="shared" si="21"/>
        <v>#REF!</v>
      </c>
      <c r="W47" s="147" t="e">
        <f t="shared" si="12"/>
        <v>#REF!</v>
      </c>
      <c r="X47" s="147" t="e">
        <f t="shared" si="12"/>
        <v>#REF!</v>
      </c>
      <c r="Y47" s="148" t="e">
        <f t="shared" si="12"/>
        <v>#REF!</v>
      </c>
    </row>
    <row r="48" spans="1:25" ht="13.5" thickBot="1">
      <c r="A48" s="164" t="s">
        <v>163</v>
      </c>
      <c r="B48" s="165"/>
      <c r="C48" s="155"/>
      <c r="D48" s="166"/>
      <c r="E48" s="18"/>
      <c r="F48" s="156"/>
      <c r="G48" s="140"/>
      <c r="H48" s="141"/>
      <c r="I48" s="141"/>
      <c r="J48" s="141"/>
      <c r="K48" s="141"/>
      <c r="L48" s="141"/>
      <c r="M48" s="142"/>
      <c r="N48" s="163"/>
      <c r="O48" s="147"/>
      <c r="P48" s="147"/>
      <c r="Q48" s="144"/>
      <c r="R48" s="145"/>
      <c r="S48" s="146"/>
      <c r="T48" s="147"/>
      <c r="U48" s="147"/>
      <c r="V48" s="148"/>
      <c r="W48" s="147"/>
      <c r="X48" s="147"/>
      <c r="Y48" s="148"/>
    </row>
    <row r="49" spans="1:25" ht="12.75">
      <c r="A49" s="3"/>
      <c r="B49" s="63" t="s">
        <v>162</v>
      </c>
      <c r="C49" s="26">
        <f>Instrument!H69</f>
        <v>1</v>
      </c>
      <c r="D49" s="57">
        <f>Instrument!I69</f>
        <v>30.630000000000003</v>
      </c>
      <c r="E49" s="55">
        <f>Instrument!K69</f>
        <v>0.2</v>
      </c>
      <c r="F49" s="132">
        <f aca="true" t="shared" si="22" ref="F49:F54">C49*D49*(1+E49)</f>
        <v>36.756</v>
      </c>
      <c r="G49" s="140" t="s">
        <v>236</v>
      </c>
      <c r="H49" s="141">
        <v>1.5</v>
      </c>
      <c r="I49" s="141">
        <v>0</v>
      </c>
      <c r="J49" s="141">
        <v>2.25</v>
      </c>
      <c r="K49" s="141">
        <v>0</v>
      </c>
      <c r="L49" s="141">
        <v>0</v>
      </c>
      <c r="M49" s="142">
        <v>3.35</v>
      </c>
      <c r="N49" s="163">
        <f t="shared" si="5"/>
        <v>0</v>
      </c>
      <c r="O49" s="147">
        <f t="shared" si="6"/>
        <v>0</v>
      </c>
      <c r="P49" s="147">
        <f t="shared" si="7"/>
        <v>123.13260000000001</v>
      </c>
      <c r="Q49" s="144">
        <f aca="true" t="shared" si="23" ref="Q49:R66">$F49*($H49^2/16+$J49^2/12)</f>
        <v>20.67525</v>
      </c>
      <c r="R49" s="145">
        <f t="shared" si="23"/>
        <v>20.67525</v>
      </c>
      <c r="S49" s="146">
        <f>F49*(H49^2+I49^2)/8</f>
        <v>10.337625</v>
      </c>
      <c r="T49" s="147" t="e">
        <f aca="true" t="shared" si="24" ref="T49:T54">$F49*((L49-L$69)^2+(M49-M$69)^2)</f>
        <v>#REF!</v>
      </c>
      <c r="U49" s="147" t="e">
        <f aca="true" t="shared" si="25" ref="U49:U54">$F49*((K49-K$69)^2+(M49-M$69)^2)</f>
        <v>#REF!</v>
      </c>
      <c r="V49" s="148" t="e">
        <f aca="true" t="shared" si="26" ref="V49:V54">$F49*((K49-K$69)^2+(L49-L$69)^2)</f>
        <v>#REF!</v>
      </c>
      <c r="W49" s="147" t="e">
        <f t="shared" si="12"/>
        <v>#REF!</v>
      </c>
      <c r="X49" s="147" t="e">
        <f t="shared" si="12"/>
        <v>#REF!</v>
      </c>
      <c r="Y49" s="148" t="e">
        <f t="shared" si="12"/>
        <v>#REF!</v>
      </c>
    </row>
    <row r="50" spans="1:25" ht="12.75">
      <c r="A50" s="3"/>
      <c r="B50" s="61" t="s">
        <v>159</v>
      </c>
      <c r="C50" s="26">
        <f>Instrument!H71</f>
        <v>1</v>
      </c>
      <c r="D50" s="57">
        <f>Instrument!I71</f>
        <v>47.77</v>
      </c>
      <c r="E50" s="55">
        <f>Instrument!K71</f>
        <v>0.2</v>
      </c>
      <c r="F50" s="132">
        <f t="shared" si="22"/>
        <v>57.324000000000005</v>
      </c>
      <c r="G50" s="140" t="s">
        <v>236</v>
      </c>
      <c r="H50" s="141">
        <v>1.8</v>
      </c>
      <c r="I50" s="141">
        <v>0.5</v>
      </c>
      <c r="J50" s="141">
        <v>0.2</v>
      </c>
      <c r="K50" s="141">
        <v>0</v>
      </c>
      <c r="L50" s="141">
        <v>0</v>
      </c>
      <c r="M50" s="142">
        <v>1.8</v>
      </c>
      <c r="N50" s="163">
        <f t="shared" si="5"/>
        <v>0</v>
      </c>
      <c r="O50" s="147">
        <f t="shared" si="6"/>
        <v>0</v>
      </c>
      <c r="P50" s="147">
        <f t="shared" si="7"/>
        <v>103.18320000000001</v>
      </c>
      <c r="Q50" s="144">
        <f t="shared" si="23"/>
        <v>11.799190000000001</v>
      </c>
      <c r="R50" s="145">
        <f t="shared" si="23"/>
        <v>11.799190000000001</v>
      </c>
      <c r="S50" s="146">
        <f>F50*(H50^2+I50^2)/8</f>
        <v>25.007595000000002</v>
      </c>
      <c r="T50" s="147" t="e">
        <f t="shared" si="24"/>
        <v>#REF!</v>
      </c>
      <c r="U50" s="147" t="e">
        <f t="shared" si="25"/>
        <v>#REF!</v>
      </c>
      <c r="V50" s="148" t="e">
        <f t="shared" si="26"/>
        <v>#REF!</v>
      </c>
      <c r="W50" s="147" t="e">
        <f t="shared" si="12"/>
        <v>#REF!</v>
      </c>
      <c r="X50" s="147" t="e">
        <f t="shared" si="12"/>
        <v>#REF!</v>
      </c>
      <c r="Y50" s="148" t="e">
        <f t="shared" si="12"/>
        <v>#REF!</v>
      </c>
    </row>
    <row r="51" spans="1:25" ht="12.75">
      <c r="A51" s="3"/>
      <c r="B51" s="61" t="s">
        <v>157</v>
      </c>
      <c r="C51" s="26" t="e">
        <f>#REF!</f>
        <v>#REF!</v>
      </c>
      <c r="D51" s="57" t="e">
        <f>#REF!</f>
        <v>#REF!</v>
      </c>
      <c r="E51" s="55" t="e">
        <f>#REF!</f>
        <v>#REF!</v>
      </c>
      <c r="F51" s="132" t="e">
        <f t="shared" si="22"/>
        <v>#REF!</v>
      </c>
      <c r="G51" s="140" t="s">
        <v>236</v>
      </c>
      <c r="H51" s="141">
        <v>2.2</v>
      </c>
      <c r="I51" s="141">
        <v>2</v>
      </c>
      <c r="J51" s="141">
        <v>0.01</v>
      </c>
      <c r="K51" s="141">
        <v>0</v>
      </c>
      <c r="L51" s="141">
        <v>0</v>
      </c>
      <c r="M51" s="142">
        <v>2.3</v>
      </c>
      <c r="N51" s="163" t="e">
        <f t="shared" si="5"/>
        <v>#REF!</v>
      </c>
      <c r="O51" s="147" t="e">
        <f t="shared" si="6"/>
        <v>#REF!</v>
      </c>
      <c r="P51" s="147" t="e">
        <f t="shared" si="7"/>
        <v>#REF!</v>
      </c>
      <c r="Q51" s="144" t="e">
        <f t="shared" si="23"/>
        <v>#REF!</v>
      </c>
      <c r="R51" s="145" t="e">
        <f t="shared" si="23"/>
        <v>#REF!</v>
      </c>
      <c r="S51" s="146" t="e">
        <f>F51*(H51^2+I51^2)/8</f>
        <v>#REF!</v>
      </c>
      <c r="T51" s="147" t="e">
        <f t="shared" si="24"/>
        <v>#REF!</v>
      </c>
      <c r="U51" s="147" t="e">
        <f t="shared" si="25"/>
        <v>#REF!</v>
      </c>
      <c r="V51" s="148" t="e">
        <f t="shared" si="26"/>
        <v>#REF!</v>
      </c>
      <c r="W51" s="147" t="e">
        <f t="shared" si="12"/>
        <v>#REF!</v>
      </c>
      <c r="X51" s="147" t="e">
        <f t="shared" si="12"/>
        <v>#REF!</v>
      </c>
      <c r="Y51" s="148" t="e">
        <f t="shared" si="12"/>
        <v>#REF!</v>
      </c>
    </row>
    <row r="52" spans="1:25" ht="12.75">
      <c r="A52" s="3"/>
      <c r="B52" s="61" t="s">
        <v>165</v>
      </c>
      <c r="C52" s="26" t="e">
        <f>#REF!</f>
        <v>#REF!</v>
      </c>
      <c r="D52" s="57" t="e">
        <f>#REF!</f>
        <v>#REF!</v>
      </c>
      <c r="E52" s="55" t="e">
        <f>#REF!</f>
        <v>#REF!</v>
      </c>
      <c r="F52" s="132" t="e">
        <f t="shared" si="22"/>
        <v>#REF!</v>
      </c>
      <c r="G52" s="140" t="s">
        <v>236</v>
      </c>
      <c r="H52" s="141">
        <v>0.7</v>
      </c>
      <c r="I52" s="141">
        <v>0.4</v>
      </c>
      <c r="J52" s="141">
        <v>1.4</v>
      </c>
      <c r="K52" s="141">
        <v>0</v>
      </c>
      <c r="L52" s="141">
        <v>0</v>
      </c>
      <c r="M52" s="142">
        <v>2.5</v>
      </c>
      <c r="N52" s="163" t="e">
        <f t="shared" si="5"/>
        <v>#REF!</v>
      </c>
      <c r="O52" s="147" t="e">
        <f t="shared" si="6"/>
        <v>#REF!</v>
      </c>
      <c r="P52" s="147" t="e">
        <f t="shared" si="7"/>
        <v>#REF!</v>
      </c>
      <c r="Q52" s="144" t="e">
        <f t="shared" si="23"/>
        <v>#REF!</v>
      </c>
      <c r="R52" s="145" t="e">
        <f t="shared" si="23"/>
        <v>#REF!</v>
      </c>
      <c r="S52" s="146" t="e">
        <f>F52*(H52^2+I52^2)/8</f>
        <v>#REF!</v>
      </c>
      <c r="T52" s="147" t="e">
        <f t="shared" si="24"/>
        <v>#REF!</v>
      </c>
      <c r="U52" s="147" t="e">
        <f t="shared" si="25"/>
        <v>#REF!</v>
      </c>
      <c r="V52" s="148" t="e">
        <f t="shared" si="26"/>
        <v>#REF!</v>
      </c>
      <c r="W52" s="147" t="e">
        <f t="shared" si="12"/>
        <v>#REF!</v>
      </c>
      <c r="X52" s="147" t="e">
        <f t="shared" si="12"/>
        <v>#REF!</v>
      </c>
      <c r="Y52" s="148" t="e">
        <f t="shared" si="12"/>
        <v>#REF!</v>
      </c>
    </row>
    <row r="53" spans="1:25" ht="12.75">
      <c r="A53" s="3"/>
      <c r="B53" s="61" t="s">
        <v>158</v>
      </c>
      <c r="C53" s="26">
        <f>Instrument!H73</f>
        <v>1</v>
      </c>
      <c r="D53" s="57">
        <f>Instrument!I73</f>
        <v>19.59</v>
      </c>
      <c r="E53" s="55">
        <f>Instrument!K73</f>
        <v>0.2</v>
      </c>
      <c r="F53" s="132">
        <f t="shared" si="22"/>
        <v>23.508</v>
      </c>
      <c r="G53" s="140" t="s">
        <v>234</v>
      </c>
      <c r="H53" s="141">
        <v>1.4</v>
      </c>
      <c r="I53" s="141">
        <v>1</v>
      </c>
      <c r="J53" s="141">
        <v>2.2</v>
      </c>
      <c r="K53" s="141">
        <v>0</v>
      </c>
      <c r="L53" s="141">
        <v>0</v>
      </c>
      <c r="M53" s="142">
        <v>1.29</v>
      </c>
      <c r="N53" s="163">
        <f t="shared" si="5"/>
        <v>0</v>
      </c>
      <c r="O53" s="147">
        <f t="shared" si="6"/>
        <v>0</v>
      </c>
      <c r="P53" s="147">
        <f t="shared" si="7"/>
        <v>30.32532</v>
      </c>
      <c r="Q53" s="144">
        <f>F53*(H53^2+I53^2)/8</f>
        <v>8.69796</v>
      </c>
      <c r="R53" s="145">
        <f>$F53*(($H53^2+$I53^2)/16+$J53^2/12)</f>
        <v>13.830540000000001</v>
      </c>
      <c r="S53" s="146">
        <f>$F53*(($H53^2+$I53^2)/16+$J53^2/12)</f>
        <v>13.830540000000001</v>
      </c>
      <c r="T53" s="147" t="e">
        <f t="shared" si="24"/>
        <v>#REF!</v>
      </c>
      <c r="U53" s="147" t="e">
        <f t="shared" si="25"/>
        <v>#REF!</v>
      </c>
      <c r="V53" s="148" t="e">
        <f t="shared" si="26"/>
        <v>#REF!</v>
      </c>
      <c r="W53" s="147" t="e">
        <f t="shared" si="12"/>
        <v>#REF!</v>
      </c>
      <c r="X53" s="147" t="e">
        <f t="shared" si="12"/>
        <v>#REF!</v>
      </c>
      <c r="Y53" s="148" t="e">
        <f t="shared" si="12"/>
        <v>#REF!</v>
      </c>
    </row>
    <row r="54" spans="1:25" ht="13.5" thickBot="1">
      <c r="A54" s="3"/>
      <c r="B54" s="79" t="s">
        <v>160</v>
      </c>
      <c r="C54" s="26">
        <f>Instrument!H75</f>
        <v>3</v>
      </c>
      <c r="D54" s="57">
        <f>Instrument!I75</f>
        <v>7</v>
      </c>
      <c r="E54" s="55">
        <f>Instrument!K75</f>
        <v>0.2</v>
      </c>
      <c r="F54" s="132">
        <f t="shared" si="22"/>
        <v>25.2</v>
      </c>
      <c r="G54" s="140" t="s">
        <v>236</v>
      </c>
      <c r="H54" s="141">
        <v>2.3</v>
      </c>
      <c r="I54" s="141">
        <v>1.8</v>
      </c>
      <c r="J54" s="141">
        <v>0.8</v>
      </c>
      <c r="K54" s="141">
        <v>0</v>
      </c>
      <c r="L54" s="141">
        <v>0</v>
      </c>
      <c r="M54" s="142">
        <v>1.4</v>
      </c>
      <c r="N54" s="163">
        <f t="shared" si="5"/>
        <v>0</v>
      </c>
      <c r="O54" s="147">
        <f t="shared" si="6"/>
        <v>0</v>
      </c>
      <c r="P54" s="147">
        <f t="shared" si="7"/>
        <v>35.279999999999994</v>
      </c>
      <c r="Q54" s="144">
        <f t="shared" si="23"/>
        <v>9.675749999999999</v>
      </c>
      <c r="R54" s="145">
        <f t="shared" si="23"/>
        <v>9.675749999999999</v>
      </c>
      <c r="S54" s="146">
        <f>F54*(H54^2+I54^2)/8</f>
        <v>26.8695</v>
      </c>
      <c r="T54" s="147" t="e">
        <f t="shared" si="24"/>
        <v>#REF!</v>
      </c>
      <c r="U54" s="147" t="e">
        <f t="shared" si="25"/>
        <v>#REF!</v>
      </c>
      <c r="V54" s="148" t="e">
        <f t="shared" si="26"/>
        <v>#REF!</v>
      </c>
      <c r="W54" s="147" t="e">
        <f t="shared" si="12"/>
        <v>#REF!</v>
      </c>
      <c r="X54" s="147" t="e">
        <f t="shared" si="12"/>
        <v>#REF!</v>
      </c>
      <c r="Y54" s="148" t="e">
        <f t="shared" si="12"/>
        <v>#REF!</v>
      </c>
    </row>
    <row r="55" spans="1:25" ht="13.5" thickBot="1">
      <c r="A55" s="80" t="s">
        <v>195</v>
      </c>
      <c r="B55" s="78"/>
      <c r="C55" s="168"/>
      <c r="D55" s="169"/>
      <c r="E55" s="13"/>
      <c r="F55" s="170"/>
      <c r="G55" s="140"/>
      <c r="H55" s="141"/>
      <c r="I55" s="141"/>
      <c r="J55" s="141"/>
      <c r="K55" s="141"/>
      <c r="L55" s="141"/>
      <c r="M55" s="142"/>
      <c r="N55" s="163"/>
      <c r="O55" s="147"/>
      <c r="P55" s="147"/>
      <c r="Q55" s="144"/>
      <c r="R55" s="145"/>
      <c r="S55" s="146"/>
      <c r="T55" s="147"/>
      <c r="U55" s="147"/>
      <c r="V55" s="148"/>
      <c r="W55" s="147"/>
      <c r="X55" s="147"/>
      <c r="Y55" s="148"/>
    </row>
    <row r="56" spans="2:25" ht="12.75">
      <c r="B56" s="63" t="s">
        <v>194</v>
      </c>
      <c r="C56" s="90">
        <f>Instrument!H82</f>
        <v>1</v>
      </c>
      <c r="D56" s="171">
        <f>Instrument!I82</f>
        <v>150</v>
      </c>
      <c r="E56" s="55">
        <f>Instrument!K82</f>
        <v>0.25</v>
      </c>
      <c r="F56" s="132">
        <f>C56*D56*(1+E56)</f>
        <v>187.5</v>
      </c>
      <c r="G56" s="140" t="s">
        <v>236</v>
      </c>
      <c r="H56" s="141">
        <v>2.5</v>
      </c>
      <c r="I56" s="141">
        <v>2.2</v>
      </c>
      <c r="J56" s="141">
        <v>4.5</v>
      </c>
      <c r="K56" s="141">
        <v>0</v>
      </c>
      <c r="L56" s="141">
        <v>0</v>
      </c>
      <c r="M56" s="142">
        <v>3.7</v>
      </c>
      <c r="N56" s="163">
        <f t="shared" si="5"/>
        <v>0</v>
      </c>
      <c r="O56" s="147">
        <f t="shared" si="6"/>
        <v>0</v>
      </c>
      <c r="P56" s="147">
        <f t="shared" si="7"/>
        <v>693.75</v>
      </c>
      <c r="Q56" s="144">
        <f t="shared" si="23"/>
        <v>389.6484375</v>
      </c>
      <c r="R56" s="145">
        <f t="shared" si="23"/>
        <v>389.6484375</v>
      </c>
      <c r="S56" s="146">
        <f>F56*(H56^2+I56^2)/8</f>
        <v>259.921875</v>
      </c>
      <c r="T56" s="147" t="e">
        <f>$F56*((L56-L$69)^2+(M56-M$69)^2)</f>
        <v>#REF!</v>
      </c>
      <c r="U56" s="147" t="e">
        <f>$F56*((K56-K$69)^2+(M56-M$69)^2)</f>
        <v>#REF!</v>
      </c>
      <c r="V56" s="148" t="e">
        <f>$F56*((K56-K$69)^2+(L56-L$69)^2)</f>
        <v>#REF!</v>
      </c>
      <c r="W56" s="93" t="e">
        <f t="shared" si="12"/>
        <v>#REF!</v>
      </c>
      <c r="X56" s="93" t="e">
        <f t="shared" si="12"/>
        <v>#REF!</v>
      </c>
      <c r="Y56" s="148" t="e">
        <f t="shared" si="12"/>
        <v>#REF!</v>
      </c>
    </row>
    <row r="57" spans="2:25" ht="12.75">
      <c r="B57" s="61" t="s">
        <v>170</v>
      </c>
      <c r="C57" s="90">
        <f>Spacecraft!E26</f>
        <v>12</v>
      </c>
      <c r="D57" s="171">
        <f>Spacecraft!F26</f>
        <v>2.05</v>
      </c>
      <c r="E57" s="55">
        <f>Spacecraft!H26</f>
        <v>0.25</v>
      </c>
      <c r="F57" s="132">
        <f>C57*D57*(1+E57)</f>
        <v>30.749999999999996</v>
      </c>
      <c r="G57" s="140" t="s">
        <v>234</v>
      </c>
      <c r="H57" s="141">
        <v>1.5</v>
      </c>
      <c r="I57" s="141">
        <v>0</v>
      </c>
      <c r="J57" s="141">
        <v>0.15</v>
      </c>
      <c r="K57" s="167">
        <v>1.2</v>
      </c>
      <c r="L57" s="141">
        <v>0</v>
      </c>
      <c r="M57" s="142">
        <v>3.7</v>
      </c>
      <c r="N57" s="163">
        <f t="shared" si="5"/>
        <v>36.89999999999999</v>
      </c>
      <c r="O57" s="147">
        <f t="shared" si="6"/>
        <v>0</v>
      </c>
      <c r="P57" s="147">
        <f t="shared" si="7"/>
        <v>113.77499999999999</v>
      </c>
      <c r="Q57" s="144">
        <f>F57*(H57^2+I57^2)/8</f>
        <v>8.648437499999998</v>
      </c>
      <c r="R57" s="145">
        <f>$F57*(($H57^2+$I57^2)/16+$J57^2/12)</f>
        <v>4.381874999999999</v>
      </c>
      <c r="S57" s="146">
        <f>$F57*(($H57^2+$I57^2)/16+$J57^2/12)</f>
        <v>4.381874999999999</v>
      </c>
      <c r="T57" s="147" t="e">
        <f>$F57*((L57-L$69)^2+(M57-M$69)^2)</f>
        <v>#REF!</v>
      </c>
      <c r="U57" s="147" t="e">
        <f>$F57*((K57-K$69)^2+(M57-M$69)^2)</f>
        <v>#REF!</v>
      </c>
      <c r="V57" s="148" t="e">
        <f>$F57*((K57-K$69)^2+(L57-L$69)^2)</f>
        <v>#REF!</v>
      </c>
      <c r="W57" s="147" t="e">
        <f t="shared" si="12"/>
        <v>#REF!</v>
      </c>
      <c r="X57" s="147" t="e">
        <f t="shared" si="12"/>
        <v>#REF!</v>
      </c>
      <c r="Y57" s="148" t="e">
        <f t="shared" si="12"/>
        <v>#REF!</v>
      </c>
    </row>
    <row r="58" spans="2:25" ht="13.5" thickBot="1">
      <c r="B58" s="79" t="s">
        <v>171</v>
      </c>
      <c r="C58" s="90" t="e">
        <f>#REF!</f>
        <v>#REF!</v>
      </c>
      <c r="D58" s="171" t="e">
        <f>#REF!</f>
        <v>#REF!</v>
      </c>
      <c r="E58" s="55" t="e">
        <f>#REF!</f>
        <v>#REF!</v>
      </c>
      <c r="F58" s="132" t="e">
        <f>C58*D58*(1+E58)</f>
        <v>#REF!</v>
      </c>
      <c r="G58" s="140" t="s">
        <v>234</v>
      </c>
      <c r="H58" s="141">
        <v>0.75</v>
      </c>
      <c r="I58" s="141">
        <v>0</v>
      </c>
      <c r="J58" s="141">
        <v>0.15</v>
      </c>
      <c r="K58" s="167">
        <v>-1.2</v>
      </c>
      <c r="L58" s="141">
        <v>0</v>
      </c>
      <c r="M58" s="142">
        <v>3.7</v>
      </c>
      <c r="N58" s="163" t="e">
        <f t="shared" si="5"/>
        <v>#REF!</v>
      </c>
      <c r="O58" s="147" t="e">
        <f t="shared" si="6"/>
        <v>#REF!</v>
      </c>
      <c r="P58" s="147" t="e">
        <f t="shared" si="7"/>
        <v>#REF!</v>
      </c>
      <c r="Q58" s="144" t="e">
        <f>F58*(H58^2+I58^2)/8</f>
        <v>#REF!</v>
      </c>
      <c r="R58" s="145" t="e">
        <f>$F58*(($H58^2+$I58^2)/16+$J58^2/12)</f>
        <v>#REF!</v>
      </c>
      <c r="S58" s="146" t="e">
        <f>$F58*(($H58^2+$I58^2)/16+$J58^2/12)</f>
        <v>#REF!</v>
      </c>
      <c r="T58" s="147" t="e">
        <f>$F58*((L58-L$69)^2+(M58-M$69)^2)</f>
        <v>#REF!</v>
      </c>
      <c r="U58" s="147" t="e">
        <f>$F58*((K58-K$69)^2+(M58-M$69)^2)</f>
        <v>#REF!</v>
      </c>
      <c r="V58" s="148" t="e">
        <f>$F58*((K58-K$69)^2+(L58-L$69)^2)</f>
        <v>#REF!</v>
      </c>
      <c r="W58" s="147" t="e">
        <f t="shared" si="12"/>
        <v>#REF!</v>
      </c>
      <c r="X58" s="147" t="e">
        <f t="shared" si="12"/>
        <v>#REF!</v>
      </c>
      <c r="Y58" s="148" t="e">
        <f t="shared" si="12"/>
        <v>#REF!</v>
      </c>
    </row>
    <row r="59" spans="1:25" ht="13.5" thickBot="1">
      <c r="A59" s="80" t="s">
        <v>169</v>
      </c>
      <c r="B59" s="78"/>
      <c r="C59" s="172"/>
      <c r="D59" s="169"/>
      <c r="E59" s="13"/>
      <c r="F59" s="170"/>
      <c r="G59" s="140"/>
      <c r="H59" s="141"/>
      <c r="I59" s="141"/>
      <c r="J59" s="141"/>
      <c r="K59" s="141"/>
      <c r="L59" s="141"/>
      <c r="M59" s="142"/>
      <c r="N59" s="163"/>
      <c r="O59" s="147"/>
      <c r="P59" s="147"/>
      <c r="Q59" s="144"/>
      <c r="R59" s="145"/>
      <c r="S59" s="146"/>
      <c r="T59" s="147"/>
      <c r="U59" s="147"/>
      <c r="V59" s="148"/>
      <c r="W59" s="147"/>
      <c r="X59" s="147"/>
      <c r="Y59" s="148"/>
    </row>
    <row r="60" spans="2:25" ht="12.75">
      <c r="B60" s="83" t="s">
        <v>189</v>
      </c>
      <c r="C60" s="90">
        <f>Instrument!H101</f>
        <v>1</v>
      </c>
      <c r="D60" s="171">
        <f>Instrument!I101</f>
        <v>15</v>
      </c>
      <c r="E60" s="55">
        <f>Instrument!K101</f>
        <v>0.25</v>
      </c>
      <c r="F60" s="132">
        <f aca="true" t="shared" si="27" ref="F60:F66">C60*D60*(1+E60)</f>
        <v>18.75</v>
      </c>
      <c r="G60" s="140" t="s">
        <v>236</v>
      </c>
      <c r="H60" s="141">
        <v>2.5</v>
      </c>
      <c r="I60" s="141">
        <v>0</v>
      </c>
      <c r="J60" s="141">
        <v>1.7</v>
      </c>
      <c r="K60" s="141">
        <v>0</v>
      </c>
      <c r="L60" s="141">
        <v>0</v>
      </c>
      <c r="M60" s="142">
        <v>6</v>
      </c>
      <c r="N60" s="163">
        <f t="shared" si="5"/>
        <v>0</v>
      </c>
      <c r="O60" s="147">
        <f t="shared" si="6"/>
        <v>0</v>
      </c>
      <c r="P60" s="147">
        <f t="shared" si="7"/>
        <v>112.5</v>
      </c>
      <c r="Q60" s="144">
        <f t="shared" si="23"/>
        <v>11.83984375</v>
      </c>
      <c r="R60" s="145">
        <f t="shared" si="23"/>
        <v>11.83984375</v>
      </c>
      <c r="S60" s="146">
        <f aca="true" t="shared" si="28" ref="S60:S66">F60*(H60^2+I60^2)/8</f>
        <v>14.6484375</v>
      </c>
      <c r="T60" s="147" t="e">
        <f aca="true" t="shared" si="29" ref="T60:T66">$F60*((L60-L$69)^2+(M60-M$69)^2)</f>
        <v>#REF!</v>
      </c>
      <c r="U60" s="147" t="e">
        <f aca="true" t="shared" si="30" ref="U60:U66">$F60*((K60-K$69)^2+(M60-M$69)^2)</f>
        <v>#REF!</v>
      </c>
      <c r="V60" s="148" t="e">
        <f aca="true" t="shared" si="31" ref="V60:V66">$F60*((K60-K$69)^2+(L60-L$69)^2)</f>
        <v>#REF!</v>
      </c>
      <c r="W60" s="147" t="e">
        <f t="shared" si="12"/>
        <v>#REF!</v>
      </c>
      <c r="X60" s="147" t="e">
        <f t="shared" si="12"/>
        <v>#REF!</v>
      </c>
      <c r="Y60" s="148" t="e">
        <f t="shared" si="12"/>
        <v>#REF!</v>
      </c>
    </row>
    <row r="61" spans="2:25" ht="12.75">
      <c r="B61" s="61" t="s">
        <v>190</v>
      </c>
      <c r="C61" s="90" t="e">
        <f>#REF!</f>
        <v>#REF!</v>
      </c>
      <c r="D61" s="171" t="e">
        <f>#REF!</f>
        <v>#REF!</v>
      </c>
      <c r="E61" s="55" t="e">
        <f>#REF!</f>
        <v>#REF!</v>
      </c>
      <c r="F61" s="132" t="e">
        <f t="shared" si="27"/>
        <v>#REF!</v>
      </c>
      <c r="G61" s="140" t="s">
        <v>236</v>
      </c>
      <c r="H61" s="141">
        <v>2.55</v>
      </c>
      <c r="I61" s="141">
        <v>2.45</v>
      </c>
      <c r="J61" s="141">
        <v>0.02</v>
      </c>
      <c r="K61" s="141">
        <v>0</v>
      </c>
      <c r="L61" s="141">
        <v>0</v>
      </c>
      <c r="M61" s="142">
        <v>6</v>
      </c>
      <c r="N61" s="163" t="e">
        <f t="shared" si="5"/>
        <v>#REF!</v>
      </c>
      <c r="O61" s="147" t="e">
        <f t="shared" si="6"/>
        <v>#REF!</v>
      </c>
      <c r="P61" s="147" t="e">
        <f t="shared" si="7"/>
        <v>#REF!</v>
      </c>
      <c r="Q61" s="144" t="e">
        <f t="shared" si="23"/>
        <v>#REF!</v>
      </c>
      <c r="R61" s="145" t="e">
        <f t="shared" si="23"/>
        <v>#REF!</v>
      </c>
      <c r="S61" s="146" t="e">
        <f t="shared" si="28"/>
        <v>#REF!</v>
      </c>
      <c r="T61" s="147" t="e">
        <f t="shared" si="29"/>
        <v>#REF!</v>
      </c>
      <c r="U61" s="147" t="e">
        <f t="shared" si="30"/>
        <v>#REF!</v>
      </c>
      <c r="V61" s="148" t="e">
        <f t="shared" si="31"/>
        <v>#REF!</v>
      </c>
      <c r="W61" s="147" t="e">
        <f t="shared" si="12"/>
        <v>#REF!</v>
      </c>
      <c r="X61" s="147" t="e">
        <f t="shared" si="12"/>
        <v>#REF!</v>
      </c>
      <c r="Y61" s="148" t="e">
        <f t="shared" si="12"/>
        <v>#REF!</v>
      </c>
    </row>
    <row r="62" spans="2:25" ht="13.5" thickBot="1">
      <c r="B62" s="83" t="s">
        <v>191</v>
      </c>
      <c r="C62" s="90">
        <f>Instrument!H102</f>
        <v>2</v>
      </c>
      <c r="D62" s="171">
        <f>Instrument!I102</f>
        <v>2</v>
      </c>
      <c r="E62" s="55">
        <f>Instrument!K102</f>
        <v>0.2</v>
      </c>
      <c r="F62" s="132">
        <f t="shared" si="27"/>
        <v>4.8</v>
      </c>
      <c r="G62" s="140" t="s">
        <v>236</v>
      </c>
      <c r="H62" s="141">
        <v>2.55</v>
      </c>
      <c r="I62" s="141">
        <v>2.45</v>
      </c>
      <c r="J62" s="141">
        <v>0.02</v>
      </c>
      <c r="K62" s="141">
        <v>0</v>
      </c>
      <c r="L62" s="141">
        <v>0</v>
      </c>
      <c r="M62" s="142">
        <v>6</v>
      </c>
      <c r="N62" s="163">
        <f t="shared" si="5"/>
        <v>0</v>
      </c>
      <c r="O62" s="147">
        <f t="shared" si="6"/>
        <v>0</v>
      </c>
      <c r="P62" s="147">
        <f t="shared" si="7"/>
        <v>28.799999999999997</v>
      </c>
      <c r="Q62" s="144">
        <f t="shared" si="23"/>
        <v>1.9509099999999997</v>
      </c>
      <c r="R62" s="145">
        <f t="shared" si="23"/>
        <v>1.9509099999999997</v>
      </c>
      <c r="S62" s="146">
        <f t="shared" si="28"/>
        <v>7.503</v>
      </c>
      <c r="T62" s="147" t="e">
        <f t="shared" si="29"/>
        <v>#REF!</v>
      </c>
      <c r="U62" s="147" t="e">
        <f t="shared" si="30"/>
        <v>#REF!</v>
      </c>
      <c r="V62" s="148" t="e">
        <f t="shared" si="31"/>
        <v>#REF!</v>
      </c>
      <c r="W62" s="147" t="e">
        <f t="shared" si="12"/>
        <v>#REF!</v>
      </c>
      <c r="X62" s="147" t="e">
        <f t="shared" si="12"/>
        <v>#REF!</v>
      </c>
      <c r="Y62" s="148" t="e">
        <f t="shared" si="12"/>
        <v>#REF!</v>
      </c>
    </row>
    <row r="63" spans="1:25" ht="13.5" thickBot="1">
      <c r="A63" s="80" t="s">
        <v>237</v>
      </c>
      <c r="B63" s="78"/>
      <c r="C63" s="44">
        <v>1</v>
      </c>
      <c r="D63" s="171">
        <f>Spacecraft!G5</f>
        <v>29</v>
      </c>
      <c r="E63" s="54">
        <f>Spacecraft!H5</f>
        <v>0.25</v>
      </c>
      <c r="F63" s="132">
        <f t="shared" si="27"/>
        <v>36.25</v>
      </c>
      <c r="G63" s="140" t="s">
        <v>236</v>
      </c>
      <c r="H63" s="141">
        <v>2.5</v>
      </c>
      <c r="I63" s="141">
        <v>0</v>
      </c>
      <c r="J63" s="141">
        <v>0.8</v>
      </c>
      <c r="K63" s="141">
        <v>0</v>
      </c>
      <c r="L63" s="141">
        <v>0</v>
      </c>
      <c r="M63" s="142">
        <v>0.4</v>
      </c>
      <c r="N63" s="163">
        <f t="shared" si="5"/>
        <v>0</v>
      </c>
      <c r="O63" s="147">
        <f t="shared" si="6"/>
        <v>0</v>
      </c>
      <c r="P63" s="147">
        <f t="shared" si="7"/>
        <v>14.5</v>
      </c>
      <c r="Q63" s="144">
        <f t="shared" si="23"/>
        <v>16.093489583333334</v>
      </c>
      <c r="R63" s="145">
        <f t="shared" si="23"/>
        <v>16.093489583333334</v>
      </c>
      <c r="S63" s="146">
        <f t="shared" si="28"/>
        <v>28.3203125</v>
      </c>
      <c r="T63" s="147" t="e">
        <f t="shared" si="29"/>
        <v>#REF!</v>
      </c>
      <c r="U63" s="147" t="e">
        <f t="shared" si="30"/>
        <v>#REF!</v>
      </c>
      <c r="V63" s="148" t="e">
        <f t="shared" si="31"/>
        <v>#REF!</v>
      </c>
      <c r="W63" s="147" t="e">
        <f t="shared" si="12"/>
        <v>#REF!</v>
      </c>
      <c r="X63" s="147" t="e">
        <f t="shared" si="12"/>
        <v>#REF!</v>
      </c>
      <c r="Y63" s="148" t="e">
        <f t="shared" si="12"/>
        <v>#REF!</v>
      </c>
    </row>
    <row r="64" spans="1:25" ht="13.5" thickBot="1">
      <c r="A64" s="173" t="s">
        <v>238</v>
      </c>
      <c r="B64" s="174"/>
      <c r="C64" s="44">
        <v>1</v>
      </c>
      <c r="D64" s="171" t="e">
        <f>Spacecraft!#REF!</f>
        <v>#REF!</v>
      </c>
      <c r="E64" s="175" t="e">
        <f>Spacecraft!#REF!</f>
        <v>#REF!</v>
      </c>
      <c r="F64" s="132" t="e">
        <f t="shared" si="27"/>
        <v>#REF!</v>
      </c>
      <c r="G64" s="140" t="s">
        <v>236</v>
      </c>
      <c r="H64" s="141">
        <v>2.4</v>
      </c>
      <c r="I64" s="141">
        <v>0.5</v>
      </c>
      <c r="J64" s="141">
        <v>0.6</v>
      </c>
      <c r="K64" s="167">
        <v>-0.2</v>
      </c>
      <c r="L64" s="141">
        <v>0</v>
      </c>
      <c r="M64" s="142">
        <v>0.4</v>
      </c>
      <c r="N64" s="163" t="e">
        <f t="shared" si="5"/>
        <v>#REF!</v>
      </c>
      <c r="O64" s="147" t="e">
        <f t="shared" si="6"/>
        <v>#REF!</v>
      </c>
      <c r="P64" s="147" t="e">
        <f t="shared" si="7"/>
        <v>#REF!</v>
      </c>
      <c r="Q64" s="144" t="e">
        <f t="shared" si="23"/>
        <v>#REF!</v>
      </c>
      <c r="R64" s="145" t="e">
        <f t="shared" si="23"/>
        <v>#REF!</v>
      </c>
      <c r="S64" s="146" t="e">
        <f t="shared" si="28"/>
        <v>#REF!</v>
      </c>
      <c r="T64" s="147" t="e">
        <f t="shared" si="29"/>
        <v>#REF!</v>
      </c>
      <c r="U64" s="147" t="e">
        <f t="shared" si="30"/>
        <v>#REF!</v>
      </c>
      <c r="V64" s="148" t="e">
        <f t="shared" si="31"/>
        <v>#REF!</v>
      </c>
      <c r="W64" s="147" t="e">
        <f t="shared" si="12"/>
        <v>#REF!</v>
      </c>
      <c r="X64" s="147" t="e">
        <f t="shared" si="12"/>
        <v>#REF!</v>
      </c>
      <c r="Y64" s="148" t="e">
        <f t="shared" si="12"/>
        <v>#REF!</v>
      </c>
    </row>
    <row r="65" spans="2:25" ht="12.75">
      <c r="B65" s="59" t="s">
        <v>173</v>
      </c>
      <c r="C65" s="5">
        <v>1</v>
      </c>
      <c r="D65" s="171" t="e">
        <f>Spacecraft!#REF!</f>
        <v>#REF!</v>
      </c>
      <c r="E65" s="54" t="e">
        <f>Spacecraft!#REF!</f>
        <v>#REF!</v>
      </c>
      <c r="F65" s="132" t="e">
        <f t="shared" si="27"/>
        <v>#REF!</v>
      </c>
      <c r="G65" s="140" t="s">
        <v>236</v>
      </c>
      <c r="H65" s="141">
        <v>2.5</v>
      </c>
      <c r="I65" s="141">
        <v>1.5</v>
      </c>
      <c r="J65" s="141">
        <v>0.5</v>
      </c>
      <c r="K65" s="141">
        <v>0</v>
      </c>
      <c r="L65" s="141">
        <v>0</v>
      </c>
      <c r="M65" s="142">
        <v>0.3</v>
      </c>
      <c r="N65" s="163" t="e">
        <f t="shared" si="5"/>
        <v>#REF!</v>
      </c>
      <c r="O65" s="147" t="e">
        <f t="shared" si="6"/>
        <v>#REF!</v>
      </c>
      <c r="P65" s="147" t="e">
        <f t="shared" si="7"/>
        <v>#REF!</v>
      </c>
      <c r="Q65" s="144" t="e">
        <f t="shared" si="23"/>
        <v>#REF!</v>
      </c>
      <c r="R65" s="145" t="e">
        <f t="shared" si="23"/>
        <v>#REF!</v>
      </c>
      <c r="S65" s="146" t="e">
        <f t="shared" si="28"/>
        <v>#REF!</v>
      </c>
      <c r="T65" s="147" t="e">
        <f t="shared" si="29"/>
        <v>#REF!</v>
      </c>
      <c r="U65" s="147" t="e">
        <f t="shared" si="30"/>
        <v>#REF!</v>
      </c>
      <c r="V65" s="148" t="e">
        <f t="shared" si="31"/>
        <v>#REF!</v>
      </c>
      <c r="W65" s="147" t="e">
        <f t="shared" si="12"/>
        <v>#REF!</v>
      </c>
      <c r="X65" s="147" t="e">
        <f t="shared" si="12"/>
        <v>#REF!</v>
      </c>
      <c r="Y65" s="148" t="e">
        <f t="shared" si="12"/>
        <v>#REF!</v>
      </c>
    </row>
    <row r="66" spans="2:25" ht="13.5" thickBot="1">
      <c r="B66" s="12" t="s">
        <v>183</v>
      </c>
      <c r="C66" s="12">
        <v>1</v>
      </c>
      <c r="D66" s="171" t="e">
        <f>Spacecraft!#REF!</f>
        <v>#REF!</v>
      </c>
      <c r="E66" s="54" t="e">
        <f>Spacecraft!#REF!</f>
        <v>#REF!</v>
      </c>
      <c r="F66" s="132" t="e">
        <f t="shared" si="27"/>
        <v>#REF!</v>
      </c>
      <c r="G66" s="176" t="s">
        <v>236</v>
      </c>
      <c r="H66" s="177">
        <v>2.5</v>
      </c>
      <c r="I66" s="177">
        <v>1.5</v>
      </c>
      <c r="J66" s="177">
        <v>0.5</v>
      </c>
      <c r="K66" s="177">
        <v>0</v>
      </c>
      <c r="L66" s="177">
        <v>0</v>
      </c>
      <c r="M66" s="177">
        <v>0.3</v>
      </c>
      <c r="N66" s="178" t="e">
        <f t="shared" si="5"/>
        <v>#REF!</v>
      </c>
      <c r="O66" s="179" t="e">
        <f t="shared" si="6"/>
        <v>#REF!</v>
      </c>
      <c r="P66" s="179" t="e">
        <f t="shared" si="7"/>
        <v>#REF!</v>
      </c>
      <c r="Q66" s="180" t="e">
        <f t="shared" si="23"/>
        <v>#REF!</v>
      </c>
      <c r="R66" s="181" t="e">
        <f t="shared" si="23"/>
        <v>#REF!</v>
      </c>
      <c r="S66" s="182" t="e">
        <f t="shared" si="28"/>
        <v>#REF!</v>
      </c>
      <c r="T66" s="179" t="e">
        <f t="shared" si="29"/>
        <v>#REF!</v>
      </c>
      <c r="U66" s="179" t="e">
        <f t="shared" si="30"/>
        <v>#REF!</v>
      </c>
      <c r="V66" s="183" t="e">
        <f t="shared" si="31"/>
        <v>#REF!</v>
      </c>
      <c r="W66" s="179" t="e">
        <f t="shared" si="12"/>
        <v>#REF!</v>
      </c>
      <c r="X66" s="179" t="e">
        <f t="shared" si="12"/>
        <v>#REF!</v>
      </c>
      <c r="Y66" s="183" t="e">
        <f t="shared" si="12"/>
        <v>#REF!</v>
      </c>
    </row>
    <row r="67" spans="2:6" ht="13.5" thickBot="1">
      <c r="B67" s="9"/>
      <c r="C67" s="184"/>
      <c r="D67" s="84"/>
      <c r="E67" s="185"/>
      <c r="F67" s="186"/>
    </row>
    <row r="68" spans="6:25" ht="12.75">
      <c r="F68" s="210" t="s">
        <v>113</v>
      </c>
      <c r="K68" s="209" t="s">
        <v>248</v>
      </c>
      <c r="L68" s="188"/>
      <c r="M68" s="106"/>
      <c r="N68" s="188" t="s">
        <v>247</v>
      </c>
      <c r="O68" s="188"/>
      <c r="P68" s="106"/>
      <c r="W68" s="187" t="s">
        <v>246</v>
      </c>
      <c r="X68" s="188"/>
      <c r="Y68" s="106"/>
    </row>
    <row r="69" spans="6:25" ht="13.5" thickBot="1">
      <c r="F69" s="189" t="e">
        <f>SUM(F6:F67)</f>
        <v>#REF!</v>
      </c>
      <c r="K69" s="205" t="e">
        <f>N69/$F69</f>
        <v>#REF!</v>
      </c>
      <c r="L69" s="206" t="e">
        <f>O69/$F69</f>
        <v>#REF!</v>
      </c>
      <c r="M69" s="208" t="e">
        <f>P69/$F69</f>
        <v>#REF!</v>
      </c>
      <c r="N69" s="190" t="e">
        <f>SUM(N6:N67)</f>
        <v>#REF!</v>
      </c>
      <c r="O69" s="190" t="e">
        <f>SUM(O6:O67)</f>
        <v>#REF!</v>
      </c>
      <c r="P69" s="191" t="e">
        <f>SUM(P6:P67)</f>
        <v>#REF!</v>
      </c>
      <c r="W69" s="192" t="e">
        <f>SUM(W6:W67)</f>
        <v>#REF!</v>
      </c>
      <c r="X69" s="193" t="e">
        <f>SUM(X6:X67)</f>
        <v>#REF!</v>
      </c>
      <c r="Y69" s="194" t="e">
        <f>SUM(Y6:Y67)</f>
        <v>#REF!</v>
      </c>
    </row>
    <row r="70" spans="2:25" ht="13.5" thickBot="1">
      <c r="B70" s="2" t="s">
        <v>242</v>
      </c>
      <c r="F70" s="93"/>
      <c r="K70" s="195"/>
      <c r="L70" s="195"/>
      <c r="M70" s="195"/>
      <c r="N70" s="93"/>
      <c r="O70" s="93"/>
      <c r="P70" s="93"/>
      <c r="W70" s="93"/>
      <c r="X70" s="93"/>
      <c r="Y70" s="93"/>
    </row>
    <row r="71" spans="2:25" ht="13.5" thickBot="1">
      <c r="B71" s="196" t="s">
        <v>239</v>
      </c>
      <c r="C71" s="21"/>
      <c r="D71" s="147"/>
      <c r="E71" s="92"/>
      <c r="F71" s="197" t="e">
        <f>F69</f>
        <v>#REF!</v>
      </c>
      <c r="G71" s="198" t="s">
        <v>236</v>
      </c>
      <c r="H71" s="199">
        <v>2.5</v>
      </c>
      <c r="I71" s="200">
        <v>0</v>
      </c>
      <c r="J71" s="201">
        <v>6.5</v>
      </c>
      <c r="K71" s="141"/>
      <c r="L71" s="141"/>
      <c r="M71" s="141"/>
      <c r="N71" s="147"/>
      <c r="O71" s="147"/>
      <c r="P71" s="93"/>
      <c r="W71" s="202" t="e">
        <f>$F71*($H71^2/16+$J71^2/12)</f>
        <v>#REF!</v>
      </c>
      <c r="X71" s="203" t="e">
        <f>$F71*($H71^2/16+$J71^2/12)</f>
        <v>#REF!</v>
      </c>
      <c r="Y71" s="204" t="e">
        <f>F71*(H71^2+I71^2)/8</f>
        <v>#REF!</v>
      </c>
    </row>
  </sheetData>
  <mergeCells count="1">
    <mergeCell ref="D3:F3"/>
  </mergeCells>
  <hyperlinks>
    <hyperlink ref="T3" r:id="rId1" display="IXX@cg"/>
    <hyperlink ref="U3" r:id="rId2" display="IXX@cg"/>
  </hyperlinks>
  <printOptions/>
  <pageMargins left="0.75" right="0.75" top="1" bottom="1" header="0.5" footer="0.5"/>
  <pageSetup horizontalDpi="1200" verticalDpi="12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28.7109375" style="0" bestFit="1" customWidth="1"/>
  </cols>
  <sheetData>
    <row r="1" ht="12.75">
      <c r="A1" s="1" t="s">
        <v>78</v>
      </c>
    </row>
    <row r="2" ht="12.75">
      <c r="A2" s="1"/>
    </row>
    <row r="3" spans="2:4" ht="12.75">
      <c r="B3" t="s">
        <v>79</v>
      </c>
      <c r="C3" t="s">
        <v>67</v>
      </c>
      <c r="D3" t="s">
        <v>68</v>
      </c>
    </row>
    <row r="4" spans="1:4" ht="12.75">
      <c r="A4" s="1" t="s">
        <v>0</v>
      </c>
      <c r="B4" s="32">
        <v>240</v>
      </c>
      <c r="D4" s="32">
        <v>20</v>
      </c>
    </row>
    <row r="6" spans="1:2" ht="12.75">
      <c r="A6" s="1" t="s">
        <v>1</v>
      </c>
      <c r="B6" s="31">
        <v>240</v>
      </c>
    </row>
    <row r="7" ht="12.75">
      <c r="B7" s="31"/>
    </row>
    <row r="8" spans="1:2" ht="12.75">
      <c r="A8" s="1" t="s">
        <v>2</v>
      </c>
      <c r="B8" s="31">
        <v>240</v>
      </c>
    </row>
    <row r="10" spans="1:4" ht="12.75">
      <c r="A10" s="1" t="s">
        <v>5</v>
      </c>
      <c r="B10" s="32">
        <v>250</v>
      </c>
      <c r="D10" s="32">
        <v>450</v>
      </c>
    </row>
    <row r="12" ht="12.75">
      <c r="A12" t="s">
        <v>88</v>
      </c>
    </row>
    <row r="13" ht="12.75">
      <c r="A13" t="s">
        <v>87</v>
      </c>
    </row>
    <row r="15" ht="12.75">
      <c r="A15" t="s">
        <v>89</v>
      </c>
    </row>
    <row r="16" ht="12.75">
      <c r="A16" t="s">
        <v>103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7" max="7" width="12.28125" style="0" bestFit="1" customWidth="1"/>
    <col min="9" max="9" width="13.28125" style="0" bestFit="1" customWidth="1"/>
    <col min="10" max="10" width="23.7109375" style="0" bestFit="1" customWidth="1"/>
  </cols>
  <sheetData>
    <row r="1" ht="12.75">
      <c r="A1" t="s">
        <v>70</v>
      </c>
    </row>
    <row r="3" ht="12.75">
      <c r="A3" t="s">
        <v>104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101</v>
      </c>
    </row>
    <row r="16" ht="12.75">
      <c r="A16" t="s">
        <v>102</v>
      </c>
    </row>
    <row r="18" spans="5:11" ht="12.75">
      <c r="E18" s="1" t="s">
        <v>74</v>
      </c>
      <c r="F18" s="1" t="s">
        <v>75</v>
      </c>
      <c r="G18" s="1" t="s">
        <v>72</v>
      </c>
      <c r="H18" s="1" t="s">
        <v>54</v>
      </c>
      <c r="I18" s="1" t="s">
        <v>77</v>
      </c>
      <c r="J18" s="1" t="s">
        <v>73</v>
      </c>
      <c r="K18" s="1" t="s">
        <v>69</v>
      </c>
    </row>
    <row r="19" spans="1:11" ht="12.75">
      <c r="A19" t="s">
        <v>71</v>
      </c>
      <c r="E19" s="34">
        <v>12.5</v>
      </c>
      <c r="F19" s="35">
        <v>0.05</v>
      </c>
      <c r="G19" s="33">
        <f>3.14*E19^2*F19</f>
        <v>24.53125</v>
      </c>
      <c r="H19">
        <v>3</v>
      </c>
      <c r="I19" s="33">
        <f>G19*H19</f>
        <v>73.59375</v>
      </c>
      <c r="J19">
        <v>2.3</v>
      </c>
      <c r="K19" s="33">
        <f>I19*J19/1000</f>
        <v>0.169265625</v>
      </c>
    </row>
    <row r="20" spans="1:11" ht="12.75">
      <c r="A20" t="s">
        <v>76</v>
      </c>
      <c r="K20">
        <v>2</v>
      </c>
    </row>
    <row r="22" ht="12.75">
      <c r="A22" t="s">
        <v>105</v>
      </c>
    </row>
    <row r="23" ht="14.25" customHeight="1">
      <c r="A23" t="s">
        <v>106</v>
      </c>
    </row>
    <row r="24" ht="12.75">
      <c r="A24" t="s">
        <v>107</v>
      </c>
    </row>
    <row r="25" ht="12.75">
      <c r="A25" t="s">
        <v>108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C59" sqref="C59:I59"/>
    </sheetView>
  </sheetViews>
  <sheetFormatPr defaultColWidth="9.140625" defaultRowHeight="12.75"/>
  <cols>
    <col min="2" max="2" width="38.8515625" style="0" bestFit="1" customWidth="1"/>
    <col min="11" max="11" width="6.00390625" style="0" bestFit="1" customWidth="1"/>
    <col min="12" max="12" width="5.8515625" style="0" bestFit="1" customWidth="1"/>
    <col min="13" max="13" width="6.28125" style="0" bestFit="1" customWidth="1"/>
    <col min="14" max="14" width="7.28125" style="0" bestFit="1" customWidth="1"/>
    <col min="15" max="15" width="38.7109375" style="29" bestFit="1" customWidth="1"/>
  </cols>
  <sheetData>
    <row r="1" spans="2:15" ht="12.75">
      <c r="B1" s="5"/>
      <c r="C1" s="5"/>
      <c r="D1" s="5"/>
      <c r="E1" s="493" t="s">
        <v>109</v>
      </c>
      <c r="F1" s="490"/>
      <c r="G1" s="490"/>
      <c r="H1" s="490"/>
      <c r="I1" s="490"/>
      <c r="J1" s="491"/>
      <c r="O1"/>
    </row>
    <row r="2" spans="2:15" ht="12.75">
      <c r="B2" s="5"/>
      <c r="C2" s="5" t="s">
        <v>54</v>
      </c>
      <c r="D2" s="5" t="s">
        <v>56</v>
      </c>
      <c r="E2" s="5" t="s">
        <v>65</v>
      </c>
      <c r="F2" s="5" t="s">
        <v>64</v>
      </c>
      <c r="G2" s="5" t="s">
        <v>56</v>
      </c>
      <c r="H2" s="5" t="s">
        <v>112</v>
      </c>
      <c r="I2" s="5" t="s">
        <v>113</v>
      </c>
      <c r="O2"/>
    </row>
    <row r="3" spans="1:15" ht="12.75">
      <c r="A3" s="1" t="s">
        <v>4</v>
      </c>
      <c r="B3" s="5"/>
      <c r="C3" s="13"/>
      <c r="D3" s="13"/>
      <c r="E3" s="13"/>
      <c r="F3" s="14"/>
      <c r="G3" s="14"/>
      <c r="H3" s="14"/>
      <c r="I3" s="14"/>
      <c r="O3"/>
    </row>
    <row r="4" spans="1:15" ht="12.75">
      <c r="A4" s="1"/>
      <c r="B4" s="5"/>
      <c r="C4" s="13"/>
      <c r="D4" s="13"/>
      <c r="E4" s="13"/>
      <c r="F4" s="14"/>
      <c r="G4" s="14"/>
      <c r="H4" s="14"/>
      <c r="I4" s="14"/>
      <c r="O4"/>
    </row>
    <row r="5" spans="1:15" ht="12.75">
      <c r="A5" s="2" t="s">
        <v>21</v>
      </c>
      <c r="B5" s="5"/>
      <c r="C5" s="13"/>
      <c r="D5" s="13"/>
      <c r="E5" s="13"/>
      <c r="F5" s="13"/>
      <c r="G5" s="13"/>
      <c r="H5" s="13"/>
      <c r="I5" s="13"/>
      <c r="O5"/>
    </row>
    <row r="6" spans="1:15" ht="12.75">
      <c r="A6" s="2"/>
      <c r="B6" s="5" t="s">
        <v>22</v>
      </c>
      <c r="C6" s="5"/>
      <c r="D6" s="5"/>
      <c r="E6" s="5"/>
      <c r="F6" s="5"/>
      <c r="G6" s="5"/>
      <c r="H6" s="5"/>
      <c r="I6" s="5"/>
      <c r="O6"/>
    </row>
    <row r="7" spans="1:15" ht="12.75">
      <c r="A7" s="2"/>
      <c r="B7" s="5" t="s">
        <v>23</v>
      </c>
      <c r="C7" s="5">
        <v>4</v>
      </c>
      <c r="D7" s="5">
        <v>4</v>
      </c>
      <c r="E7" s="37">
        <v>15.5</v>
      </c>
      <c r="F7" s="37">
        <f>C7*E7</f>
        <v>62</v>
      </c>
      <c r="G7" s="37">
        <v>2</v>
      </c>
      <c r="H7" s="5"/>
      <c r="I7" s="5"/>
      <c r="O7"/>
    </row>
    <row r="8" spans="1:15" ht="12.75">
      <c r="A8" s="2"/>
      <c r="B8" s="5" t="s">
        <v>28</v>
      </c>
      <c r="C8" s="5">
        <v>2</v>
      </c>
      <c r="D8" s="5">
        <v>1</v>
      </c>
      <c r="E8" s="37">
        <v>7</v>
      </c>
      <c r="F8" s="37">
        <f>C8*E8</f>
        <v>14</v>
      </c>
      <c r="G8" s="37">
        <v>6</v>
      </c>
      <c r="H8" s="5"/>
      <c r="I8" s="5"/>
      <c r="O8"/>
    </row>
    <row r="9" spans="1:15" ht="12.75">
      <c r="A9" s="2"/>
      <c r="B9" s="5" t="s">
        <v>29</v>
      </c>
      <c r="C9" s="5">
        <v>2</v>
      </c>
      <c r="D9" s="5">
        <v>2</v>
      </c>
      <c r="E9" s="37">
        <v>8</v>
      </c>
      <c r="F9" s="37">
        <f>C9*E9</f>
        <v>16</v>
      </c>
      <c r="G9" s="37">
        <v>6</v>
      </c>
      <c r="H9" s="5"/>
      <c r="I9" s="5"/>
      <c r="O9"/>
    </row>
    <row r="10" spans="1:15" ht="12.75">
      <c r="A10" s="2"/>
      <c r="B10" s="5" t="s">
        <v>30</v>
      </c>
      <c r="C10" s="5">
        <v>2</v>
      </c>
      <c r="D10" s="5">
        <v>2</v>
      </c>
      <c r="E10" s="30"/>
      <c r="F10" s="30"/>
      <c r="G10" s="10"/>
      <c r="H10" s="5"/>
      <c r="I10" s="5"/>
      <c r="O10"/>
    </row>
    <row r="11" spans="1:15" ht="12.75">
      <c r="A11" s="2"/>
      <c r="B11" s="4" t="s">
        <v>39</v>
      </c>
      <c r="C11" s="4">
        <f>SUM(C6:C10)</f>
        <v>10</v>
      </c>
      <c r="D11" s="4">
        <f>SUM(D6:D10)</f>
        <v>9</v>
      </c>
      <c r="E11" s="4">
        <f>SUM(E6:E10)</f>
        <v>30.5</v>
      </c>
      <c r="F11" s="4">
        <f>SUM(F6:F10)</f>
        <v>92</v>
      </c>
      <c r="G11" s="4">
        <f>SUM(G6:G10)</f>
        <v>14</v>
      </c>
      <c r="H11" s="5"/>
      <c r="I11" s="5"/>
      <c r="O11"/>
    </row>
    <row r="12" spans="1:15" ht="12.75">
      <c r="A12" s="2" t="s">
        <v>47</v>
      </c>
      <c r="B12" s="4"/>
      <c r="C12" s="17"/>
      <c r="D12" s="17"/>
      <c r="E12" s="17"/>
      <c r="F12" s="13"/>
      <c r="G12" s="13"/>
      <c r="H12" s="13"/>
      <c r="I12" s="13"/>
      <c r="O12"/>
    </row>
    <row r="13" spans="1:15" ht="12.75">
      <c r="A13" s="2"/>
      <c r="B13" s="5" t="s">
        <v>31</v>
      </c>
      <c r="C13" s="5">
        <v>1</v>
      </c>
      <c r="D13" s="5">
        <v>1</v>
      </c>
      <c r="E13" s="37">
        <v>0.68</v>
      </c>
      <c r="F13" s="36">
        <f>C13*E13</f>
        <v>0.68</v>
      </c>
      <c r="G13" s="10"/>
      <c r="H13" s="5"/>
      <c r="I13" s="5"/>
      <c r="O13"/>
    </row>
    <row r="14" spans="1:15" ht="12.75">
      <c r="A14" s="2"/>
      <c r="B14" s="5" t="s">
        <v>32</v>
      </c>
      <c r="C14" s="5">
        <v>12</v>
      </c>
      <c r="D14" s="5">
        <v>12</v>
      </c>
      <c r="E14" s="37">
        <v>0.22</v>
      </c>
      <c r="F14" s="37">
        <f>C14*E14</f>
        <v>2.64</v>
      </c>
      <c r="G14" s="10"/>
      <c r="H14" s="5"/>
      <c r="I14" s="5"/>
      <c r="O14"/>
    </row>
    <row r="15" spans="1:15" ht="12.75">
      <c r="A15" s="2"/>
      <c r="B15" s="5" t="s">
        <v>42</v>
      </c>
      <c r="C15" s="13"/>
      <c r="D15" s="13"/>
      <c r="E15" s="13"/>
      <c r="F15" s="37">
        <v>3.06</v>
      </c>
      <c r="G15" s="10"/>
      <c r="H15" s="5"/>
      <c r="I15" s="5"/>
      <c r="O15"/>
    </row>
    <row r="16" spans="1:15" ht="12.75">
      <c r="A16" s="2"/>
      <c r="B16" s="7" t="s">
        <v>57</v>
      </c>
      <c r="C16" s="5">
        <v>3</v>
      </c>
      <c r="D16" s="5">
        <v>3</v>
      </c>
      <c r="E16" s="13"/>
      <c r="F16" s="15"/>
      <c r="G16" s="15"/>
      <c r="H16" s="13"/>
      <c r="I16" s="13"/>
      <c r="O16"/>
    </row>
    <row r="17" spans="1:15" ht="12.75">
      <c r="A17" s="2"/>
      <c r="B17" s="7" t="s">
        <v>58</v>
      </c>
      <c r="C17" s="5">
        <v>2</v>
      </c>
      <c r="D17" s="5">
        <v>2</v>
      </c>
      <c r="E17" s="13"/>
      <c r="F17" s="15"/>
      <c r="G17" s="15"/>
      <c r="H17" s="13"/>
      <c r="I17" s="13"/>
      <c r="O17"/>
    </row>
    <row r="18" spans="1:15" ht="12.75">
      <c r="A18" s="2"/>
      <c r="B18" s="7" t="s">
        <v>59</v>
      </c>
      <c r="C18" s="5">
        <v>3</v>
      </c>
      <c r="D18" s="5">
        <v>3</v>
      </c>
      <c r="E18" s="13"/>
      <c r="F18" s="15"/>
      <c r="G18" s="15"/>
      <c r="H18" s="13"/>
      <c r="I18" s="13"/>
      <c r="O18"/>
    </row>
    <row r="19" spans="1:15" ht="12.75">
      <c r="A19" s="2"/>
      <c r="B19" s="7" t="s">
        <v>60</v>
      </c>
      <c r="C19" s="5">
        <v>2</v>
      </c>
      <c r="D19" s="5">
        <v>2</v>
      </c>
      <c r="E19" s="13"/>
      <c r="F19" s="15"/>
      <c r="G19" s="15"/>
      <c r="H19" s="13"/>
      <c r="I19" s="13"/>
      <c r="O19"/>
    </row>
    <row r="20" spans="1:15" ht="12.75">
      <c r="A20" s="2"/>
      <c r="B20" s="8" t="s">
        <v>34</v>
      </c>
      <c r="C20" s="5">
        <v>6</v>
      </c>
      <c r="D20" s="5">
        <v>6</v>
      </c>
      <c r="E20" s="36">
        <v>1.46</v>
      </c>
      <c r="F20" s="37">
        <f>C20*E20</f>
        <v>8.76</v>
      </c>
      <c r="G20" s="10"/>
      <c r="H20" s="5"/>
      <c r="I20" s="5"/>
      <c r="O20"/>
    </row>
    <row r="21" spans="1:15" ht="12.75">
      <c r="A21" s="2"/>
      <c r="B21" s="4" t="s">
        <v>39</v>
      </c>
      <c r="C21" s="4">
        <f>SUM(C6:C20)</f>
        <v>49</v>
      </c>
      <c r="D21" s="4">
        <f>SUM(D6:D20)</f>
        <v>47</v>
      </c>
      <c r="E21" s="20">
        <f>SUM(E6:E20)</f>
        <v>63.36</v>
      </c>
      <c r="F21" s="4">
        <f>SUM(F13:F20)</f>
        <v>15.14</v>
      </c>
      <c r="G21" s="4">
        <f>SUM(G13:G20)</f>
        <v>0</v>
      </c>
      <c r="H21" s="5"/>
      <c r="I21" s="5"/>
      <c r="O21"/>
    </row>
    <row r="22" spans="1:15" ht="12.75">
      <c r="A22" s="2" t="s">
        <v>46</v>
      </c>
      <c r="B22" s="12"/>
      <c r="C22" s="13"/>
      <c r="D22" s="13"/>
      <c r="E22" s="13"/>
      <c r="F22" s="13"/>
      <c r="G22" s="13"/>
      <c r="H22" s="13"/>
      <c r="I22" s="13"/>
      <c r="O22"/>
    </row>
    <row r="23" spans="1:15" ht="12.75">
      <c r="A23" s="2"/>
      <c r="B23" s="5" t="s">
        <v>44</v>
      </c>
      <c r="C23" s="5">
        <v>1</v>
      </c>
      <c r="D23" s="5">
        <v>1</v>
      </c>
      <c r="E23" s="10">
        <v>100</v>
      </c>
      <c r="G23" s="37">
        <v>35</v>
      </c>
      <c r="H23" s="5"/>
      <c r="I23" s="5"/>
      <c r="O23"/>
    </row>
    <row r="24" spans="1:15" ht="12.75">
      <c r="A24" s="2"/>
      <c r="B24" s="5" t="s">
        <v>6</v>
      </c>
      <c r="C24" s="5">
        <v>1</v>
      </c>
      <c r="D24" s="5">
        <v>1</v>
      </c>
      <c r="E24" s="5"/>
      <c r="F24" s="5"/>
      <c r="G24" s="5"/>
      <c r="H24" s="5"/>
      <c r="I24" s="5"/>
      <c r="O24"/>
    </row>
    <row r="25" spans="1:15" ht="12.75">
      <c r="A25" s="2"/>
      <c r="B25" s="5" t="s">
        <v>7</v>
      </c>
      <c r="C25" s="5"/>
      <c r="D25" s="5"/>
      <c r="E25" s="5"/>
      <c r="F25" s="5"/>
      <c r="G25" s="5"/>
      <c r="H25" s="5"/>
      <c r="I25" s="5"/>
      <c r="O25"/>
    </row>
    <row r="26" spans="1:15" ht="12.75">
      <c r="A26" s="2"/>
      <c r="B26" s="5" t="s">
        <v>117</v>
      </c>
      <c r="C26" s="5">
        <v>1</v>
      </c>
      <c r="D26" s="5">
        <v>1</v>
      </c>
      <c r="E26" s="5"/>
      <c r="F26" s="5"/>
      <c r="G26" s="5"/>
      <c r="H26" s="5"/>
      <c r="I26" s="5"/>
      <c r="O26"/>
    </row>
    <row r="27" spans="1:15" ht="12.75">
      <c r="A27" s="2"/>
      <c r="B27" s="5" t="s">
        <v>8</v>
      </c>
      <c r="C27" s="5">
        <v>1</v>
      </c>
      <c r="D27" s="5">
        <v>1</v>
      </c>
      <c r="E27" s="5"/>
      <c r="F27" s="5"/>
      <c r="G27" s="5"/>
      <c r="H27" s="5"/>
      <c r="I27" s="5"/>
      <c r="O27"/>
    </row>
    <row r="28" spans="1:15" ht="12.75">
      <c r="A28" s="2"/>
      <c r="B28" s="5" t="s">
        <v>9</v>
      </c>
      <c r="C28" s="5">
        <v>1</v>
      </c>
      <c r="D28" s="5">
        <v>1</v>
      </c>
      <c r="E28" s="5"/>
      <c r="F28" s="5"/>
      <c r="G28" s="5"/>
      <c r="H28" s="5"/>
      <c r="I28" s="5"/>
      <c r="O28"/>
    </row>
    <row r="29" spans="1:15" ht="12.75">
      <c r="A29" s="2"/>
      <c r="B29" s="5" t="s">
        <v>10</v>
      </c>
      <c r="C29" s="5"/>
      <c r="D29" s="5"/>
      <c r="E29" s="5"/>
      <c r="F29" s="5"/>
      <c r="G29" s="5"/>
      <c r="H29" s="5"/>
      <c r="I29" s="5"/>
      <c r="O29"/>
    </row>
    <row r="30" spans="1:15" ht="12.75">
      <c r="A30" s="2"/>
      <c r="B30" s="5" t="s">
        <v>11</v>
      </c>
      <c r="C30" s="5"/>
      <c r="D30" s="5"/>
      <c r="E30" s="5"/>
      <c r="F30" s="5"/>
      <c r="G30" s="5"/>
      <c r="H30" s="5"/>
      <c r="I30" s="5"/>
      <c r="O30"/>
    </row>
    <row r="31" spans="1:15" ht="12.75">
      <c r="A31" s="2"/>
      <c r="B31" s="4" t="s">
        <v>39</v>
      </c>
      <c r="C31" s="4">
        <f>SUM(C23:C30)</f>
        <v>5</v>
      </c>
      <c r="D31" s="4">
        <f>SUM(D23:D30)</f>
        <v>5</v>
      </c>
      <c r="E31" s="4">
        <f>SUM(E23:E30)</f>
        <v>100</v>
      </c>
      <c r="F31" s="4">
        <f>SUM(F23:F30)</f>
        <v>0</v>
      </c>
      <c r="G31" s="4">
        <f>SUM(G23:G30)</f>
        <v>35</v>
      </c>
      <c r="H31" s="5"/>
      <c r="I31" s="5"/>
      <c r="O31"/>
    </row>
    <row r="32" spans="1:15" ht="12.75">
      <c r="A32" s="2" t="s">
        <v>16</v>
      </c>
      <c r="B32" s="5"/>
      <c r="C32" s="13"/>
      <c r="D32" s="13"/>
      <c r="E32" s="13"/>
      <c r="F32" s="13"/>
      <c r="G32" s="13"/>
      <c r="H32" s="13"/>
      <c r="I32" s="13"/>
      <c r="O32"/>
    </row>
    <row r="33" spans="1:15" ht="12.75">
      <c r="A33" s="2"/>
      <c r="B33" s="8" t="s">
        <v>17</v>
      </c>
      <c r="C33" s="8">
        <v>1</v>
      </c>
      <c r="D33" s="8">
        <v>1</v>
      </c>
      <c r="E33" s="37">
        <v>40</v>
      </c>
      <c r="F33" s="5"/>
      <c r="G33" s="10"/>
      <c r="H33" s="5"/>
      <c r="I33" s="5"/>
      <c r="O33"/>
    </row>
    <row r="34" spans="1:15" ht="12.75">
      <c r="A34" s="2"/>
      <c r="B34" s="8" t="s">
        <v>18</v>
      </c>
      <c r="C34" s="8">
        <v>1</v>
      </c>
      <c r="D34" s="8"/>
      <c r="E34" s="37">
        <v>13.6</v>
      </c>
      <c r="F34" s="5"/>
      <c r="G34" s="5"/>
      <c r="H34" s="5"/>
      <c r="I34" s="5"/>
      <c r="O34"/>
    </row>
    <row r="35" spans="1:15" ht="12.75">
      <c r="A35" s="2"/>
      <c r="B35" s="8" t="s">
        <v>19</v>
      </c>
      <c r="C35" s="8">
        <v>1</v>
      </c>
      <c r="D35" s="8">
        <v>1</v>
      </c>
      <c r="E35" s="37">
        <v>5</v>
      </c>
      <c r="F35" s="5"/>
      <c r="G35" s="10"/>
      <c r="H35" s="5"/>
      <c r="I35" s="5"/>
      <c r="O35"/>
    </row>
    <row r="36" spans="1:15" ht="12.75">
      <c r="A36" s="2"/>
      <c r="B36" s="8" t="s">
        <v>20</v>
      </c>
      <c r="C36" s="8">
        <v>1</v>
      </c>
      <c r="D36" s="8">
        <v>1</v>
      </c>
      <c r="E36" s="37">
        <v>36</v>
      </c>
      <c r="F36" s="5"/>
      <c r="G36" s="10"/>
      <c r="H36" s="5"/>
      <c r="I36" s="5"/>
      <c r="O36"/>
    </row>
    <row r="37" spans="1:15" ht="12.75">
      <c r="A37" s="2"/>
      <c r="B37" s="5" t="s">
        <v>40</v>
      </c>
      <c r="C37" s="5"/>
      <c r="D37" s="5"/>
      <c r="E37" s="37">
        <v>2</v>
      </c>
      <c r="F37" s="5"/>
      <c r="G37" s="10"/>
      <c r="H37" s="5"/>
      <c r="I37" s="5"/>
      <c r="O37"/>
    </row>
    <row r="38" spans="2:15" ht="12.75">
      <c r="B38" s="5" t="s">
        <v>114</v>
      </c>
      <c r="C38" s="24">
        <v>1</v>
      </c>
      <c r="D38" s="24">
        <v>1</v>
      </c>
      <c r="E38" s="39">
        <v>13.6</v>
      </c>
      <c r="F38" s="40">
        <f>C38*E38</f>
        <v>13.6</v>
      </c>
      <c r="G38" s="40">
        <v>13.6</v>
      </c>
      <c r="H38" s="5"/>
      <c r="I38" s="5"/>
      <c r="O38"/>
    </row>
    <row r="39" spans="1:15" ht="12.75">
      <c r="A39" s="2"/>
      <c r="B39" s="4" t="s">
        <v>39</v>
      </c>
      <c r="C39" s="4">
        <f>SUM(C33:C37)</f>
        <v>4</v>
      </c>
      <c r="D39" s="4">
        <f>SUM(D33:D37)</f>
        <v>3</v>
      </c>
      <c r="E39" s="41">
        <f>SUM(E33:E38)</f>
        <v>110.19999999999999</v>
      </c>
      <c r="F39" s="41">
        <f>SUM(F33:F38)</f>
        <v>13.6</v>
      </c>
      <c r="G39" s="41">
        <f>SUM(G33:G38)</f>
        <v>13.6</v>
      </c>
      <c r="H39" s="5"/>
      <c r="I39" s="5"/>
      <c r="O39"/>
    </row>
    <row r="40" spans="1:15" ht="12.75">
      <c r="A40" s="2" t="s">
        <v>45</v>
      </c>
      <c r="B40" s="5"/>
      <c r="C40" s="13"/>
      <c r="D40" s="13"/>
      <c r="E40" s="13"/>
      <c r="F40" s="13"/>
      <c r="G40" s="13"/>
      <c r="H40" s="13"/>
      <c r="I40" s="13"/>
      <c r="O40"/>
    </row>
    <row r="41" spans="1:15" ht="12.75">
      <c r="A41" s="2"/>
      <c r="B41" s="5" t="s">
        <v>24</v>
      </c>
      <c r="C41" s="5">
        <v>2</v>
      </c>
      <c r="D41" s="5"/>
      <c r="E41" s="37">
        <v>1</v>
      </c>
      <c r="F41" s="37">
        <f>C41*E41</f>
        <v>2</v>
      </c>
      <c r="G41" s="10"/>
      <c r="H41" s="5"/>
      <c r="I41" s="5"/>
      <c r="O41"/>
    </row>
    <row r="42" spans="1:15" ht="12.75">
      <c r="A42" s="2"/>
      <c r="B42" s="5" t="s">
        <v>26</v>
      </c>
      <c r="C42" s="5">
        <v>3</v>
      </c>
      <c r="D42" s="5"/>
      <c r="E42" s="37">
        <v>4</v>
      </c>
      <c r="F42" s="37">
        <f>C42*E42</f>
        <v>12</v>
      </c>
      <c r="G42" s="10"/>
      <c r="H42" s="5"/>
      <c r="I42" s="5"/>
      <c r="O42"/>
    </row>
    <row r="43" spans="1:15" ht="12.75">
      <c r="A43" s="2"/>
      <c r="B43" s="5" t="s">
        <v>25</v>
      </c>
      <c r="C43" s="5">
        <v>2</v>
      </c>
      <c r="D43" s="5"/>
      <c r="E43" s="37">
        <v>1</v>
      </c>
      <c r="F43" s="37">
        <f>C43*E43</f>
        <v>2</v>
      </c>
      <c r="G43" s="10"/>
      <c r="H43" s="5"/>
      <c r="I43" s="5"/>
      <c r="O43"/>
    </row>
    <row r="44" spans="1:15" ht="12.75">
      <c r="A44" s="2"/>
      <c r="B44" s="5" t="s">
        <v>63</v>
      </c>
      <c r="C44" s="5">
        <v>3</v>
      </c>
      <c r="D44" s="5"/>
      <c r="E44" s="37">
        <v>0.33</v>
      </c>
      <c r="F44" s="37">
        <f>C44*E44</f>
        <v>0.99</v>
      </c>
      <c r="G44" s="10"/>
      <c r="H44" s="5"/>
      <c r="I44" s="5"/>
      <c r="O44"/>
    </row>
    <row r="45" spans="1:15" ht="12.75">
      <c r="A45" s="2"/>
      <c r="B45" s="5" t="s">
        <v>27</v>
      </c>
      <c r="C45" s="5"/>
      <c r="D45" s="5"/>
      <c r="E45" s="30"/>
      <c r="F45" s="30"/>
      <c r="G45" s="5"/>
      <c r="H45" s="5"/>
      <c r="I45" s="5"/>
      <c r="O45"/>
    </row>
    <row r="46" spans="1:15" ht="12.75">
      <c r="A46" s="2"/>
      <c r="B46" s="4" t="s">
        <v>39</v>
      </c>
      <c r="C46" s="4">
        <f>SUM(C41:C45)</f>
        <v>10</v>
      </c>
      <c r="D46" s="4"/>
      <c r="E46" s="4">
        <f>SUM(E41:E45)</f>
        <v>6.33</v>
      </c>
      <c r="F46" s="4">
        <f>SUM(F41:F45)</f>
        <v>16.99</v>
      </c>
      <c r="G46" s="4">
        <f>SUM(G41:G45)</f>
        <v>0</v>
      </c>
      <c r="H46" s="5"/>
      <c r="I46" s="5"/>
      <c r="O46"/>
    </row>
    <row r="47" spans="1:15" ht="12.75">
      <c r="A47" s="2" t="s">
        <v>35</v>
      </c>
      <c r="B47" s="5"/>
      <c r="C47" s="13"/>
      <c r="D47" s="13"/>
      <c r="E47" s="13"/>
      <c r="F47" s="13"/>
      <c r="G47" s="13"/>
      <c r="H47" s="13"/>
      <c r="I47" s="13"/>
      <c r="O47"/>
    </row>
    <row r="48" spans="1:15" ht="12.75">
      <c r="A48" s="2"/>
      <c r="B48" s="5" t="s">
        <v>52</v>
      </c>
      <c r="C48" s="5"/>
      <c r="D48" s="5"/>
      <c r="E48" s="5"/>
      <c r="F48" s="12"/>
      <c r="G48" s="12"/>
      <c r="H48" s="12"/>
      <c r="I48" s="12"/>
      <c r="O48"/>
    </row>
    <row r="49" spans="1:15" ht="12.75">
      <c r="A49" s="2"/>
      <c r="B49" s="5" t="s">
        <v>66</v>
      </c>
      <c r="C49" s="5"/>
      <c r="D49" s="5"/>
      <c r="E49" s="5"/>
      <c r="F49" s="12"/>
      <c r="G49" s="12"/>
      <c r="H49" s="12"/>
      <c r="I49" s="12"/>
      <c r="O49"/>
    </row>
    <row r="50" spans="1:15" ht="12.75">
      <c r="A50" s="2"/>
      <c r="B50" s="5" t="s">
        <v>53</v>
      </c>
      <c r="C50" s="5"/>
      <c r="D50" s="5"/>
      <c r="E50" s="5"/>
      <c r="F50" s="12"/>
      <c r="G50" s="12"/>
      <c r="H50" s="12"/>
      <c r="I50" s="12"/>
      <c r="O50"/>
    </row>
    <row r="51" spans="2:15" ht="12.75">
      <c r="B51" s="5" t="s">
        <v>115</v>
      </c>
      <c r="C51" s="5">
        <v>1</v>
      </c>
      <c r="D51" s="5"/>
      <c r="E51" s="5"/>
      <c r="F51" s="5"/>
      <c r="G51" s="5"/>
      <c r="H51" s="5"/>
      <c r="I51" s="5"/>
      <c r="O51"/>
    </row>
    <row r="52" spans="2:15" ht="12.75">
      <c r="B52" s="5" t="s">
        <v>37</v>
      </c>
      <c r="C52" s="5">
        <v>1</v>
      </c>
      <c r="D52" s="5"/>
      <c r="E52" s="5"/>
      <c r="F52" s="5"/>
      <c r="G52" s="5"/>
      <c r="H52" s="5"/>
      <c r="I52" s="5"/>
      <c r="O52"/>
    </row>
    <row r="53" spans="2:15" ht="12.75">
      <c r="B53" s="5" t="s">
        <v>36</v>
      </c>
      <c r="C53" s="5"/>
      <c r="D53" s="5"/>
      <c r="E53" s="5"/>
      <c r="F53" s="5"/>
      <c r="G53" s="5"/>
      <c r="H53" s="5"/>
      <c r="I53" s="5"/>
      <c r="O53" s="22"/>
    </row>
    <row r="54" spans="2:15" ht="12.75">
      <c r="B54" s="5" t="s">
        <v>38</v>
      </c>
      <c r="C54" s="5"/>
      <c r="D54" s="5"/>
      <c r="E54" s="5"/>
      <c r="F54" s="5"/>
      <c r="G54" s="5"/>
      <c r="H54" s="5"/>
      <c r="I54" s="5"/>
      <c r="O54"/>
    </row>
    <row r="55" spans="2:15" ht="12.75">
      <c r="B55" s="4" t="s">
        <v>39</v>
      </c>
      <c r="C55" s="4">
        <f>SUM(C48:C54)</f>
        <v>2</v>
      </c>
      <c r="D55" s="4"/>
      <c r="E55" s="4"/>
      <c r="F55" s="5"/>
      <c r="G55" s="4">
        <f>SUM(G48:G54)</f>
        <v>0</v>
      </c>
      <c r="H55" s="5"/>
      <c r="I55" s="5"/>
      <c r="O55"/>
    </row>
    <row r="56" spans="1:15" ht="12.75">
      <c r="A56" s="2" t="s">
        <v>14</v>
      </c>
      <c r="B56" s="4"/>
      <c r="C56" s="17"/>
      <c r="D56" s="17"/>
      <c r="E56" s="17"/>
      <c r="F56" s="13"/>
      <c r="G56" s="13"/>
      <c r="H56" s="13"/>
      <c r="I56" s="13"/>
      <c r="O56"/>
    </row>
    <row r="57" spans="1:15" ht="12.75">
      <c r="A57" s="2"/>
      <c r="B57" s="8" t="s">
        <v>15</v>
      </c>
      <c r="C57" s="8">
        <v>1</v>
      </c>
      <c r="D57" s="8">
        <v>1</v>
      </c>
      <c r="E57" s="37">
        <v>1</v>
      </c>
      <c r="F57" s="5"/>
      <c r="G57" s="10"/>
      <c r="H57" s="5"/>
      <c r="I57" s="5"/>
      <c r="O57"/>
    </row>
    <row r="58" spans="1:15" ht="12.75">
      <c r="A58" s="2"/>
      <c r="B58" s="4" t="s">
        <v>39</v>
      </c>
      <c r="C58" s="4">
        <f>SUM(C57)</f>
        <v>1</v>
      </c>
      <c r="D58" s="4">
        <f>SUM(D57)</f>
        <v>1</v>
      </c>
      <c r="E58" s="38">
        <f>SUM(E57)</f>
        <v>1</v>
      </c>
      <c r="F58" s="5"/>
      <c r="G58" s="20">
        <f>SUM(G57)</f>
        <v>0</v>
      </c>
      <c r="H58" s="5"/>
      <c r="I58" s="5"/>
      <c r="O58"/>
    </row>
    <row r="59" spans="1:15" ht="12.75">
      <c r="A59" s="42" t="s">
        <v>48</v>
      </c>
      <c r="C59" s="46">
        <f>SUM(C11+C21+C31+C39+C46+C55+C58)</f>
        <v>81</v>
      </c>
      <c r="D59" s="46"/>
      <c r="E59" s="46">
        <f>SUM(E57:E58)</f>
        <v>2</v>
      </c>
      <c r="F59" s="49"/>
      <c r="G59" s="49"/>
      <c r="H59" s="49"/>
      <c r="I59" s="49"/>
      <c r="O59"/>
    </row>
    <row r="60" spans="1:15" ht="12.75">
      <c r="A60" s="19" t="s">
        <v>41</v>
      </c>
      <c r="B60" s="44"/>
      <c r="C60" s="13"/>
      <c r="D60" s="13"/>
      <c r="E60" s="13"/>
      <c r="F60" s="13"/>
      <c r="G60" s="13"/>
      <c r="H60" s="13"/>
      <c r="I60" s="13"/>
      <c r="O60"/>
    </row>
    <row r="61" spans="1:15" ht="12.75">
      <c r="A61" s="19"/>
      <c r="B61" s="44" t="s">
        <v>50</v>
      </c>
      <c r="C61" s="5"/>
      <c r="D61" s="5"/>
      <c r="E61" s="5"/>
      <c r="F61" s="5"/>
      <c r="G61" s="4"/>
      <c r="H61" s="5"/>
      <c r="I61" s="5"/>
      <c r="O61"/>
    </row>
    <row r="62" spans="1:15" ht="12.75">
      <c r="A62" s="9"/>
      <c r="B62" s="44" t="s">
        <v>49</v>
      </c>
      <c r="C62" s="5"/>
      <c r="D62" s="5"/>
      <c r="E62" s="5"/>
      <c r="F62" s="5"/>
      <c r="G62" s="4"/>
      <c r="H62" s="5"/>
      <c r="I62" s="5"/>
      <c r="O62"/>
    </row>
    <row r="63" spans="1:15" ht="12.75">
      <c r="A63" s="9"/>
      <c r="B63" s="45" t="s">
        <v>39</v>
      </c>
      <c r="C63" s="4">
        <f>SUM(C61:C62)</f>
        <v>0</v>
      </c>
      <c r="D63" s="4"/>
      <c r="E63" s="4">
        <v>49.2</v>
      </c>
      <c r="G63" s="4">
        <f>SUM(G61:G62)</f>
        <v>0</v>
      </c>
      <c r="H63" s="5"/>
      <c r="I63" s="5"/>
      <c r="O63"/>
    </row>
    <row r="64" spans="1:15" ht="12.75">
      <c r="A64" s="42" t="s">
        <v>51</v>
      </c>
      <c r="B64" s="44"/>
      <c r="C64" s="47">
        <f>SUM(C59+C63)</f>
        <v>81</v>
      </c>
      <c r="D64" s="47"/>
      <c r="E64" s="47">
        <f>SUM(E59+E63)</f>
        <v>51.2</v>
      </c>
      <c r="F64" s="48"/>
      <c r="G64" s="48"/>
      <c r="H64" s="48"/>
      <c r="I64" s="48"/>
      <c r="O64"/>
    </row>
    <row r="65" ht="12.75">
      <c r="O65"/>
    </row>
  </sheetData>
  <mergeCells count="1">
    <mergeCell ref="E1:J1"/>
  </mergeCells>
  <printOptions/>
  <pageMargins left="0.25" right="0.25" top="1" bottom="0.5" header="0.5" footer="0.5"/>
  <pageSetup horizontalDpi="600" verticalDpi="600" orientation="portrait" paperSize="188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9"/>
  <sheetViews>
    <sheetView zoomScale="75" zoomScaleNormal="75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6" sqref="B36"/>
    </sheetView>
  </sheetViews>
  <sheetFormatPr defaultColWidth="9.140625" defaultRowHeight="12.75"/>
  <cols>
    <col min="1" max="1" width="27.140625" style="9" bestFit="1" customWidth="1"/>
    <col min="2" max="2" width="38.8515625" style="9" bestFit="1" customWidth="1"/>
    <col min="3" max="3" width="4.7109375" style="9" bestFit="1" customWidth="1"/>
    <col min="6" max="6" width="8.28125" style="0" customWidth="1"/>
    <col min="9" max="9" width="8.140625" style="0" bestFit="1" customWidth="1"/>
    <col min="10" max="10" width="9.7109375" style="0" customWidth="1"/>
    <col min="12" max="13" width="9.140625" style="21" customWidth="1"/>
    <col min="14" max="15" width="9.140625" style="9" customWidth="1"/>
  </cols>
  <sheetData>
    <row r="1" spans="1:13" s="9" customFormat="1" ht="12.75">
      <c r="A1" s="5"/>
      <c r="B1" s="5"/>
      <c r="C1" s="5"/>
      <c r="D1" s="494" t="s">
        <v>43</v>
      </c>
      <c r="E1" s="494"/>
      <c r="F1" s="494" t="s">
        <v>110</v>
      </c>
      <c r="G1" s="494"/>
      <c r="H1" s="6" t="s">
        <v>111</v>
      </c>
      <c r="I1" s="6"/>
      <c r="J1" s="494" t="s">
        <v>116</v>
      </c>
      <c r="K1" s="494"/>
      <c r="L1" s="21"/>
      <c r="M1" s="21"/>
    </row>
    <row r="2" spans="1:22" ht="12.75">
      <c r="A2" s="5"/>
      <c r="B2" s="5"/>
      <c r="C2" s="5" t="s">
        <v>84</v>
      </c>
      <c r="D2" s="28" t="s">
        <v>80</v>
      </c>
      <c r="E2" s="28" t="s">
        <v>81</v>
      </c>
      <c r="F2" s="28" t="s">
        <v>85</v>
      </c>
      <c r="G2" s="28" t="s">
        <v>112</v>
      </c>
      <c r="H2" s="28" t="s">
        <v>85</v>
      </c>
      <c r="I2" s="28" t="s">
        <v>86</v>
      </c>
      <c r="J2" s="5" t="s">
        <v>82</v>
      </c>
      <c r="K2" s="5" t="s">
        <v>83</v>
      </c>
      <c r="P2" s="9"/>
      <c r="Q2" s="9"/>
      <c r="R2" s="9"/>
      <c r="S2" s="9"/>
      <c r="T2" s="9"/>
      <c r="U2" s="9"/>
      <c r="V2" s="9"/>
    </row>
    <row r="3" spans="1:22" ht="12.75">
      <c r="A3" s="4" t="s">
        <v>4</v>
      </c>
      <c r="B3" s="5"/>
      <c r="C3" s="5"/>
      <c r="D3" s="13"/>
      <c r="E3" s="13"/>
      <c r="F3" s="13"/>
      <c r="G3" s="14"/>
      <c r="H3" s="14"/>
      <c r="I3" s="14"/>
      <c r="J3" s="13"/>
      <c r="K3" s="13"/>
      <c r="P3" s="9"/>
      <c r="Q3" s="9"/>
      <c r="R3" s="9"/>
      <c r="S3" s="9"/>
      <c r="T3" s="9"/>
      <c r="U3" s="9"/>
      <c r="V3" s="9"/>
    </row>
    <row r="4" spans="1:22" ht="12.75">
      <c r="A4" s="7"/>
      <c r="B4" s="5"/>
      <c r="C4" s="5"/>
      <c r="D4" s="13"/>
      <c r="E4" s="13"/>
      <c r="F4" s="13"/>
      <c r="G4" s="13"/>
      <c r="H4" s="13"/>
      <c r="I4" s="13"/>
      <c r="J4" s="13"/>
      <c r="K4" s="13"/>
      <c r="P4" s="9"/>
      <c r="Q4" s="9"/>
      <c r="R4" s="9"/>
      <c r="S4" s="9"/>
      <c r="T4" s="9"/>
      <c r="U4" s="9"/>
      <c r="V4" s="9"/>
    </row>
    <row r="5" spans="1:22" ht="12.75">
      <c r="A5" s="7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P5" s="9"/>
      <c r="Q5" s="9"/>
      <c r="R5" s="9"/>
      <c r="S5" s="9"/>
      <c r="T5" s="9"/>
      <c r="U5" s="9"/>
      <c r="V5" s="9"/>
    </row>
    <row r="6" spans="1:22" ht="12.75">
      <c r="A6" s="7"/>
      <c r="B6" s="5" t="s">
        <v>22</v>
      </c>
      <c r="C6" s="5"/>
      <c r="D6" s="13"/>
      <c r="E6" s="13"/>
      <c r="F6" s="12"/>
      <c r="G6" s="5"/>
      <c r="H6" s="5"/>
      <c r="I6" s="5"/>
      <c r="J6" s="5"/>
      <c r="K6" s="5"/>
      <c r="P6" s="9"/>
      <c r="Q6" s="9"/>
      <c r="R6" s="9"/>
      <c r="S6" s="9"/>
      <c r="T6" s="9"/>
      <c r="U6" s="9"/>
      <c r="V6" s="9"/>
    </row>
    <row r="7" spans="1:22" ht="12.75">
      <c r="A7" s="7"/>
      <c r="B7" s="5" t="s">
        <v>23</v>
      </c>
      <c r="C7" s="5">
        <v>4</v>
      </c>
      <c r="D7" s="13"/>
      <c r="E7" s="13"/>
      <c r="F7" s="38">
        <v>17</v>
      </c>
      <c r="G7" s="5"/>
      <c r="H7" s="43">
        <v>17</v>
      </c>
      <c r="I7" s="5"/>
      <c r="J7" s="5"/>
      <c r="K7" s="5"/>
      <c r="P7" s="9"/>
      <c r="Q7" s="9"/>
      <c r="R7" s="9"/>
      <c r="S7" s="9"/>
      <c r="T7" s="9"/>
      <c r="U7" s="9"/>
      <c r="V7" s="9"/>
    </row>
    <row r="8" spans="1:22" ht="12.75">
      <c r="A8" s="7"/>
      <c r="B8" s="5" t="s">
        <v>28</v>
      </c>
      <c r="C8" s="5">
        <v>1</v>
      </c>
      <c r="D8" s="13"/>
      <c r="E8" s="13"/>
      <c r="F8" s="38">
        <v>26</v>
      </c>
      <c r="G8" s="5"/>
      <c r="H8" s="43">
        <v>26</v>
      </c>
      <c r="I8" s="5"/>
      <c r="J8" s="5"/>
      <c r="K8" s="5"/>
      <c r="P8" s="9"/>
      <c r="Q8" s="9"/>
      <c r="R8" s="9"/>
      <c r="S8" s="9"/>
      <c r="T8" s="9"/>
      <c r="U8" s="9"/>
      <c r="V8" s="9"/>
    </row>
    <row r="9" spans="1:22" ht="12.75">
      <c r="A9" s="7"/>
      <c r="B9" s="5" t="s">
        <v>29</v>
      </c>
      <c r="C9" s="5">
        <v>2</v>
      </c>
      <c r="D9" s="13"/>
      <c r="E9" s="13"/>
      <c r="F9" s="38">
        <v>12</v>
      </c>
      <c r="G9" s="5"/>
      <c r="H9" s="43">
        <v>12</v>
      </c>
      <c r="I9" s="5"/>
      <c r="J9" s="5"/>
      <c r="K9" s="5"/>
      <c r="P9" s="9"/>
      <c r="Q9" s="9"/>
      <c r="R9" s="9"/>
      <c r="S9" s="9"/>
      <c r="T9" s="9"/>
      <c r="U9" s="9"/>
      <c r="V9" s="9"/>
    </row>
    <row r="10" spans="1:22" ht="12.75">
      <c r="A10" s="7"/>
      <c r="B10" s="5" t="s">
        <v>30</v>
      </c>
      <c r="C10" s="5">
        <v>2</v>
      </c>
      <c r="D10" s="13"/>
      <c r="E10" s="13"/>
      <c r="F10" s="12"/>
      <c r="G10" s="5"/>
      <c r="H10" s="5"/>
      <c r="I10" s="5"/>
      <c r="J10" s="5"/>
      <c r="K10" s="5"/>
      <c r="P10" s="9"/>
      <c r="Q10" s="9"/>
      <c r="R10" s="9"/>
      <c r="S10" s="9"/>
      <c r="T10" s="9"/>
      <c r="U10" s="9"/>
      <c r="V10" s="9"/>
    </row>
    <row r="11" spans="1:22" ht="12.75">
      <c r="A11" s="7"/>
      <c r="B11" s="4" t="s">
        <v>39</v>
      </c>
      <c r="C11" s="4">
        <f>SUM(C7:C10)</f>
        <v>9</v>
      </c>
      <c r="D11" s="17"/>
      <c r="E11" s="17"/>
      <c r="F11" s="20"/>
      <c r="G11" s="5"/>
      <c r="H11" s="5"/>
      <c r="I11" s="5"/>
      <c r="J11" s="5"/>
      <c r="K11" s="5"/>
      <c r="P11" s="9"/>
      <c r="Q11" s="9"/>
      <c r="R11" s="9"/>
      <c r="S11" s="9"/>
      <c r="T11" s="9"/>
      <c r="U11" s="9"/>
      <c r="V11" s="9"/>
    </row>
    <row r="12" spans="1:22" ht="12.75">
      <c r="A12" s="7" t="s">
        <v>47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P12" s="9"/>
      <c r="Q12" s="9"/>
      <c r="R12" s="9"/>
      <c r="S12" s="9"/>
      <c r="T12" s="9"/>
      <c r="U12" s="9"/>
      <c r="V12" s="9"/>
    </row>
    <row r="13" spans="1:22" ht="12.75">
      <c r="A13" s="7"/>
      <c r="B13" s="5" t="s">
        <v>31</v>
      </c>
      <c r="C13" s="5">
        <v>1</v>
      </c>
      <c r="D13" s="13"/>
      <c r="E13" s="13"/>
      <c r="F13" s="12"/>
      <c r="G13" s="5"/>
      <c r="H13" s="5"/>
      <c r="I13" s="5"/>
      <c r="J13" s="5"/>
      <c r="K13" s="5"/>
      <c r="P13" s="9"/>
      <c r="Q13" s="9"/>
      <c r="R13" s="9"/>
      <c r="S13" s="9"/>
      <c r="T13" s="9"/>
      <c r="U13" s="9"/>
      <c r="V13" s="9"/>
    </row>
    <row r="14" spans="1:22" ht="12.75">
      <c r="A14" s="7"/>
      <c r="B14" s="5" t="s">
        <v>32</v>
      </c>
      <c r="C14" s="5">
        <v>12</v>
      </c>
      <c r="D14" s="13"/>
      <c r="E14" s="13"/>
      <c r="F14" s="12"/>
      <c r="G14" s="12"/>
      <c r="H14" s="12"/>
      <c r="I14" s="12"/>
      <c r="J14" s="5"/>
      <c r="K14" s="5"/>
      <c r="P14" s="9"/>
      <c r="Q14" s="9"/>
      <c r="R14" s="9"/>
      <c r="S14" s="9"/>
      <c r="T14" s="9"/>
      <c r="U14" s="9"/>
      <c r="V14" s="9"/>
    </row>
    <row r="15" spans="1:22" ht="12.75">
      <c r="A15" s="7"/>
      <c r="B15" s="5" t="s">
        <v>33</v>
      </c>
      <c r="C15" s="5"/>
      <c r="D15" s="13"/>
      <c r="E15" s="13"/>
      <c r="F15" s="12"/>
      <c r="G15" s="12"/>
      <c r="H15" s="12"/>
      <c r="I15" s="12"/>
      <c r="J15" s="5"/>
      <c r="K15" s="5"/>
      <c r="P15" s="9"/>
      <c r="Q15" s="9"/>
      <c r="R15" s="9"/>
      <c r="S15" s="9"/>
      <c r="T15" s="9"/>
      <c r="U15" s="9"/>
      <c r="V15" s="9"/>
    </row>
    <row r="16" spans="1:22" ht="12.75">
      <c r="A16" s="7"/>
      <c r="B16" s="7" t="s">
        <v>57</v>
      </c>
      <c r="C16" s="7"/>
      <c r="D16" s="13"/>
      <c r="E16" s="13"/>
      <c r="F16" s="12"/>
      <c r="G16" s="12"/>
      <c r="H16" s="12"/>
      <c r="I16" s="12"/>
      <c r="J16" s="5"/>
      <c r="K16" s="5"/>
      <c r="P16" s="9"/>
      <c r="Q16" s="9"/>
      <c r="R16" s="9"/>
      <c r="S16" s="9"/>
      <c r="T16" s="9"/>
      <c r="U16" s="9"/>
      <c r="V16" s="9"/>
    </row>
    <row r="17" spans="1:22" ht="12.75">
      <c r="A17" s="7"/>
      <c r="B17" s="7" t="s">
        <v>58</v>
      </c>
      <c r="C17" s="7"/>
      <c r="D17" s="13"/>
      <c r="E17" s="13"/>
      <c r="F17" s="12"/>
      <c r="G17" s="12"/>
      <c r="H17" s="12"/>
      <c r="I17" s="12"/>
      <c r="J17" s="5"/>
      <c r="K17" s="5"/>
      <c r="P17" s="9"/>
      <c r="Q17" s="9"/>
      <c r="R17" s="9"/>
      <c r="S17" s="9"/>
      <c r="T17" s="9"/>
      <c r="U17" s="9"/>
      <c r="V17" s="9"/>
    </row>
    <row r="18" spans="1:22" ht="12.75">
      <c r="A18" s="7"/>
      <c r="B18" s="7" t="s">
        <v>59</v>
      </c>
      <c r="C18" s="7"/>
      <c r="D18" s="13"/>
      <c r="E18" s="13"/>
      <c r="F18" s="12"/>
      <c r="G18" s="12"/>
      <c r="H18" s="12"/>
      <c r="I18" s="12"/>
      <c r="J18" s="5"/>
      <c r="K18" s="5"/>
      <c r="P18" s="9"/>
      <c r="Q18" s="9"/>
      <c r="R18" s="9"/>
      <c r="S18" s="9"/>
      <c r="T18" s="9"/>
      <c r="U18" s="9"/>
      <c r="V18" s="9"/>
    </row>
    <row r="19" spans="1:22" ht="12.75">
      <c r="A19" s="7"/>
      <c r="B19" s="7" t="s">
        <v>60</v>
      </c>
      <c r="C19" s="7"/>
      <c r="D19" s="13"/>
      <c r="E19" s="13"/>
      <c r="F19" s="12"/>
      <c r="G19" s="12"/>
      <c r="H19" s="12"/>
      <c r="I19" s="12"/>
      <c r="J19" s="5"/>
      <c r="K19" s="5"/>
      <c r="P19" s="9"/>
      <c r="Q19" s="9"/>
      <c r="R19" s="9"/>
      <c r="S19" s="9"/>
      <c r="T19" s="9"/>
      <c r="U19" s="9"/>
      <c r="V19" s="9"/>
    </row>
    <row r="20" spans="1:22" ht="12.75">
      <c r="A20" s="7"/>
      <c r="B20" s="5" t="s">
        <v>34</v>
      </c>
      <c r="C20" s="5">
        <v>6</v>
      </c>
      <c r="D20" s="13"/>
      <c r="E20" s="13"/>
      <c r="F20" s="13"/>
      <c r="G20" s="13"/>
      <c r="H20" s="13"/>
      <c r="I20" s="13"/>
      <c r="J20" s="12"/>
      <c r="K20" s="12"/>
      <c r="P20" s="9"/>
      <c r="Q20" s="9"/>
      <c r="R20" s="9"/>
      <c r="S20" s="9"/>
      <c r="T20" s="9"/>
      <c r="U20" s="9"/>
      <c r="V20" s="9"/>
    </row>
    <row r="21" spans="1:22" ht="12.75">
      <c r="A21" s="7"/>
      <c r="B21" s="4" t="s">
        <v>39</v>
      </c>
      <c r="C21" s="4">
        <f>SUM(C13:C20)</f>
        <v>19</v>
      </c>
      <c r="D21" s="17"/>
      <c r="E21" s="17"/>
      <c r="F21" s="20"/>
      <c r="G21" s="12"/>
      <c r="H21" s="12"/>
      <c r="I21" s="12"/>
      <c r="J21" s="5"/>
      <c r="K21" s="5"/>
      <c r="P21" s="9"/>
      <c r="Q21" s="9"/>
      <c r="R21" s="9"/>
      <c r="S21" s="9"/>
      <c r="T21" s="9"/>
      <c r="U21" s="9"/>
      <c r="V21" s="9"/>
    </row>
    <row r="22" spans="1:22" ht="12.75">
      <c r="A22" s="7" t="s">
        <v>61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P22" s="9"/>
      <c r="Q22" s="9"/>
      <c r="R22" s="9"/>
      <c r="S22" s="9"/>
      <c r="T22" s="9"/>
      <c r="U22" s="9"/>
      <c r="V22" s="9"/>
    </row>
    <row r="23" spans="1:22" ht="12.75">
      <c r="A23" s="7"/>
      <c r="B23" s="5" t="s">
        <v>12</v>
      </c>
      <c r="C23" s="5">
        <v>1</v>
      </c>
      <c r="D23" s="13"/>
      <c r="E23" s="13"/>
      <c r="F23" s="13"/>
      <c r="G23" s="13"/>
      <c r="H23" s="13"/>
      <c r="I23" s="13"/>
      <c r="J23" s="5"/>
      <c r="K23" s="5"/>
      <c r="P23" s="9"/>
      <c r="Q23" s="9"/>
      <c r="R23" s="9"/>
      <c r="S23" s="9"/>
      <c r="T23" s="9"/>
      <c r="U23" s="9"/>
      <c r="V23" s="9"/>
    </row>
    <row r="24" spans="1:22" ht="12.75">
      <c r="A24" s="7"/>
      <c r="B24" s="5" t="s">
        <v>13</v>
      </c>
      <c r="C24" s="5">
        <v>1</v>
      </c>
      <c r="D24" s="13"/>
      <c r="E24" s="13"/>
      <c r="F24" s="13"/>
      <c r="G24" s="13"/>
      <c r="H24" s="13"/>
      <c r="I24" s="13"/>
      <c r="J24" s="5"/>
      <c r="K24" s="5"/>
      <c r="P24" s="9"/>
      <c r="Q24" s="9"/>
      <c r="R24" s="9"/>
      <c r="S24" s="9"/>
      <c r="T24" s="9"/>
      <c r="U24" s="9"/>
      <c r="V24" s="9"/>
    </row>
    <row r="25" spans="1:22" ht="12.75">
      <c r="A25" s="7"/>
      <c r="B25" s="5" t="s">
        <v>6</v>
      </c>
      <c r="C25" s="5"/>
      <c r="D25" s="13"/>
      <c r="E25" s="13"/>
      <c r="F25" s="13"/>
      <c r="G25" s="13"/>
      <c r="H25" s="13"/>
      <c r="I25" s="13"/>
      <c r="J25" s="5"/>
      <c r="K25" s="5"/>
      <c r="P25" s="9"/>
      <c r="Q25" s="9"/>
      <c r="R25" s="9"/>
      <c r="S25" s="9"/>
      <c r="T25" s="9"/>
      <c r="U25" s="9"/>
      <c r="V25" s="9"/>
    </row>
    <row r="26" spans="1:22" ht="12.75">
      <c r="A26" s="7"/>
      <c r="B26" s="5" t="s">
        <v>7</v>
      </c>
      <c r="C26" s="5"/>
      <c r="D26" s="13"/>
      <c r="E26" s="13"/>
      <c r="F26" s="13"/>
      <c r="G26" s="13"/>
      <c r="H26" s="13"/>
      <c r="I26" s="13"/>
      <c r="J26" s="5"/>
      <c r="K26" s="5"/>
      <c r="P26" s="9"/>
      <c r="Q26" s="9"/>
      <c r="R26" s="9"/>
      <c r="S26" s="9"/>
      <c r="T26" s="9"/>
      <c r="U26" s="9"/>
      <c r="V26" s="9"/>
    </row>
    <row r="27" spans="1:22" ht="12.75">
      <c r="A27" s="7"/>
      <c r="B27" s="5" t="s">
        <v>117</v>
      </c>
      <c r="C27" s="5">
        <v>1</v>
      </c>
      <c r="D27" s="13"/>
      <c r="E27" s="13"/>
      <c r="F27" s="13"/>
      <c r="G27" s="13"/>
      <c r="H27" s="13"/>
      <c r="I27" s="13"/>
      <c r="J27" s="5"/>
      <c r="K27" s="5"/>
      <c r="P27" s="9"/>
      <c r="Q27" s="9"/>
      <c r="R27" s="9"/>
      <c r="S27" s="9"/>
      <c r="T27" s="9"/>
      <c r="U27" s="9"/>
      <c r="V27" s="9"/>
    </row>
    <row r="28" spans="1:22" ht="12.75">
      <c r="A28" s="7"/>
      <c r="B28" s="5" t="s">
        <v>8</v>
      </c>
      <c r="C28" s="5">
        <v>1</v>
      </c>
      <c r="D28" s="13"/>
      <c r="E28" s="13"/>
      <c r="F28" s="13"/>
      <c r="G28" s="13"/>
      <c r="H28" s="13"/>
      <c r="I28" s="13"/>
      <c r="J28" s="5"/>
      <c r="K28" s="5"/>
      <c r="P28" s="9"/>
      <c r="Q28" s="9"/>
      <c r="R28" s="9"/>
      <c r="S28" s="9"/>
      <c r="T28" s="9"/>
      <c r="U28" s="9"/>
      <c r="V28" s="9"/>
    </row>
    <row r="29" spans="1:22" ht="12.75">
      <c r="A29" s="7"/>
      <c r="B29" s="5" t="s">
        <v>9</v>
      </c>
      <c r="C29" s="5">
        <v>1</v>
      </c>
      <c r="D29" s="13"/>
      <c r="E29" s="13"/>
      <c r="F29" s="13"/>
      <c r="G29" s="13"/>
      <c r="H29" s="13"/>
      <c r="I29" s="13"/>
      <c r="J29" s="5"/>
      <c r="K29" s="5"/>
      <c r="P29" s="9"/>
      <c r="Q29" s="9"/>
      <c r="R29" s="9"/>
      <c r="S29" s="9"/>
      <c r="T29" s="9"/>
      <c r="U29" s="9"/>
      <c r="V29" s="9"/>
    </row>
    <row r="30" spans="1:22" ht="12.75">
      <c r="A30" s="7"/>
      <c r="B30" s="5" t="s">
        <v>10</v>
      </c>
      <c r="D30" s="13"/>
      <c r="E30" s="13"/>
      <c r="F30" s="13"/>
      <c r="G30" s="13"/>
      <c r="H30" s="13"/>
      <c r="I30" s="13"/>
      <c r="J30" s="5"/>
      <c r="K30" s="5"/>
      <c r="P30" s="9"/>
      <c r="Q30" s="9"/>
      <c r="R30" s="9"/>
      <c r="S30" s="9"/>
      <c r="T30" s="9"/>
      <c r="U30" s="9"/>
      <c r="V30" s="9"/>
    </row>
    <row r="31" spans="1:22" ht="12.75">
      <c r="A31" s="7"/>
      <c r="B31" s="5" t="s">
        <v>11</v>
      </c>
      <c r="C31" s="5"/>
      <c r="D31" s="13"/>
      <c r="E31" s="13"/>
      <c r="F31" s="13"/>
      <c r="G31" s="13"/>
      <c r="H31" s="13"/>
      <c r="I31" s="13"/>
      <c r="J31" s="5"/>
      <c r="K31" s="5"/>
      <c r="P31" s="9"/>
      <c r="Q31" s="9"/>
      <c r="R31" s="9"/>
      <c r="S31" s="9"/>
      <c r="T31" s="9"/>
      <c r="U31" s="9"/>
      <c r="V31" s="9"/>
    </row>
    <row r="32" spans="1:22" ht="12.75">
      <c r="A32" s="7"/>
      <c r="B32" s="4" t="s">
        <v>39</v>
      </c>
      <c r="C32" s="4">
        <f>SUM(C23:C31)</f>
        <v>5</v>
      </c>
      <c r="D32" s="17"/>
      <c r="E32" s="17"/>
      <c r="F32" s="17"/>
      <c r="G32" s="13"/>
      <c r="H32" s="13"/>
      <c r="I32" s="13"/>
      <c r="J32" s="5"/>
      <c r="K32" s="5"/>
      <c r="P32" s="9"/>
      <c r="Q32" s="9"/>
      <c r="R32" s="9"/>
      <c r="S32" s="9"/>
      <c r="T32" s="9"/>
      <c r="U32" s="9"/>
      <c r="V32" s="9"/>
    </row>
    <row r="33" spans="1:22" ht="12.75">
      <c r="A33" s="7" t="s">
        <v>16</v>
      </c>
      <c r="B33" s="14"/>
      <c r="C33" s="14"/>
      <c r="D33" s="14"/>
      <c r="E33" s="14"/>
      <c r="F33" s="14"/>
      <c r="G33" s="13"/>
      <c r="H33" s="13"/>
      <c r="I33" s="13"/>
      <c r="J33" s="13"/>
      <c r="K33" s="13"/>
      <c r="P33" s="9"/>
      <c r="Q33" s="9"/>
      <c r="R33" s="9"/>
      <c r="S33" s="9"/>
      <c r="T33" s="9"/>
      <c r="U33" s="9"/>
      <c r="V33" s="9"/>
    </row>
    <row r="34" spans="1:22" ht="12.75">
      <c r="A34" s="7"/>
      <c r="B34" s="8" t="s">
        <v>17</v>
      </c>
      <c r="C34" s="8">
        <v>1</v>
      </c>
      <c r="D34" s="10">
        <v>588</v>
      </c>
      <c r="E34" s="10">
        <v>500</v>
      </c>
      <c r="F34" s="18"/>
      <c r="G34" s="13"/>
      <c r="H34" s="15"/>
      <c r="I34" s="15"/>
      <c r="J34" s="5"/>
      <c r="K34" s="5"/>
      <c r="P34" s="9"/>
      <c r="Q34" s="9"/>
      <c r="R34" s="9"/>
      <c r="S34" s="9"/>
      <c r="T34" s="9"/>
      <c r="U34" s="9"/>
      <c r="V34" s="9"/>
    </row>
    <row r="35" spans="1:22" ht="12.75">
      <c r="A35" s="7"/>
      <c r="B35" s="8" t="s">
        <v>18</v>
      </c>
      <c r="C35" s="8">
        <v>1</v>
      </c>
      <c r="D35" s="10">
        <v>1150</v>
      </c>
      <c r="E35" s="10">
        <v>1000</v>
      </c>
      <c r="F35" s="18"/>
      <c r="G35" s="13"/>
      <c r="H35" s="15"/>
      <c r="I35" s="15"/>
      <c r="J35" s="5"/>
      <c r="K35" s="5"/>
      <c r="P35" s="9"/>
      <c r="Q35" s="9"/>
      <c r="R35" s="9"/>
      <c r="S35" s="9"/>
      <c r="T35" s="9"/>
      <c r="U35" s="9"/>
      <c r="V35" s="9"/>
    </row>
    <row r="36" spans="1:15" ht="12.75">
      <c r="A36" s="1"/>
      <c r="B36" s="5" t="s">
        <v>114</v>
      </c>
      <c r="C36" s="24">
        <v>1</v>
      </c>
      <c r="D36" s="16"/>
      <c r="E36" s="16"/>
      <c r="F36" s="16">
        <v>30</v>
      </c>
      <c r="G36" s="12"/>
      <c r="H36" s="16">
        <f>F36</f>
        <v>30</v>
      </c>
      <c r="I36" s="16"/>
      <c r="J36" s="16"/>
      <c r="K36" s="24"/>
      <c r="L36" s="495"/>
      <c r="M36" s="495"/>
      <c r="N36" s="495"/>
      <c r="O36"/>
    </row>
    <row r="37" spans="1:22" ht="12.75">
      <c r="A37" s="7"/>
      <c r="B37" s="8" t="s">
        <v>19</v>
      </c>
      <c r="C37" s="8">
        <v>1</v>
      </c>
      <c r="D37" s="18"/>
      <c r="E37" s="18"/>
      <c r="F37" s="23"/>
      <c r="G37" s="5"/>
      <c r="H37" s="5"/>
      <c r="I37" s="5"/>
      <c r="J37" s="5"/>
      <c r="K37" s="5"/>
      <c r="P37" s="9"/>
      <c r="Q37" s="9"/>
      <c r="R37" s="9"/>
      <c r="S37" s="9"/>
      <c r="T37" s="9"/>
      <c r="U37" s="9"/>
      <c r="V37" s="9"/>
    </row>
    <row r="38" spans="1:22" ht="12.75">
      <c r="A38" s="7"/>
      <c r="B38" s="8" t="s">
        <v>20</v>
      </c>
      <c r="C38" s="8">
        <v>1</v>
      </c>
      <c r="D38" s="18"/>
      <c r="E38" s="18"/>
      <c r="F38" s="23"/>
      <c r="G38" s="5"/>
      <c r="H38" s="5"/>
      <c r="I38" s="5"/>
      <c r="J38" s="5"/>
      <c r="K38" s="5"/>
      <c r="P38" s="9"/>
      <c r="Q38" s="9"/>
      <c r="R38" s="9"/>
      <c r="S38" s="9"/>
      <c r="T38" s="9"/>
      <c r="U38" s="9"/>
      <c r="V38" s="9"/>
    </row>
    <row r="39" spans="1:22" ht="12.75">
      <c r="A39" s="7"/>
      <c r="B39" s="5" t="s">
        <v>40</v>
      </c>
      <c r="C39" s="5">
        <v>1</v>
      </c>
      <c r="D39" s="13"/>
      <c r="E39" s="13"/>
      <c r="F39" s="12"/>
      <c r="G39" s="5"/>
      <c r="H39" s="5"/>
      <c r="I39" s="5"/>
      <c r="J39" s="5"/>
      <c r="K39" s="5"/>
      <c r="P39" s="9"/>
      <c r="Q39" s="9"/>
      <c r="R39" s="9"/>
      <c r="S39" s="9"/>
      <c r="T39" s="9"/>
      <c r="U39" s="9"/>
      <c r="V39" s="9"/>
    </row>
    <row r="40" spans="1:22" ht="12.75">
      <c r="A40" s="7"/>
      <c r="B40" s="4" t="s">
        <v>39</v>
      </c>
      <c r="C40" s="4">
        <f>SUM(C34:C39)</f>
        <v>6</v>
      </c>
      <c r="D40" s="4">
        <f>SUM(D34:D39)</f>
        <v>1738</v>
      </c>
      <c r="E40" s="4">
        <f>SUM(E34:E39)</f>
        <v>1500</v>
      </c>
      <c r="F40" s="20"/>
      <c r="G40" s="5"/>
      <c r="H40" s="5"/>
      <c r="I40" s="5"/>
      <c r="J40" s="5"/>
      <c r="K40" s="5"/>
      <c r="P40" s="9"/>
      <c r="Q40" s="9"/>
      <c r="R40" s="9"/>
      <c r="S40" s="9"/>
      <c r="T40" s="9"/>
      <c r="U40" s="9"/>
      <c r="V40" s="9"/>
    </row>
    <row r="41" spans="1:17" ht="12.75">
      <c r="A41" s="7" t="s">
        <v>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9"/>
      <c r="M41" s="9"/>
      <c r="P41" s="9"/>
      <c r="Q41" s="9"/>
    </row>
    <row r="42" spans="1:17" ht="12.75">
      <c r="A42" s="5"/>
      <c r="B42" s="5" t="s">
        <v>24</v>
      </c>
      <c r="C42" s="5">
        <v>2</v>
      </c>
      <c r="D42" s="13"/>
      <c r="E42" s="13"/>
      <c r="F42" s="37">
        <v>10</v>
      </c>
      <c r="G42" s="5"/>
      <c r="H42" s="5"/>
      <c r="I42" s="5"/>
      <c r="J42" s="5"/>
      <c r="K42" s="5"/>
      <c r="L42" s="9"/>
      <c r="M42" s="9"/>
      <c r="P42" s="9"/>
      <c r="Q42" s="9"/>
    </row>
    <row r="43" spans="1:17" ht="12.75">
      <c r="A43" s="5"/>
      <c r="B43" s="5" t="s">
        <v>26</v>
      </c>
      <c r="C43" s="5">
        <v>1</v>
      </c>
      <c r="D43" s="13"/>
      <c r="E43" s="13"/>
      <c r="F43" s="5" t="s">
        <v>87</v>
      </c>
      <c r="G43" s="5"/>
      <c r="H43" s="5"/>
      <c r="I43" s="5"/>
      <c r="J43" s="5"/>
      <c r="K43" s="5"/>
      <c r="L43" s="9"/>
      <c r="M43" s="9"/>
      <c r="P43" s="9"/>
      <c r="Q43" s="9"/>
    </row>
    <row r="44" spans="1:17" ht="12.75">
      <c r="A44" s="5"/>
      <c r="B44" s="5" t="s">
        <v>62</v>
      </c>
      <c r="C44" s="5">
        <v>2</v>
      </c>
      <c r="D44" s="13"/>
      <c r="E44" s="13"/>
      <c r="F44" s="5"/>
      <c r="G44" s="5"/>
      <c r="H44" s="5"/>
      <c r="I44" s="5"/>
      <c r="J44" s="5"/>
      <c r="K44" s="5"/>
      <c r="L44" s="9"/>
      <c r="M44" s="9"/>
      <c r="P44" s="9"/>
      <c r="Q44" s="9"/>
    </row>
    <row r="45" spans="1:17" ht="12.75">
      <c r="A45" s="5"/>
      <c r="B45" s="5" t="s">
        <v>63</v>
      </c>
      <c r="C45" s="5">
        <v>1</v>
      </c>
      <c r="D45" s="13"/>
      <c r="E45" s="13"/>
      <c r="F45" s="37">
        <v>25</v>
      </c>
      <c r="G45" s="5"/>
      <c r="H45" s="5"/>
      <c r="I45" s="5"/>
      <c r="J45" s="5"/>
      <c r="K45" s="5"/>
      <c r="L45" s="9"/>
      <c r="M45" s="9"/>
      <c r="P45" s="9"/>
      <c r="Q45" s="9"/>
    </row>
    <row r="46" spans="1:17" ht="12.75">
      <c r="A46" s="5"/>
      <c r="B46" s="5" t="s">
        <v>27</v>
      </c>
      <c r="C46" s="5"/>
      <c r="D46" s="13"/>
      <c r="E46" s="13"/>
      <c r="F46" s="13"/>
      <c r="G46" s="13"/>
      <c r="H46" s="5"/>
      <c r="I46" s="5"/>
      <c r="J46" s="5"/>
      <c r="K46" s="5"/>
      <c r="L46" s="9"/>
      <c r="M46" s="9"/>
      <c r="P46" s="9"/>
      <c r="Q46" s="9"/>
    </row>
    <row r="47" spans="1:17" ht="12.75">
      <c r="A47" s="5"/>
      <c r="B47" s="4" t="s">
        <v>39</v>
      </c>
      <c r="C47" s="4"/>
      <c r="D47" s="13"/>
      <c r="E47" s="13"/>
      <c r="F47" s="5"/>
      <c r="G47" s="5"/>
      <c r="H47" s="5"/>
      <c r="I47" s="5"/>
      <c r="J47" s="5"/>
      <c r="K47" s="5"/>
      <c r="L47" s="9"/>
      <c r="M47" s="9"/>
      <c r="P47" s="9"/>
      <c r="Q47" s="9"/>
    </row>
    <row r="48" spans="1:22" ht="12.75">
      <c r="A48" s="7" t="s">
        <v>35</v>
      </c>
      <c r="B48" s="17"/>
      <c r="C48" s="17"/>
      <c r="D48" s="17"/>
      <c r="E48" s="17"/>
      <c r="F48" s="17"/>
      <c r="G48" s="13"/>
      <c r="H48" s="13"/>
      <c r="I48" s="13"/>
      <c r="J48" s="13"/>
      <c r="K48" s="13"/>
      <c r="P48" s="9"/>
      <c r="Q48" s="9"/>
      <c r="R48" s="9"/>
      <c r="S48" s="9"/>
      <c r="T48" s="9"/>
      <c r="U48" s="9"/>
      <c r="V48" s="9"/>
    </row>
    <row r="49" spans="1:22" ht="12.75">
      <c r="A49" s="7"/>
      <c r="B49" s="8" t="s">
        <v>52</v>
      </c>
      <c r="C49" s="8"/>
      <c r="D49" s="17"/>
      <c r="E49" s="17"/>
      <c r="F49" s="20"/>
      <c r="G49" s="5"/>
      <c r="H49" s="5"/>
      <c r="I49" s="5"/>
      <c r="J49" s="5"/>
      <c r="K49" s="5"/>
      <c r="P49" s="9"/>
      <c r="Q49" s="9"/>
      <c r="R49" s="9"/>
      <c r="S49" s="9"/>
      <c r="T49" s="9"/>
      <c r="U49" s="9"/>
      <c r="V49" s="9"/>
    </row>
    <row r="50" spans="1:22" ht="12.75">
      <c r="A50" s="7"/>
      <c r="B50" s="8" t="s">
        <v>66</v>
      </c>
      <c r="C50" s="8">
        <v>1</v>
      </c>
      <c r="D50" s="17"/>
      <c r="E50" s="17"/>
      <c r="F50" s="20"/>
      <c r="G50" s="5"/>
      <c r="H50" s="5"/>
      <c r="I50" s="5"/>
      <c r="J50" s="5"/>
      <c r="K50" s="5"/>
      <c r="P50" s="9"/>
      <c r="Q50" s="9"/>
      <c r="R50" s="9"/>
      <c r="S50" s="9"/>
      <c r="T50" s="9"/>
      <c r="U50" s="9"/>
      <c r="V50" s="9"/>
    </row>
    <row r="51" spans="1:22" ht="12.75">
      <c r="A51" s="7"/>
      <c r="B51" s="8" t="s">
        <v>53</v>
      </c>
      <c r="C51" s="8"/>
      <c r="D51" s="17"/>
      <c r="E51" s="17"/>
      <c r="F51" s="20"/>
      <c r="G51" s="5"/>
      <c r="H51" s="5"/>
      <c r="I51" s="5"/>
      <c r="J51" s="5"/>
      <c r="K51" s="5"/>
      <c r="P51" s="9"/>
      <c r="Q51" s="9"/>
      <c r="R51" s="9"/>
      <c r="S51" s="9"/>
      <c r="T51" s="9"/>
      <c r="U51" s="9"/>
      <c r="V51" s="9"/>
    </row>
    <row r="52" spans="1:22" ht="12.75">
      <c r="A52" s="7"/>
      <c r="B52" s="8" t="s">
        <v>115</v>
      </c>
      <c r="C52" s="8">
        <v>1</v>
      </c>
      <c r="D52" s="17"/>
      <c r="E52" s="17"/>
      <c r="F52" s="20"/>
      <c r="G52" s="5"/>
      <c r="H52" s="5"/>
      <c r="I52" s="5"/>
      <c r="J52" s="5"/>
      <c r="K52" s="5"/>
      <c r="P52" s="9"/>
      <c r="Q52" s="9"/>
      <c r="R52" s="9"/>
      <c r="S52" s="9"/>
      <c r="T52" s="9"/>
      <c r="U52" s="9"/>
      <c r="V52" s="9"/>
    </row>
    <row r="53" spans="1:22" ht="12.75">
      <c r="A53" s="7"/>
      <c r="B53" s="8" t="s">
        <v>3</v>
      </c>
      <c r="C53" s="8">
        <v>1</v>
      </c>
      <c r="D53" s="17"/>
      <c r="E53" s="17"/>
      <c r="F53" s="20"/>
      <c r="G53" s="5"/>
      <c r="H53" s="5"/>
      <c r="I53" s="5"/>
      <c r="J53" s="5"/>
      <c r="K53" s="5"/>
      <c r="P53" s="9"/>
      <c r="Q53" s="9"/>
      <c r="R53" s="9"/>
      <c r="S53" s="9"/>
      <c r="T53" s="9"/>
      <c r="U53" s="9"/>
      <c r="V53" s="9"/>
    </row>
    <row r="54" spans="1:22" ht="12.75">
      <c r="A54" s="7"/>
      <c r="B54" s="8" t="s">
        <v>36</v>
      </c>
      <c r="C54" s="8"/>
      <c r="D54" s="17"/>
      <c r="E54" s="17"/>
      <c r="F54" s="20"/>
      <c r="G54" s="5"/>
      <c r="H54" s="5"/>
      <c r="I54" s="5"/>
      <c r="J54" s="5"/>
      <c r="K54" s="5"/>
      <c r="P54" s="9"/>
      <c r="Q54" s="9"/>
      <c r="R54" s="9"/>
      <c r="S54" s="9"/>
      <c r="T54" s="9"/>
      <c r="U54" s="9"/>
      <c r="V54" s="9"/>
    </row>
    <row r="55" spans="1:22" ht="12.75">
      <c r="A55" s="7"/>
      <c r="B55" s="8" t="s">
        <v>30</v>
      </c>
      <c r="C55" s="8"/>
      <c r="D55" s="17"/>
      <c r="E55" s="17"/>
      <c r="F55" s="20"/>
      <c r="G55" s="5"/>
      <c r="H55" s="5"/>
      <c r="I55" s="5"/>
      <c r="J55" s="5"/>
      <c r="K55" s="5"/>
      <c r="P55" s="9"/>
      <c r="Q55" s="9"/>
      <c r="R55" s="9"/>
      <c r="S55" s="9"/>
      <c r="T55" s="9"/>
      <c r="U55" s="9"/>
      <c r="V55" s="9"/>
    </row>
    <row r="56" spans="1:22" ht="12.75">
      <c r="A56" s="7"/>
      <c r="B56" s="4" t="s">
        <v>39</v>
      </c>
      <c r="C56" s="4">
        <f>SUM(C49:C55)</f>
        <v>3</v>
      </c>
      <c r="D56" s="17"/>
      <c r="E56" s="17"/>
      <c r="F56" s="20"/>
      <c r="G56" s="5"/>
      <c r="H56" s="5"/>
      <c r="I56" s="5"/>
      <c r="J56" s="5"/>
      <c r="K56" s="5"/>
      <c r="P56" s="9"/>
      <c r="Q56" s="9"/>
      <c r="R56" s="9"/>
      <c r="S56" s="9"/>
      <c r="T56" s="9"/>
      <c r="U56" s="9"/>
      <c r="V56" s="9"/>
    </row>
    <row r="57" spans="1:22" ht="12.75">
      <c r="A57" s="7" t="s">
        <v>14</v>
      </c>
      <c r="B57" s="14"/>
      <c r="C57" s="14"/>
      <c r="D57" s="14"/>
      <c r="E57" s="14"/>
      <c r="F57" s="14"/>
      <c r="G57" s="13"/>
      <c r="H57" s="13"/>
      <c r="I57" s="13"/>
      <c r="J57" s="13"/>
      <c r="K57" s="13"/>
      <c r="P57" s="9"/>
      <c r="Q57" s="9"/>
      <c r="R57" s="9"/>
      <c r="S57" s="9"/>
      <c r="T57" s="9"/>
      <c r="U57" s="9"/>
      <c r="V57" s="9"/>
    </row>
    <row r="58" spans="1:22" ht="12.75">
      <c r="A58" s="7"/>
      <c r="B58" s="8" t="s">
        <v>15</v>
      </c>
      <c r="C58" s="8">
        <v>1</v>
      </c>
      <c r="D58" s="18"/>
      <c r="E58" s="18"/>
      <c r="F58" s="23"/>
      <c r="G58" s="12"/>
      <c r="H58" s="12"/>
      <c r="I58" s="12"/>
      <c r="J58" s="12"/>
      <c r="K58" s="12"/>
      <c r="P58" s="9"/>
      <c r="Q58" s="9"/>
      <c r="R58" s="9"/>
      <c r="S58" s="9"/>
      <c r="T58" s="9"/>
      <c r="U58" s="9"/>
      <c r="V58" s="9"/>
    </row>
    <row r="59" spans="1:22" ht="12.75">
      <c r="A59" s="7"/>
      <c r="B59" s="4" t="s">
        <v>39</v>
      </c>
      <c r="C59" s="4">
        <f>SUM(C58)</f>
        <v>1</v>
      </c>
      <c r="D59" s="17"/>
      <c r="E59" s="17"/>
      <c r="F59" s="20"/>
      <c r="G59" s="12"/>
      <c r="H59" s="12"/>
      <c r="I59" s="12"/>
      <c r="J59" s="12"/>
      <c r="K59" s="12"/>
      <c r="P59" s="9"/>
      <c r="Q59" s="9"/>
      <c r="R59" s="9"/>
      <c r="S59" s="9"/>
      <c r="T59" s="9"/>
      <c r="U59" s="9"/>
      <c r="V59" s="9"/>
    </row>
    <row r="60" spans="1:13" s="9" customFormat="1" ht="12.75">
      <c r="A60" s="11" t="s">
        <v>113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21"/>
      <c r="M60" s="21"/>
    </row>
    <row r="61" spans="4:22" ht="12.75">
      <c r="D61" s="9"/>
      <c r="E61" s="9"/>
      <c r="F61" s="9"/>
      <c r="G61" s="9"/>
      <c r="H61" s="9"/>
      <c r="I61" s="9"/>
      <c r="J61" s="9"/>
      <c r="K61" s="9"/>
      <c r="P61" s="9"/>
      <c r="Q61" s="9"/>
      <c r="R61" s="9"/>
      <c r="S61" s="9"/>
      <c r="T61" s="9"/>
      <c r="U61" s="9"/>
      <c r="V61" s="9"/>
    </row>
    <row r="62" spans="4:22" ht="12.75">
      <c r="D62" s="9"/>
      <c r="E62" s="9"/>
      <c r="F62" s="9"/>
      <c r="G62" s="9"/>
      <c r="H62" s="9"/>
      <c r="I62" s="9"/>
      <c r="J62" s="9"/>
      <c r="K62" s="9"/>
      <c r="P62" s="9"/>
      <c r="Q62" s="9"/>
      <c r="R62" s="9"/>
      <c r="S62" s="9"/>
      <c r="T62" s="9"/>
      <c r="U62" s="9"/>
      <c r="V62" s="9"/>
    </row>
    <row r="63" spans="16:22" ht="12.75">
      <c r="P63" s="9"/>
      <c r="Q63" s="9"/>
      <c r="R63" s="9"/>
      <c r="S63" s="9"/>
      <c r="T63" s="9"/>
      <c r="U63" s="9"/>
      <c r="V63" s="9"/>
    </row>
    <row r="64" spans="16:22" ht="12.75">
      <c r="P64" s="9"/>
      <c r="Q64" s="9"/>
      <c r="R64" s="9"/>
      <c r="S64" s="9"/>
      <c r="T64" s="9"/>
      <c r="U64" s="9"/>
      <c r="V64" s="9"/>
    </row>
    <row r="65" spans="16:22" ht="12.75">
      <c r="P65" s="9"/>
      <c r="Q65" s="9"/>
      <c r="R65" s="9"/>
      <c r="S65" s="9"/>
      <c r="T65" s="9"/>
      <c r="U65" s="9"/>
      <c r="V65" s="9"/>
    </row>
    <row r="66" spans="16:22" ht="12.75">
      <c r="P66" s="9"/>
      <c r="Q66" s="9"/>
      <c r="R66" s="9"/>
      <c r="S66" s="9"/>
      <c r="T66" s="9"/>
      <c r="U66" s="9"/>
      <c r="V66" s="9"/>
    </row>
    <row r="68" spans="16:22" ht="12.75">
      <c r="P68" s="9"/>
      <c r="Q68" s="9"/>
      <c r="R68" s="9"/>
      <c r="S68" s="9"/>
      <c r="T68" s="9"/>
      <c r="U68" s="9"/>
      <c r="V68" s="9"/>
    </row>
    <row r="69" spans="16:22" ht="12.75">
      <c r="P69" s="9"/>
      <c r="Q69" s="9"/>
      <c r="R69" s="9"/>
      <c r="S69" s="9"/>
      <c r="T69" s="9"/>
      <c r="U69" s="9"/>
      <c r="V69" s="9"/>
    </row>
    <row r="70" spans="16:22" ht="12.75">
      <c r="P70" s="9"/>
      <c r="Q70" s="9"/>
      <c r="R70" s="9"/>
      <c r="S70" s="9"/>
      <c r="T70" s="9"/>
      <c r="U70" s="9"/>
      <c r="V70" s="9"/>
    </row>
    <row r="71" spans="16:22" ht="12.75">
      <c r="P71" s="9"/>
      <c r="Q71" s="9"/>
      <c r="R71" s="9"/>
      <c r="S71" s="9"/>
      <c r="T71" s="9"/>
      <c r="U71" s="9"/>
      <c r="V71" s="9"/>
    </row>
    <row r="72" spans="16:22" ht="12.75">
      <c r="P72" s="9"/>
      <c r="Q72" s="9"/>
      <c r="R72" s="9"/>
      <c r="S72" s="9"/>
      <c r="T72" s="9"/>
      <c r="U72" s="9"/>
      <c r="V72" s="9"/>
    </row>
    <row r="73" spans="16:22" ht="12.75">
      <c r="P73" s="9"/>
      <c r="Q73" s="9"/>
      <c r="R73" s="9"/>
      <c r="S73" s="9"/>
      <c r="T73" s="9"/>
      <c r="U73" s="9"/>
      <c r="V73" s="9"/>
    </row>
    <row r="74" spans="16:22" ht="12.75">
      <c r="P74" s="9"/>
      <c r="Q74" s="9"/>
      <c r="R74" s="9"/>
      <c r="S74" s="9"/>
      <c r="T74" s="9"/>
      <c r="U74" s="9"/>
      <c r="V74" s="9"/>
    </row>
    <row r="75" spans="16:22" ht="12.75">
      <c r="P75" s="9"/>
      <c r="Q75" s="9"/>
      <c r="R75" s="9"/>
      <c r="S75" s="9"/>
      <c r="T75" s="9"/>
      <c r="U75" s="9"/>
      <c r="V75" s="9"/>
    </row>
    <row r="76" spans="16:22" ht="12.75">
      <c r="P76" s="9"/>
      <c r="Q76" s="9"/>
      <c r="R76" s="9"/>
      <c r="S76" s="9"/>
      <c r="T76" s="9"/>
      <c r="U76" s="9"/>
      <c r="V76" s="9"/>
    </row>
    <row r="77" spans="16:22" ht="12.75">
      <c r="P77" s="9"/>
      <c r="Q77" s="9"/>
      <c r="R77" s="9"/>
      <c r="S77" s="9"/>
      <c r="T77" s="9"/>
      <c r="U77" s="9"/>
      <c r="V77" s="9"/>
    </row>
    <row r="78" spans="16:22" ht="12.75">
      <c r="P78" s="9"/>
      <c r="Q78" s="9"/>
      <c r="R78" s="9"/>
      <c r="S78" s="9"/>
      <c r="T78" s="9"/>
      <c r="U78" s="9"/>
      <c r="V78" s="9"/>
    </row>
    <row r="81" spans="12:15" ht="12.75">
      <c r="L81"/>
      <c r="M81"/>
      <c r="N81"/>
      <c r="O81"/>
    </row>
    <row r="82" spans="12:15" ht="12.75">
      <c r="L82"/>
      <c r="M82"/>
      <c r="N82"/>
      <c r="O82"/>
    </row>
    <row r="83" spans="12:15" ht="12.75">
      <c r="L83"/>
      <c r="M83"/>
      <c r="N83"/>
      <c r="O83"/>
    </row>
    <row r="84" spans="12:15" ht="12.75">
      <c r="L84"/>
      <c r="M84"/>
      <c r="N84"/>
      <c r="O84"/>
    </row>
    <row r="85" spans="12:15" ht="12.75">
      <c r="L85"/>
      <c r="M85"/>
      <c r="N85"/>
      <c r="O85"/>
    </row>
    <row r="86" spans="12:15" ht="12.75">
      <c r="L86"/>
      <c r="M86"/>
      <c r="N86"/>
      <c r="O86"/>
    </row>
    <row r="87" spans="12:15" ht="12.75">
      <c r="L87"/>
      <c r="M87"/>
      <c r="N87"/>
      <c r="O87"/>
    </row>
    <row r="88" spans="12:15" ht="12.75">
      <c r="L88"/>
      <c r="M88"/>
      <c r="N88"/>
      <c r="O88"/>
    </row>
    <row r="89" spans="12:15" ht="12.75">
      <c r="L89"/>
      <c r="M89"/>
      <c r="N89"/>
      <c r="O89"/>
    </row>
    <row r="90" spans="12:15" ht="12.75">
      <c r="L90"/>
      <c r="M90"/>
      <c r="N90"/>
      <c r="O90"/>
    </row>
    <row r="91" spans="12:15" ht="12.75">
      <c r="L91"/>
      <c r="M91"/>
      <c r="N91"/>
      <c r="O91"/>
    </row>
    <row r="92" spans="12:15" ht="12.75">
      <c r="L92"/>
      <c r="M92"/>
      <c r="N92"/>
      <c r="O92"/>
    </row>
    <row r="93" spans="12:15" ht="12.75">
      <c r="L93"/>
      <c r="M93"/>
      <c r="N93"/>
      <c r="O93"/>
    </row>
    <row r="94" spans="12:15" ht="12.75">
      <c r="L94"/>
      <c r="M94"/>
      <c r="N94"/>
      <c r="O94"/>
    </row>
    <row r="95" spans="12:15" ht="12.75">
      <c r="L95"/>
      <c r="M95"/>
      <c r="N95"/>
      <c r="O95"/>
    </row>
    <row r="96" spans="12:15" ht="12.75">
      <c r="L96"/>
      <c r="M96"/>
      <c r="N96"/>
      <c r="O96"/>
    </row>
    <row r="97" spans="12:15" ht="12.75">
      <c r="L97"/>
      <c r="M97"/>
      <c r="N97"/>
      <c r="O97"/>
    </row>
    <row r="98" spans="12:15" ht="12.75">
      <c r="L98"/>
      <c r="M98"/>
      <c r="N98"/>
      <c r="O98"/>
    </row>
    <row r="99" spans="12:15" ht="12.75">
      <c r="L99"/>
      <c r="M99"/>
      <c r="N99"/>
      <c r="O99"/>
    </row>
    <row r="100" spans="12:15" ht="12.75">
      <c r="L100"/>
      <c r="M100"/>
      <c r="N100"/>
      <c r="O100"/>
    </row>
    <row r="101" spans="12:15" ht="12.75">
      <c r="L101"/>
      <c r="M101"/>
      <c r="N101"/>
      <c r="O101"/>
    </row>
    <row r="102" spans="10:13" ht="12.75">
      <c r="J102" s="19"/>
      <c r="K102" s="19"/>
      <c r="L102" s="27"/>
      <c r="M102" s="27"/>
    </row>
    <row r="103" spans="10:13" ht="12.75">
      <c r="J103" s="19"/>
      <c r="K103" s="19"/>
      <c r="L103" s="27"/>
      <c r="M103" s="27"/>
    </row>
    <row r="104" spans="10:13" ht="12.75">
      <c r="J104" s="19"/>
      <c r="K104" s="19"/>
      <c r="L104" s="27"/>
      <c r="M104" s="27"/>
    </row>
    <row r="105" spans="10:13" ht="12.75">
      <c r="J105" s="19"/>
      <c r="K105" s="19"/>
      <c r="L105" s="27"/>
      <c r="M105" s="27"/>
    </row>
    <row r="106" spans="10:13" ht="12.75">
      <c r="J106" s="19"/>
      <c r="K106" s="19"/>
      <c r="L106" s="27"/>
      <c r="M106" s="27"/>
    </row>
    <row r="107" spans="10:13" ht="12.75">
      <c r="J107" s="19"/>
      <c r="K107" s="19"/>
      <c r="L107" s="27"/>
      <c r="M107" s="27"/>
    </row>
    <row r="108" spans="10:13" ht="12.75">
      <c r="J108" s="19"/>
      <c r="K108" s="19"/>
      <c r="L108" s="27"/>
      <c r="M108" s="27"/>
    </row>
    <row r="109" spans="10:13" ht="12.75">
      <c r="J109" s="19"/>
      <c r="K109" s="19"/>
      <c r="L109" s="27"/>
      <c r="M109" s="27"/>
    </row>
  </sheetData>
  <mergeCells count="4">
    <mergeCell ref="J1:K1"/>
    <mergeCell ref="D1:E1"/>
    <mergeCell ref="F1:G1"/>
    <mergeCell ref="L36:N36"/>
  </mergeCells>
  <printOptions/>
  <pageMargins left="0.25" right="0.25" top="0.5" bottom="0.5" header="0.5" footer="0.5"/>
  <pageSetup horizontalDpi="600" verticalDpi="600" orientation="portrait" paperSize="188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lmgullo</dc:creator>
  <cp:keywords/>
  <dc:description/>
  <cp:lastModifiedBy>Henry Heetderks</cp:lastModifiedBy>
  <cp:lastPrinted>2004-10-29T17:17:54Z</cp:lastPrinted>
  <dcterms:created xsi:type="dcterms:W3CDTF">2000-08-22T20:57:26Z</dcterms:created>
  <dcterms:modified xsi:type="dcterms:W3CDTF">2005-02-17T05:19:56Z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