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15" windowWidth="13170" windowHeight="3960" activeTab="0"/>
  </bookViews>
  <sheets>
    <sheet name="Budget Control and Summaries" sheetId="1" r:id="rId1"/>
    <sheet name="DetectorParameters" sheetId="2" r:id="rId2"/>
    <sheet name="Fiber and Connector Costs" sheetId="3" r:id="rId3"/>
  </sheets>
  <externalReferences>
    <externalReference r:id="rId6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sz val="10"/>
            <rFont val="Arial"/>
            <family val="1"/>
          </rPr>
          <t>Assumes joint strips in OD share a fiber</t>
        </r>
      </text>
    </comment>
    <comment ref="B7" authorId="0">
      <text>
        <r>
          <rPr>
            <sz val="10"/>
            <rFont val="Arial"/>
            <family val="1"/>
          </rPr>
          <t>Assume OD thickness*1.3 for ID channels and half that for OD channels, plus 10cm for pigtail</t>
        </r>
      </text>
    </comment>
    <comment ref="B18" authorId="0">
      <text>
        <r>
          <rPr>
            <sz val="10"/>
            <rFont val="Arial"/>
            <family val="1"/>
          </rPr>
          <t>revised calcuation per Dave C. (9 Jan 2005):
2 16 bit ADCs per channel, 4 times slices; add an equal amount of data for timing readout (no sparsification)</t>
        </r>
      </text>
    </comment>
    <comment ref="B40" authorId="0">
      <text>
        <r>
          <rPr>
            <sz val="10"/>
            <rFont val="Arial"/>
            <family val="1"/>
          </rPr>
          <t>Kevin McFarland:
all of the material is in one signal plane at the front of the module.  This is the thickness PER PLANE</t>
        </r>
      </text>
    </comment>
    <comment ref="B41" authorId="0">
      <text>
        <r>
          <rPr>
            <sz val="10"/>
            <rFont val="Arial"/>
            <family val="1"/>
          </rPr>
          <t>all of the nuclear target material is in one single plane at the front of the modules, 2.5cm/4</t>
        </r>
      </text>
    </comment>
    <comment ref="B49" authorId="0">
      <text>
        <r>
          <rPr>
            <sz val="10"/>
            <rFont val="Arial"/>
            <family val="1"/>
          </rPr>
          <t>Remember: one strip on edge must be halved to round off with square!</t>
        </r>
      </text>
    </comment>
    <comment ref="B90" authorId="0">
      <text>
        <r>
          <rPr>
            <sz val="10"/>
            <rFont val="Arial"/>
            <family val="1"/>
          </rPr>
          <t>Under the assumption that we use two fibers per OD extrusion</t>
        </r>
      </text>
    </comment>
    <comment ref="B95" authorId="0">
      <text>
        <r>
          <rPr>
            <sz val="10"/>
            <rFont val="Arial"/>
            <family val="1"/>
          </rPr>
          <t>One strip per two fibers</t>
        </r>
      </text>
    </comment>
    <comment ref="B96" authorId="0">
      <text>
        <r>
          <rPr>
            <sz val="10"/>
            <rFont val="Arial"/>
            <family val="1"/>
          </rPr>
          <t>Assumed granularity is 2 sides and per module</t>
        </r>
      </text>
    </comment>
    <comment ref="B105" authorId="0">
      <text>
        <r>
          <rPr>
            <sz val="10"/>
            <rFont val="Arial"/>
            <family val="1"/>
          </rPr>
          <t>Uses the mean side length to estimate mean strip length</t>
        </r>
      </text>
    </comment>
    <comment ref="B106" authorId="0">
      <text>
        <r>
          <rPr>
            <sz val="10"/>
            <rFont val="Arial"/>
            <family val="1"/>
          </rPr>
          <t>Use mean side length to estimate mean absorber length</t>
        </r>
      </text>
    </comment>
    <comment ref="B111" authorId="0">
      <text>
        <r>
          <rPr>
            <sz val="10"/>
            <rFont val="Arial"/>
            <family val="1"/>
          </rPr>
          <t>This doe not include HCAL plates that extend into the OD</t>
        </r>
      </text>
    </comment>
    <comment ref="B118" authorId="0">
      <text>
        <r>
          <rPr>
            <sz val="10"/>
            <rFont val="Arial"/>
            <family val="1"/>
          </rPr>
          <t>Under the assumption that we use two fibers per OD extrusion</t>
        </r>
      </text>
    </comment>
    <comment ref="B123" authorId="0">
      <text>
        <r>
          <rPr>
            <sz val="10"/>
            <rFont val="Arial"/>
            <family val="1"/>
          </rPr>
          <t>One strip per two fibers</t>
        </r>
      </text>
    </comment>
    <comment ref="B124" authorId="0">
      <text>
        <r>
          <rPr>
            <sz val="10"/>
            <rFont val="Arial"/>
            <family val="1"/>
          </rPr>
          <t>Assumed granularity is 2 sides and per TWO modules</t>
        </r>
      </text>
    </comment>
    <comment ref="B133" authorId="0">
      <text>
        <r>
          <rPr>
            <sz val="10"/>
            <rFont val="Arial"/>
            <family val="1"/>
          </rPr>
          <t>Uses the mean side length to estimate mean strip length</t>
        </r>
      </text>
    </comment>
    <comment ref="B134" authorId="0">
      <text>
        <r>
          <rPr>
            <sz val="10"/>
            <rFont val="Arial"/>
            <family val="1"/>
          </rPr>
          <t>Use mean side length to estimate mean absorber length</t>
        </r>
      </text>
    </comment>
    <comment ref="B139" authorId="0">
      <text>
        <r>
          <rPr>
            <sz val="10"/>
            <rFont val="Arial"/>
            <family val="1"/>
          </rPr>
          <t>This doe not include HCAL plates that extend into the OD</t>
        </r>
      </text>
    </comment>
    <comment ref="B149" authorId="0">
      <text>
        <r>
          <rPr>
            <sz val="10"/>
            <rFont val="Arial"/>
            <family val="1"/>
          </rPr>
          <t>Kevin McFarland:
actually it's two modules of 15cm steel and one with no steel.  This is the average.</t>
        </r>
      </text>
    </comment>
    <comment ref="B163" authorId="0">
      <text>
        <r>
          <rPr>
            <sz val="10"/>
            <rFont val="Arial"/>
            <family val="1"/>
          </rPr>
          <t>Assume G-10</t>
        </r>
      </text>
    </comment>
  </commentList>
</comments>
</file>

<file path=xl/sharedStrings.xml><?xml version="1.0" encoding="utf-8"?>
<sst xmlns="http://schemas.openxmlformats.org/spreadsheetml/2006/main" count="660" uniqueCount="630">
  <si>
    <t>version:</t>
  </si>
  <si>
    <t>(5=changes post-MRI05: OD slot width)</t>
  </si>
  <si>
    <r>
      <rPr>
        <b/>
        <i/>
        <sz val="10"/>
        <rFont val="Arial"/>
        <family val="1"/>
      </rPr>
      <t>nsf, doe, mri?</t>
    </r>
  </si>
  <si>
    <t>doe</t>
  </si>
  <si>
    <t>controls the EPO section and detector scope in the case of the “MRI” flag</t>
  </si>
  <si>
    <t>contingency:</t>
  </si>
  <si>
    <t>yes or no?</t>
  </si>
  <si>
    <t>no</t>
  </si>
  <si>
    <r>
      <rPr>
        <sz val="10"/>
        <color indexed="8"/>
        <rFont val="Arial"/>
        <family val="0"/>
      </rPr>
      <t>Param: Work hours/yr</t>
    </r>
  </si>
  <si>
    <t>assume 85% efficiency on 2080 hrs</t>
  </si>
  <si>
    <r>
      <rPr>
        <sz val="10"/>
        <color indexed="8"/>
        <rFont val="Arial"/>
        <family val="0"/>
      </rPr>
      <t>Parms: Work hours/wk</t>
    </r>
  </si>
  <si>
    <r>
      <rPr>
        <sz val="10"/>
        <color indexed="8"/>
        <rFont val="Arial"/>
        <family val="0"/>
      </rPr>
      <t>Param: PAS machine shop</t>
    </r>
  </si>
  <si>
    <t>FY06 costs</t>
  </si>
  <si>
    <t>FY06 costs</t>
  </si>
  <si>
    <r>
      <rPr>
        <sz val="10"/>
        <color indexed="8"/>
        <rFont val="Arial"/>
        <family val="0"/>
      </rPr>
      <t>Param: FNAL-resident Tech</t>
    </r>
  </si>
  <si>
    <t>FY05 costs</t>
  </si>
  <si>
    <r>
      <rPr>
        <sz val="10"/>
        <color indexed="8"/>
        <rFont val="Arial"/>
        <family val="0"/>
      </rPr>
      <t>Param: Eileen's FNAL tech I</t>
    </r>
  </si>
  <si>
    <t>as per Eileen, 8/15/05, includes “OPTO/VAC/FRINGE”.  Does this include G&amp;A?  not sure</t>
  </si>
  <si>
    <r>
      <rPr>
        <sz val="10"/>
        <color indexed="8"/>
        <rFont val="Arial"/>
        <family val="0"/>
      </rPr>
      <t>Param: Eileen's FNAL tech specialist</t>
    </r>
  </si>
  <si>
    <r>
      <rPr>
        <sz val="10"/>
        <color indexed="8"/>
        <rFont val="Arial"/>
        <family val="0"/>
      </rPr>
      <t>Param: Roch Grad Student</t>
    </r>
  </si>
  <si>
    <t>would be $25.6K stipend+fringe -&gt; $33.0K</t>
  </si>
  <si>
    <r>
      <rPr>
        <b/>
        <i/>
        <sz val="10"/>
        <rFont val="Arial"/>
        <family val="2"/>
      </rPr>
      <t>BoE Categories</t>
    </r>
  </si>
  <si>
    <t>Contingency</t>
  </si>
  <si>
    <t>Cat. ID</t>
  </si>
  <si>
    <t>vendor quote</t>
  </si>
  <si>
    <t>vendor quote, Yen or Euro sensitivity</t>
  </si>
  <si>
    <t>1a</t>
  </si>
  <si>
    <t>factory as previously built</t>
  </si>
  <si>
    <t>one-time as previously built</t>
  </si>
  <si>
    <t>designed</t>
  </si>
  <si>
    <t>Labor Roll-Ups</t>
  </si>
  <si>
    <t>Hours</t>
  </si>
  <si>
    <t>Months</t>
  </si>
  <si>
    <t>Cable/ODU Labor (WBS 4)</t>
  </si>
  <si>
    <t xml:space="preserve">Rochester Technicians  </t>
  </si>
  <si>
    <t xml:space="preserve">FNAL Technicians  </t>
  </si>
  <si>
    <t>WLS Fiber Labor (WBS 2)</t>
  </si>
  <si>
    <t xml:space="preserve">Rochester Technicians  </t>
  </si>
  <si>
    <t>Contingency Categories</t>
  </si>
  <si>
    <t>Sub-category roll-ups</t>
  </si>
  <si>
    <r>
      <rPr>
        <sz val="10"/>
        <rFont val="Arial"/>
        <family val="1"/>
      </rPr>
      <t>current calc.</t>
    </r>
  </si>
  <si>
    <t>w/ cont</t>
  </si>
  <si>
    <t>w/o cont</t>
  </si>
  <si>
    <r>
      <rPr>
        <sz val="10"/>
        <rFont val="Arial"/>
        <family val="1"/>
      </rPr>
      <t>cont frac.</t>
    </r>
  </si>
  <si>
    <r>
      <rPr>
        <sz val="10"/>
        <rFont val="Arial"/>
        <family val="1"/>
      </rPr>
      <t>BoE Type</t>
    </r>
  </si>
  <si>
    <r>
      <rPr>
        <sz val="10"/>
        <rFont val="Arial"/>
        <family val="1"/>
      </rPr>
      <t>BoE Source</t>
    </r>
  </si>
  <si>
    <t>Cable/ODU (WBS 4)</t>
  </si>
  <si>
    <t>optical cable tester M&amp;S</t>
  </si>
  <si>
    <t>4,</t>
  </si>
  <si>
    <t>as-realized and engineering estimate costs</t>
  </si>
  <si>
    <t>UR CMS light injector (2004); as-realized costs for hardware; engineering design and vendor quotes for DAQ</t>
  </si>
  <si>
    <t>optical cable tester design</t>
  </si>
  <si>
    <t>4,</t>
  </si>
  <si>
    <t>as-realized and engineering estimate costs</t>
  </si>
  <si>
    <t>UR CMS light injector (2004); as-realized costs for hardware; engineering design and vendor quotes for DAQ</t>
  </si>
  <si>
    <t>optical cable tester assembly</t>
  </si>
  <si>
    <t>4,</t>
  </si>
  <si>
    <t>as-realized and engineering estimate costs</t>
  </si>
  <si>
    <t>UR CMS light injector (2004); as-realized costs for hardware; engineering design and vendor quotes for DAQ</t>
  </si>
  <si>
    <t>optical cable mapper M&amp;S</t>
  </si>
  <si>
    <t>4,</t>
  </si>
  <si>
    <t>physicist estimate</t>
  </si>
  <si>
    <t>estimate from physicist generated parts list, experience with UR CMS light injector (2004)</t>
  </si>
  <si>
    <t>optical cable mapper design</t>
  </si>
  <si>
    <t>4,</t>
  </si>
  <si>
    <t>physicist estimate</t>
  </si>
  <si>
    <t>estimate from physicist generated parts list, experience with UR CMS light injector (2004)</t>
  </si>
  <si>
    <t>optical cable mapper assembly</t>
  </si>
  <si>
    <t>4,</t>
  </si>
  <si>
    <t>physicist estimate</t>
  </si>
  <si>
    <t>estimate from physicist generated parts list, experience with UR CMS light injector (2004)</t>
  </si>
  <si>
    <t>connector M&amp;S</t>
  </si>
  <si>
    <t>1a,</t>
  </si>
  <si>
    <t>vendor quote</t>
  </si>
  <si>
    <r>
      <rPr>
        <sz val="10"/>
        <rFont val="Arial"/>
        <family val="1"/>
      </rPr>
      <t>Fujikura/DDK USA, July 2005 quote</t>
    </r>
  </si>
  <si>
    <t>clear fiber M&amp;S</t>
  </si>
  <si>
    <t>1a,</t>
  </si>
  <si>
    <t>vendor quote</t>
  </si>
  <si>
    <r>
      <rPr>
        <sz val="10"/>
        <rFont val="Arial"/>
        <family val="1"/>
      </rPr>
      <t>Kuraray in MINERvA quantity, October 2004; shipping based on extrapolation from smaller quantity, June 2004</t>
    </r>
  </si>
  <si>
    <t>QC equipment</t>
  </si>
  <si>
    <t>1,4</t>
  </si>
  <si>
    <t>vendor quotes, physicist estimate</t>
  </si>
  <si>
    <r>
      <rPr>
        <sz val="10"/>
        <rFont val="Arial"/>
        <family val="1"/>
      </rPr>
      <t>based on early MINERvA prototyping studies</t>
    </r>
  </si>
  <si>
    <t>clear fiber QC labor</t>
  </si>
  <si>
    <t>4,</t>
  </si>
  <si>
    <t>physicist estimate</t>
  </si>
  <si>
    <r>
      <rPr>
        <sz val="10"/>
        <rFont val="Arial"/>
        <family val="1"/>
      </rPr>
      <t>based on early MINERvA prototyping studies</t>
    </r>
  </si>
  <si>
    <t xml:space="preserve"> gluing</t>
  </si>
  <si>
    <t>1,2</t>
  </si>
  <si>
    <t>direct extrapolation from as-realized costs, vendor quotes</t>
  </si>
  <si>
    <r>
      <rPr>
        <sz val="10"/>
        <rFont val="Arial"/>
        <family val="1"/>
      </rPr>
      <t>UR CDF Enplug upgrade (1994) experience with same connectors; vendor quotes for items</t>
    </r>
  </si>
  <si>
    <r>
      <rPr>
        <sz val="10"/>
        <rFont val="Arial"/>
        <family val="1"/>
      </rPr>
      <t>light-tighting M&amp;S</t>
    </r>
  </si>
  <si>
    <t>2,4</t>
  </si>
  <si>
    <t>direct extrapolation from as-realized costs of different project, physicist estimate</t>
  </si>
  <si>
    <t>MSU STAR cable construction in 2004</t>
  </si>
  <si>
    <r>
      <rPr>
        <sz val="10"/>
        <rFont val="Arial"/>
        <family val="1"/>
      </rPr>
      <t>light-tighting design</t>
    </r>
  </si>
  <si>
    <t>4,</t>
  </si>
  <si>
    <t>direct extrapolation from as-realized costs of different project, physicist estimate</t>
  </si>
  <si>
    <r>
      <rPr>
        <sz val="10"/>
        <rFont val="Arial"/>
        <family val="1"/>
      </rPr>
      <t>light tighting fixture prod. labor</t>
    </r>
  </si>
  <si>
    <t>2,4</t>
  </si>
  <si>
    <t>direct extrapolation from as-realized costs of different project, physicist estimate</t>
  </si>
  <si>
    <t>other cable consumables</t>
  </si>
  <si>
    <t>4,</t>
  </si>
  <si>
    <t>physicist estimate, based on as-realized cost of other projects</t>
  </si>
  <si>
    <r>
      <rPr>
        <sz val="10"/>
        <rFont val="Arial"/>
        <family val="1"/>
      </rPr>
      <t>UR CDF Enplug upgrade (1994) experience with same connectors; vendor quotes for items</t>
    </r>
  </si>
  <si>
    <t>cable production labor</t>
  </si>
  <si>
    <t>special</t>
  </si>
  <si>
    <t>extrapolation from as-realized costs (contingency reflects spread in different projects)</t>
  </si>
  <si>
    <r>
      <rPr>
        <sz val="10"/>
        <rFont val="Arial"/>
        <family val="1"/>
      </rPr>
      <t>MSU STAR cable construction in 2004 and UR CDF Endplug (1994), as realized.  STAR cost (most applicable project) is lower; used CDF/STAR average with CDF cost as contingent; labor costs from extrapolation of hours and UR rates</t>
    </r>
  </si>
  <si>
    <t>polishing consumables (bits, etc.)</t>
  </si>
  <si>
    <t>2,</t>
  </si>
  <si>
    <t>direct extrapolation from as-realized costs</t>
  </si>
  <si>
    <t>as-realized costs from Eileen Hahn (FNAL Lab 8) from multiple projects, most recently GLAST (2003); assumes Rochester cannot get special FNAL price of $112 but instead $150</t>
  </si>
  <si>
    <t>polishing labor</t>
  </si>
  <si>
    <t>5,</t>
  </si>
  <si>
    <t>direct extrapolation from as-realized costs</t>
  </si>
  <si>
    <t>as-realized costs from Eileen Hahn (FNAL Lab 8) from multiple projects, most recently GLAST (2003); assumes Rochester cannot get special FNAL price of $112 but instead $150</t>
  </si>
  <si>
    <t>Category Total</t>
  </si>
  <si>
    <t>WLS Fiber (WBS 2)</t>
  </si>
  <si>
    <t>WLS fiber M&amp;S</t>
  </si>
  <si>
    <t>1a,4</t>
  </si>
  <si>
    <t>vendor quote</t>
  </si>
  <si>
    <r>
      <rPr>
        <sz val="10"/>
        <rFont val="Arial"/>
        <family val="1"/>
      </rPr>
      <t>Kuraray in MINERvA quantity, October 2004; shipping based on extrapolation from smaller quantity, June 2004</t>
    </r>
  </si>
  <si>
    <t>WLS fiber QC labor</t>
  </si>
  <si>
    <t>4,</t>
  </si>
  <si>
    <t>physicist estimate</t>
  </si>
  <si>
    <r>
      <rPr>
        <sz val="10"/>
        <rFont val="Arial"/>
        <family val="1"/>
      </rPr>
      <t>based on early MINERvA prototyping studies</t>
    </r>
  </si>
  <si>
    <t>5,</t>
  </si>
  <si>
    <t>direct extrapolation from as-realized cost</t>
  </si>
  <si>
    <t>as-realized costs from Eileen Hahn (FNAL Lab 8) from multiple projects, most recently GLAST (2003); assumes Rochester cannot get special FNAL price of $112 but instead $150</t>
  </si>
  <si>
    <t>shipping from FNAL to VA factories</t>
  </si>
  <si>
    <t>4,</t>
  </si>
  <si>
    <t>physicist estimate</t>
  </si>
  <si>
    <r>
      <rPr>
        <sz val="10"/>
        <rFont val="Arial"/>
        <family val="1"/>
      </rPr>
      <t>MSU STAR cable construction in 2004 and UR CDF Endplug (1994), as realized.  STAR cost (most applicable project) is lower; used CDF/STAR average with CDF cost as contingent; labor costs from extrapolation of hours and UR rates</t>
    </r>
  </si>
  <si>
    <t>Category Total</t>
  </si>
  <si>
    <t>Grand Totals</t>
  </si>
  <si>
    <t>Number of Channels</t>
  </si>
  <si>
    <t>Channels in ID+CALS</t>
  </si>
  <si>
    <t>Channels in OD</t>
  </si>
  <si>
    <t>Volume of Scintillator (m^3)</t>
  </si>
  <si>
    <t>Embedded WLS Fiber Length (cm)</t>
  </si>
  <si>
    <t>Routed WLS Fiber Length (cm)</t>
  </si>
  <si>
    <t>Total WLS Fiber Length (km)</t>
  </si>
  <si>
    <t>Clear Fiber Length (km)</t>
  </si>
  <si>
    <t>Number of M-64s</t>
  </si>
  <si>
    <t>Empty M-64 Channels</t>
  </si>
  <si>
    <t>Mass of ID (metric tons)</t>
  </si>
  <si>
    <t>Mass of OD in ID region</t>
  </si>
  <si>
    <t>Mass of CALS</t>
  </si>
  <si>
    <t>Mass of OD in CAL region</t>
  </si>
  <si>
    <r>
      <rPr>
        <sz val="10"/>
        <color indexed="8"/>
        <rFont val="Arial"/>
        <family val="0"/>
      </rPr>
      <t>Total MINERvA Mass</t>
    </r>
  </si>
  <si>
    <t>Plastic Region Mass (metric tons)</t>
  </si>
  <si>
    <t>Data Rate (bits/spill)</t>
  </si>
  <si>
    <t>Channels in MR</t>
  </si>
  <si>
    <t>Channels in Veto</t>
  </si>
  <si>
    <t>Mass of MR</t>
  </si>
  <si>
    <t>Mass of Veto</t>
  </si>
  <si>
    <t>Detector Parameters</t>
  </si>
  <si>
    <t>Current</t>
  </si>
  <si>
    <t>Proposal design</t>
  </si>
  <si>
    <t>Number of ID fully active modules</t>
  </si>
  <si>
    <r>
      <rPr>
        <sz val="10"/>
        <color indexed="8"/>
        <rFont val="Arial"/>
        <family val="0"/>
      </rPr>
      <t>Number of US Ecal</t>
    </r>
  </si>
  <si>
    <r>
      <rPr>
        <sz val="10"/>
        <color indexed="8"/>
        <rFont val="Arial"/>
        <family val="0"/>
      </rPr>
      <t>Number of US Hcal</t>
    </r>
  </si>
  <si>
    <r>
      <rPr>
        <sz val="10"/>
        <color indexed="8"/>
        <rFont val="Arial"/>
        <family val="0"/>
      </rPr>
      <t>Number of DS Ecal</t>
    </r>
  </si>
  <si>
    <r>
      <rPr>
        <sz val="10"/>
        <color indexed="8"/>
        <rFont val="Arial"/>
        <family val="0"/>
      </rPr>
      <t>Number of DS Hcal</t>
    </r>
  </si>
  <si>
    <t>Number of DS Muon Ranger</t>
  </si>
  <si>
    <t>Number of US Veto</t>
  </si>
  <si>
    <t>Planes(view) per module</t>
  </si>
  <si>
    <r>
      <rPr>
        <sz val="10"/>
        <color indexed="8"/>
        <rFont val="Arial"/>
        <family val="0"/>
      </rPr>
      <t>Scint Thickness (cm)</t>
    </r>
  </si>
  <si>
    <r>
      <rPr>
        <sz val="10"/>
        <color indexed="8"/>
        <rFont val="Arial"/>
        <family val="0"/>
      </rPr>
      <t>Scint Strip Width (cm)</t>
    </r>
  </si>
  <si>
    <t>ID/OD Gap (cm)</t>
  </si>
  <si>
    <t>assuming need to bend 1.1inches when bend radius of &gt;2.5” and that coil assemblies are 2” thick</t>
  </si>
  <si>
    <t>Module Spacing (cm)</t>
  </si>
  <si>
    <t>Absorber Parameters</t>
  </si>
  <si>
    <t>US ECAL Absorber Thickness (cm)</t>
  </si>
  <si>
    <t>US HCAL Absorber Thickness (cm)</t>
  </si>
  <si>
    <t>DS ECAL Absorber Thickness (cm)</t>
  </si>
  <si>
    <t>needs to be 5/64”</t>
  </si>
  <si>
    <t>DS HCAL Absorber Thickness (cm)</t>
  </si>
  <si>
    <t>ID “Absorber” Thickness (cm)</t>
  </si>
  <si>
    <t>this is the maximum of the Pb absorber and routing plate thickness</t>
  </si>
  <si>
    <t>ID Pb Ring Width (cm)</t>
  </si>
  <si>
    <r>
      <rPr>
        <sz val="10"/>
        <color indexed="8"/>
        <rFont val="Arial"/>
        <family val="0"/>
      </rPr>
      <t>ok to be metric</t>
    </r>
  </si>
  <si>
    <t>ID Parameters</t>
  </si>
  <si>
    <t>ID Strips per plane</t>
  </si>
  <si>
    <t>ID Minor Diameter</t>
  </si>
  <si>
    <t>this should be exact since strips are extruded</t>
  </si>
  <si>
    <t>Minimum Inner Height</t>
  </si>
  <si>
    <t>Maximum Inner Height</t>
  </si>
  <si>
    <t>Mean Inner Height</t>
  </si>
  <si>
    <t>Total ID strips</t>
  </si>
  <si>
    <t>Total ID M-64s</t>
  </si>
  <si>
    <r>
      <rPr>
        <sz val="10"/>
        <color indexed="8"/>
        <rFont val="Arial"/>
        <family val="0"/>
      </rPr>
      <t>Total ID scint volume (cc)</t>
    </r>
  </si>
  <si>
    <t>Side ECAL Absorber Volume (cc)</t>
  </si>
  <si>
    <r>
      <rPr>
        <sz val="10"/>
        <color indexed="8"/>
        <rFont val="Arial"/>
        <family val="0"/>
      </rPr>
      <t>Total ID Mass (Pb+Scint) (tons)</t>
    </r>
  </si>
  <si>
    <t>Calorimeter Parameters</t>
  </si>
  <si>
    <t>US ECAL Strips</t>
  </si>
  <si>
    <t>US HCAL Strips</t>
  </si>
  <si>
    <t>DS ECAL Strips</t>
  </si>
  <si>
    <t>DS HCAL Strips</t>
  </si>
  <si>
    <t>Total CAL Strips</t>
  </si>
  <si>
    <t>Total CAL M-64s</t>
  </si>
  <si>
    <t>US ECAL Absorber Volume</t>
  </si>
  <si>
    <t>DS HCAL Absorber Volume</t>
  </si>
  <si>
    <t>US ECAL Absorber Volume</t>
  </si>
  <si>
    <t>DS HCAL Absorber Volume</t>
  </si>
  <si>
    <r>
      <rPr>
        <sz val="10"/>
        <color indexed="8"/>
        <rFont val="Arial"/>
        <family val="0"/>
      </rPr>
      <t>US ECAL Scint Volume</t>
    </r>
  </si>
  <si>
    <r>
      <rPr>
        <sz val="10"/>
        <color indexed="8"/>
        <rFont val="Arial"/>
        <family val="0"/>
      </rPr>
      <t>US HCAL Scint Volume</t>
    </r>
  </si>
  <si>
    <r>
      <rPr>
        <sz val="10"/>
        <color indexed="8"/>
        <rFont val="Arial"/>
        <family val="0"/>
      </rPr>
      <t>DS ECAL Scint Volume</t>
    </r>
  </si>
  <si>
    <r>
      <rPr>
        <sz val="10"/>
        <color indexed="8"/>
        <rFont val="Arial"/>
        <family val="0"/>
      </rPr>
      <t>DS HCAL Scint Volume</t>
    </r>
  </si>
  <si>
    <t>US ECAL Mass (tons)</t>
  </si>
  <si>
    <t>US HCAL Mass (tons)</t>
  </si>
  <si>
    <t>DS ECAL Mass (tons)</t>
  </si>
  <si>
    <t>DS HCAL Mass (tons)</t>
  </si>
  <si>
    <t>Common OD Parameters</t>
  </si>
  <si>
    <t>ID Planes per OD Plane</t>
  </si>
  <si>
    <t>Width of Slot for Active Elements</t>
  </si>
  <si>
    <t>1" is spec for flame cut (previously was width plus 1/4" but revised as per vendor minimum supported)</t>
  </si>
  <si>
    <t>Width of Active Elements</t>
  </si>
  <si>
    <t>DOE proposal onward has 1.9cm (approx. square) extrusions, (previously was 1")</t>
  </si>
  <si>
    <t>Steel width #1</t>
  </si>
  <si>
    <t>agrees with English units drawing to one mil</t>
  </si>
  <si>
    <t>Steel width #2</t>
  </si>
  <si>
    <t>agrees with English units drawing to one mil</t>
  </si>
  <si>
    <t>Outer Steel width</t>
  </si>
  <si>
    <t>agrees with English units drawing to one mil</t>
  </si>
  <si>
    <t>OD Steel Thickness</t>
  </si>
  <si>
    <t>Main OD Parameters</t>
  </si>
  <si>
    <t>Active Elements per Tower</t>
  </si>
  <si>
    <t>Independent Elements per Tower</t>
  </si>
  <si>
    <t>a tower is 1/6 of a hexagon</t>
  </si>
  <si>
    <t>Total Modules covered by OD</t>
  </si>
  <si>
    <r>
      <rPr>
        <sz val="10"/>
        <color indexed="8"/>
        <rFont val="Arial"/>
        <family val="0"/>
      </rPr>
      <t>this does not cover first 15 modules of ID nor US CALs</t>
    </r>
  </si>
  <si>
    <t>Total OD frames</t>
  </si>
  <si>
    <t>Total Towers</t>
  </si>
  <si>
    <t>Total OD Channels</t>
  </si>
  <si>
    <t>Total OD Strips</t>
  </si>
  <si>
    <t>Total OD M-64s</t>
  </si>
  <si>
    <t>Number of Steel #1</t>
  </si>
  <si>
    <t>Number of Steel #2</t>
  </si>
  <si>
    <t>Total width</t>
  </si>
  <si>
    <t>Minimum OD Minor Radius</t>
  </si>
  <si>
    <t>Maximum OD Minor Radius</t>
  </si>
  <si>
    <t>Minimum Side Length</t>
  </si>
  <si>
    <t>Maximum Side Length</t>
  </si>
  <si>
    <t>Mean Side Length</t>
  </si>
  <si>
    <r>
      <rPr>
        <sz val="10"/>
        <color indexed="8"/>
        <rFont val="Arial"/>
        <family val="0"/>
      </rPr>
      <t>Total OD scint volume (cc)</t>
    </r>
  </si>
  <si>
    <t>Total OD Steel volume (cc)</t>
  </si>
  <si>
    <t>Total Routing Plate volume (cc)</t>
  </si>
  <si>
    <t>Length of the OD</t>
  </si>
  <si>
    <t>this calculation embeds information about which planes are included</t>
  </si>
  <si>
    <t>Total Minor Diameter</t>
  </si>
  <si>
    <t>Total Major Diameter</t>
  </si>
  <si>
    <r>
      <rPr>
        <sz val="10"/>
        <color indexed="8"/>
        <rFont val="Arial"/>
        <family val="0"/>
      </rPr>
      <t>Mass of OD (Scint+Steel+Routing)</t>
    </r>
  </si>
  <si>
    <t>Mass of OD in ID region</t>
  </si>
  <si>
    <t>this calculation embeds information about which planes are included</t>
  </si>
  <si>
    <t>Mass of OD in DS ECAL region</t>
  </si>
  <si>
    <t>Mass of OD in DS HCAL region</t>
  </si>
  <si>
    <t>Thin OD Parameters</t>
  </si>
  <si>
    <t>Active Elements per Tower</t>
  </si>
  <si>
    <t>Independent Elements per Tower</t>
  </si>
  <si>
    <t>a tower is 1/6 of a hexagon</t>
  </si>
  <si>
    <t>Modules covered by this OD</t>
  </si>
  <si>
    <r>
      <rPr>
        <sz val="10"/>
        <color indexed="8"/>
        <rFont val="Arial"/>
        <family val="0"/>
      </rPr>
      <t>this covers first 15 planes of ID and US CALs</t>
    </r>
  </si>
  <si>
    <t>Total OD frames</t>
  </si>
  <si>
    <t xml:space="preserve"> </t>
  </si>
  <si>
    <t>Total Towers</t>
  </si>
  <si>
    <t>Total OD Channels</t>
  </si>
  <si>
    <t>Total OD Strips</t>
  </si>
  <si>
    <t>Total OD M-64s</t>
  </si>
  <si>
    <t>two module/two side granularity assumed</t>
  </si>
  <si>
    <t>Number of Steel #1</t>
  </si>
  <si>
    <t>Number of Steel #2</t>
  </si>
  <si>
    <t>Total width</t>
  </si>
  <si>
    <t>Minimum OD Minor Radius</t>
  </si>
  <si>
    <t>Maximum OD Minor Radius</t>
  </si>
  <si>
    <t>Minimum Side Length</t>
  </si>
  <si>
    <t>Maximum Side Length</t>
  </si>
  <si>
    <t>Mean Side Length</t>
  </si>
  <si>
    <r>
      <rPr>
        <sz val="10"/>
        <color indexed="8"/>
        <rFont val="Arial"/>
        <family val="0"/>
      </rPr>
      <t>Total OD scint volume (cc)</t>
    </r>
  </si>
  <si>
    <t>Total OD Steel volume (cc)</t>
  </si>
  <si>
    <t>Total Routing Plate volume (cc)</t>
  </si>
  <si>
    <t>Length of the OD</t>
  </si>
  <si>
    <t>this calculation embeds information about which planes are included</t>
  </si>
  <si>
    <t>Total Minor Diameter</t>
  </si>
  <si>
    <t>Total Major Diameter</t>
  </si>
  <si>
    <r>
      <rPr>
        <sz val="10"/>
        <color indexed="8"/>
        <rFont val="Arial"/>
        <family val="0"/>
      </rPr>
      <t>Mass of OD (Scint+Steel+Routing)</t>
    </r>
  </si>
  <si>
    <t>Mass of OD in ID region</t>
  </si>
  <si>
    <t>this calculation embeds information about which planes are included</t>
  </si>
  <si>
    <t>Mass of OD in US ECAL region</t>
  </si>
  <si>
    <t>Mass of OD in US HCAL region</t>
  </si>
  <si>
    <t>MR/Veto Parameters</t>
  </si>
  <si>
    <t>Strips per plane</t>
  </si>
  <si>
    <t>Minimum Strip Length</t>
  </si>
  <si>
    <t>Maximum Strip Length</t>
  </si>
  <si>
    <t>Mean Strip Length</t>
  </si>
  <si>
    <t>MR/Veto Absorber Thickness</t>
  </si>
  <si>
    <t>Total MR/Veto Channels</t>
  </si>
  <si>
    <t>Total MR/Veto M-64s</t>
  </si>
  <si>
    <r>
      <rPr>
        <sz val="10"/>
        <color indexed="8"/>
        <rFont val="Arial"/>
        <family val="0"/>
      </rPr>
      <t>Total MR/Veto Scint Volume</t>
    </r>
  </si>
  <si>
    <t>MR/Veto Abs Volume</t>
  </si>
  <si>
    <t>Length of the MR</t>
  </si>
  <si>
    <t>Mass of MR (metric tons)</t>
  </si>
  <si>
    <t>Length of the Veto</t>
  </si>
  <si>
    <t>Mass of Veto (metric tons)</t>
  </si>
  <si>
    <t>Densities</t>
  </si>
  <si>
    <t>“Pb” Absorber Density</t>
  </si>
  <si>
    <t>Lead Calcium (0.065%) Tin (1.5%) Alloy (fractions by weight)</t>
  </si>
  <si>
    <r>
      <rPr>
        <sz val="10"/>
        <color indexed="8"/>
        <rFont val="Arial"/>
        <family val="0"/>
      </rPr>
      <t>Scint Density</t>
    </r>
  </si>
  <si>
    <t>Steel Density</t>
  </si>
  <si>
    <t>Routing Plate Density</t>
  </si>
  <si>
    <t>Alloy Worksheet</t>
  </si>
  <si>
    <r>
      <rPr>
        <sz val="10"/>
        <rFont val="Arial"/>
        <family val="0"/>
      </rPr>
      <t>weight frac</t>
    </r>
  </si>
  <si>
    <t>density</t>
  </si>
  <si>
    <r>
      <rPr>
        <sz val="10"/>
        <rFont val="Arial"/>
        <family val="0"/>
      </rPr>
      <t>volume frac</t>
    </r>
  </si>
  <si>
    <t>Our Ca/Sn hardened lead alloy</t>
  </si>
  <si>
    <t>Pb</t>
  </si>
  <si>
    <t>Ca</t>
  </si>
  <si>
    <t>Sn</t>
  </si>
  <si>
    <t>Al</t>
  </si>
  <si>
    <t>Clear Fiber Cable Length</t>
  </si>
  <si>
    <t>PMT Boxes at 10, 12 and 2 O'Clock on the detector</t>
  </si>
  <si>
    <r>
      <rPr>
        <sz val="10"/>
        <color indexed="8"/>
        <rFont val="Arial"/>
        <family val="0"/>
      </rPr>
      <t>ID, CALs, MR, Veto per fiber</t>
    </r>
  </si>
  <si>
    <t>ID fibers are WLS out to connector at edge of pan at 9 (U), 11 (X and U), 1 (X and V), 3 (V) O'Clock, then need to bring to the nearest PMT box.  Assume half  the length of an outer side; add 25cm slop</t>
  </si>
  <si>
    <t>OD per fiber</t>
  </si>
  <si>
    <t>OD fibers are WLS out to connector at edge of pan.  Connector at 8, 10, 12(x2), 2 and 4 O'Clock.  All local (only slop) except 8 and 4 O'Clock (1/3 of total) which require 1.2*OD. Add 25cm slop</t>
  </si>
  <si>
    <t>ID Total</t>
  </si>
  <si>
    <t>US ECAL ID</t>
  </si>
  <si>
    <t>US HCAL ID</t>
  </si>
  <si>
    <t>DS ECAL ID</t>
  </si>
  <si>
    <t>DS HCAL ID</t>
  </si>
  <si>
    <t>MR/Veto</t>
  </si>
  <si>
    <t>OD</t>
  </si>
  <si>
    <t>Grand Total</t>
  </si>
  <si>
    <t>Revised cost or spare fraction</t>
  </si>
  <si>
    <t>New item</t>
  </si>
  <si>
    <t>Requires Revision?</t>
  </si>
  <si>
    <t>Units to Build</t>
  </si>
  <si>
    <t>Spare Fraction</t>
  </si>
  <si>
    <t>Waste Fraction</t>
  </si>
  <si>
    <t>Relative To</t>
  </si>
  <si>
    <t>Notes</t>
  </si>
  <si>
    <t>WLS Fibers</t>
  </si>
  <si>
    <t>channel count</t>
  </si>
  <si>
    <t>WLS Fiber Length (cm)</t>
  </si>
  <si>
    <t>WLS fibers</t>
  </si>
  <si>
    <t>Clear Fiber Cables</t>
  </si>
  <si>
    <t>PMT count</t>
  </si>
  <si>
    <t>10% spares, 4% destroyed in production</t>
  </si>
  <si>
    <t>Fiber Length in Cables (cm)</t>
  </si>
  <si>
    <t>Cables</t>
  </si>
  <si>
    <t>Optical Decoder Units (PMT boxes)</t>
  </si>
  <si>
    <t>PMT count</t>
  </si>
  <si>
    <t>need # of Tony's box production count (550 produced, 503 needed, 9.3%), 4% destroyed in production</t>
  </si>
  <si>
    <t>Length of Fiber in finished ODU (cm)</t>
  </si>
  <si>
    <t>50cm per ODU fiber: final product per box &lt;8” needed length+5cm extra for cookie installation (double this for ODU), undoubtedly still an overestimate</t>
  </si>
  <si>
    <t>Fiber Length in ODUS (cm)</t>
  </si>
  <si>
    <r>
      <rPr>
        <sz val="10"/>
        <rFont val="Arial"/>
        <family val="1"/>
      </rPr>
      <t>ODUs</t>
    </r>
  </si>
  <si>
    <t>0.8% waste from cut-back QC test (25m/3km)+4% waste from cut/polish (2.5cm, avg. length of 0.5m)</t>
  </si>
  <si>
    <t>Cable and ODU connectors</t>
  </si>
  <si>
    <t>derived</t>
  </si>
  <si>
    <t>Pan Connectors</t>
  </si>
  <si>
    <t>channel count</t>
  </si>
  <si>
    <t>All Connectors</t>
  </si>
  <si>
    <t>derived</t>
  </si>
  <si>
    <t>Fiber and Connector Costs</t>
  </si>
  <si>
    <t>Notes</t>
  </si>
  <si>
    <t>Prototype Connector Cost (per unit)</t>
  </si>
  <si>
    <r>
      <rPr>
        <sz val="10"/>
        <rFont val="Arial"/>
        <family val="1"/>
      </rPr>
      <t>Fujikura cost estimate for prototype quantity, summer 2005 ($4.40/unit+$3.44/box); includes shipping?</t>
    </r>
  </si>
  <si>
    <t>Connector Cost (per unit)</t>
  </si>
  <si>
    <r>
      <rPr>
        <sz val="10"/>
        <rFont val="Arial"/>
        <family val="1"/>
      </rPr>
      <t>Fujikura cost estimate for bulk, original summer 2004 ($2.51/unit, including box); summer 2005 revisit got ($2.51/unit + $0.77/box); includes shipping?</t>
    </r>
  </si>
  <si>
    <t>WLS Fiber Cost (/m)</t>
  </si>
  <si>
    <r>
      <rPr>
        <sz val="10"/>
        <color indexed="8"/>
        <rFont val="Arial"/>
        <family val="0"/>
      </rPr>
      <t>Kuraray quote Y11(175ppm), J-type, S-35 fiber, July 2005, based on 88km quantity.  Shipping included?</t>
    </r>
  </si>
  <si>
    <t>increase since Sept 2004</t>
  </si>
  <si>
    <t>Clear Fiber Cost (/m)</t>
  </si>
  <si>
    <r>
      <rPr>
        <sz val="10"/>
        <color indexed="8"/>
        <rFont val="Arial"/>
        <family val="0"/>
      </rPr>
      <t>Kuraray quote CLEAR-PSMS-35J, 1.2mm, July 2005, based on 42km quantity.  Shipping included?</t>
    </r>
  </si>
  <si>
    <t>increase since Sept 2004</t>
  </si>
  <si>
    <t>Mirrors (per WLS fiber)</t>
  </si>
  <si>
    <t>Eileen via Howard (including G&amp;A)</t>
  </si>
  <si>
    <t>Cable Manpower</t>
  </si>
  <si>
    <t>Notes</t>
  </si>
  <si>
    <t>Tech-hours/ODU</t>
  </si>
  <si>
    <t>revised estimate from Howard 17 August 2005, 0.92 hrs/cable, contingency must include at least 1.1 hrs/cable (which is 20%).  I go for 30%</t>
  </si>
  <si>
    <t>Tech-hours/cable for light tight</t>
  </si>
  <si>
    <t>revised estimate from Howard, 17 August 2005</t>
  </si>
  <si>
    <t>WBS</t>
  </si>
  <si>
    <t>Cable and Connector Parts Costs</t>
  </si>
  <si>
    <t>M&amp;S</t>
  </si>
  <si>
    <t>EDIA</t>
  </si>
  <si>
    <t>Labor</t>
  </si>
  <si>
    <t>Notes</t>
  </si>
  <si>
    <t>Optical Cable Tester (sub-category)</t>
  </si>
  <si>
    <t>quantity (1), built by Rochester</t>
  </si>
  <si>
    <t>GPIB Interface and Cable</t>
  </si>
  <si>
    <t>Lab View License</t>
  </si>
  <si>
    <t>academic price</t>
  </si>
  <si>
    <t>Windows DAQ Computer</t>
  </si>
  <si>
    <t>donate from existing Rochester stock</t>
  </si>
  <si>
    <r>
      <rPr>
        <sz val="10"/>
        <color indexed="8"/>
        <rFont val="Arial"/>
        <family val="0"/>
      </rPr>
      <t>Keithley 7001 Switching System</t>
    </r>
  </si>
  <si>
    <t>approx. catalog prices</t>
  </si>
  <si>
    <r>
      <rPr>
        <sz val="10"/>
        <color indexed="8"/>
        <rFont val="Arial"/>
        <family val="0"/>
      </rPr>
      <t>Keithley 6485 Picoameter</t>
    </r>
  </si>
  <si>
    <t>“</t>
  </si>
  <si>
    <r>
      <rPr>
        <sz val="10"/>
        <color indexed="8"/>
        <rFont val="Arial"/>
        <family val="0"/>
      </rPr>
      <t>Keithley 7058 Scanning Card</t>
    </r>
  </si>
  <si>
    <t>“</t>
  </si>
  <si>
    <r>
      <rPr>
        <sz val="10"/>
        <color indexed="8"/>
        <rFont val="Arial"/>
        <family val="0"/>
      </rPr>
      <t>Parts for Optomechanical Bench</t>
    </r>
  </si>
  <si>
    <t>way inflated cost based on Budd design for CMS HCAL light injector (2004); parts cost for this were ~$2300, incl. machining</t>
  </si>
  <si>
    <t>Machine Shop Time</t>
  </si>
  <si>
    <r>
      <rPr>
        <sz val="10"/>
        <color indexed="8"/>
        <rFont val="Arial"/>
        <family val="0"/>
      </rPr>
      <t>40</t>
    </r>
    <r>
      <rPr>
        <sz val="10"/>
        <rFont val="Arial"/>
        <family val="0"/>
      </rPr>
      <t xml:space="preserve"> hrs; based on Budd CMS HCAL light injector (2004); polishing fibers, plexiglas piece with pin diode; scintillator machining</t>
    </r>
  </si>
  <si>
    <t>note that aluminum machining for holders is included above in “parts” above</t>
  </si>
  <si>
    <r>
      <rPr>
        <sz val="10"/>
        <color indexed="8"/>
        <rFont val="Arial"/>
        <family val="0"/>
      </rPr>
      <t>Design of Optomechanical Bench</t>
    </r>
  </si>
  <si>
    <t>50 hrs; estimate a little over two weeks for design and assembly</t>
  </si>
  <si>
    <t>Physicist Oversight of Design</t>
  </si>
  <si>
    <t>60 hrs</t>
  </si>
  <si>
    <t>Assembly Time</t>
  </si>
  <si>
    <t>40 hrs</t>
  </si>
  <si>
    <t>Readout Assembly</t>
  </si>
  <si>
    <r>
      <rPr>
        <sz val="10"/>
        <color indexed="8"/>
        <rFont val="Arial"/>
        <family val="0"/>
      </rPr>
      <t>4 wks, graduate student, Rochester operating funds by common agreement</t>
    </r>
  </si>
  <si>
    <t>Total OCT costs</t>
  </si>
  <si>
    <t>Labor Gathered from Above</t>
  </si>
  <si>
    <t>UR Engineer</t>
  </si>
  <si>
    <t>UR Technician</t>
  </si>
  <si>
    <t>Optical Cable Mapper (sub-category)</t>
  </si>
  <si>
    <t>quantity (1), built by Rochester</t>
  </si>
  <si>
    <t>Design</t>
  </si>
  <si>
    <t>3 days, engineer</t>
  </si>
  <si>
    <t>Physicist Oversight of Design</t>
  </si>
  <si>
    <t>4 days</t>
  </si>
  <si>
    <t>LEDs, Filters, Power Electronics</t>
  </si>
  <si>
    <r>
      <rPr>
        <sz val="10"/>
        <rFont val="Arial"/>
        <family val="1"/>
      </rPr>
      <t>HB estimate, aug '05</t>
    </r>
  </si>
  <si>
    <t>Parts for Bench/Box</t>
  </si>
  <si>
    <t>guess</t>
  </si>
  <si>
    <t>Machine Shop Time</t>
  </si>
  <si>
    <r>
      <rPr>
        <sz val="10"/>
        <rFont val="Arial"/>
        <family val="1"/>
      </rPr>
      <t>35 hours, HB estimate, aug '05</t>
    </r>
  </si>
  <si>
    <t>Assembly Time</t>
  </si>
  <si>
    <r>
      <rPr>
        <sz val="10"/>
        <rFont val="Arial"/>
        <family val="1"/>
      </rPr>
      <t>1 wk technician, HB estimate, aug '05</t>
    </r>
  </si>
  <si>
    <t>Readout Assembly</t>
  </si>
  <si>
    <t>Total OCT costs</t>
  </si>
  <si>
    <t>Labor Gathered from Above</t>
  </si>
  <si>
    <t>UR Engineer</t>
  </si>
  <si>
    <t>UR Technician</t>
  </si>
  <si>
    <t>Connector Parts (sub-category)</t>
  </si>
  <si>
    <t>Prototype Connector Cost</t>
  </si>
  <si>
    <t>quantity 400, unit cost from above</t>
  </si>
  <si>
    <t>Connector Cost</t>
  </si>
  <si>
    <r>
      <rPr>
        <sz val="10"/>
        <color indexed="8"/>
        <rFont val="Arial"/>
        <family val="0"/>
      </rPr>
      <t>unit cost from above, n.b., includes Jeff's pan connectors</t>
    </r>
  </si>
  <si>
    <t>Connector Mold (Ferrule Tooling)</t>
  </si>
  <si>
    <r>
      <rPr>
        <sz val="10"/>
        <rFont val="Arial"/>
        <family val="1"/>
      </rPr>
      <t>Fujikura cost estimate, original summer 2004; summer 2005 revisit got some #.  Can this be right?</t>
    </r>
  </si>
  <si>
    <t>Total Connector Costs</t>
  </si>
  <si>
    <r>
      <rPr>
        <sz val="10"/>
        <color indexed="8"/>
        <rFont val="Arial"/>
        <family val="0"/>
      </rPr>
      <t>Param: Connectors/relap=</t>
    </r>
  </si>
  <si>
    <t>42-48 is estimate from Eileen w/ 6 conn. fixture; Howard says 36 is very conservative</t>
  </si>
  <si>
    <r>
      <rPr>
        <sz val="10"/>
        <color indexed="8"/>
        <rFont val="Arial"/>
        <family val="0"/>
      </rPr>
      <t>Param: Relaps/diamond set=</t>
    </r>
  </si>
  <si>
    <t>5 is "conservative" re-lap estimate from Eileen w/ 6 conn. fixture; Howard says 7-8 is realistic</t>
  </si>
  <si>
    <t>Derived: Diamond Sets Required=</t>
  </si>
  <si>
    <r>
      <rPr>
        <sz val="10"/>
        <rFont val="Arial"/>
        <family val="1"/>
      </rPr>
      <t>derived, each set survives #relaps+1 cycles</t>
    </r>
  </si>
  <si>
    <r>
      <rPr>
        <sz val="10"/>
        <color indexed="8"/>
        <rFont val="Arial"/>
        <family val="0"/>
      </rPr>
      <t>Derived: Total Relaps Required=</t>
    </r>
  </si>
  <si>
    <t>derived</t>
  </si>
  <si>
    <t>Cable Polishing Fixture (one time)</t>
  </si>
  <si>
    <t>Should use as-realized since this is done?  Old cost: M&amp;S Cost, Eileen via Howard (including G&amp;A)</t>
  </si>
  <si>
    <t>Polishing Diamonds</t>
  </si>
  <si>
    <r>
      <rPr>
        <sz val="10"/>
        <rFont val="Arial"/>
        <family val="1"/>
      </rPr>
      <t>$700 unit cost</t>
    </r>
  </si>
  <si>
    <r>
      <rPr>
        <sz val="10"/>
        <color indexed="8"/>
        <rFont val="Arial"/>
        <family val="0"/>
      </rPr>
      <t>Relapping Diamonds</t>
    </r>
  </si>
  <si>
    <r>
      <rPr>
        <sz val="10"/>
        <rFont val="Arial"/>
        <family val="1"/>
      </rPr>
      <t>outside vendor,$150 per relap</t>
    </r>
  </si>
  <si>
    <t>Carbide Bits</t>
  </si>
  <si>
    <t>$10 unit costs, one per diamond cycle</t>
  </si>
  <si>
    <t>Compressed Air Cans</t>
  </si>
  <si>
    <t>$5.25 unit cost, 0.5 per diamond cycle</t>
  </si>
  <si>
    <r>
      <rPr>
        <sz val="10"/>
        <color indexed="8"/>
        <rFont val="Arial"/>
        <family val="0"/>
      </rPr>
      <t>Kapton Tape (rolls)</t>
    </r>
  </si>
  <si>
    <t>$28 unit cost, 0.05 per diamond cycle</t>
  </si>
  <si>
    <t>Misc. supplies</t>
  </si>
  <si>
    <r>
      <rPr>
        <sz val="10"/>
        <rFont val="Arial"/>
        <family val="1"/>
      </rPr>
      <t>Eileen 8/16/05: “stock room+non-stock room (texwipes)” category</t>
    </r>
  </si>
  <si>
    <t>Total Polish Supplies Costs</t>
  </si>
  <si>
    <t>QC Equipment (sub-category)</t>
  </si>
  <si>
    <t>QC diamond polisher</t>
  </si>
  <si>
    <r>
      <rPr>
        <sz val="10"/>
        <rFont val="Arial"/>
        <family val="1"/>
      </rPr>
      <t>verbal quote (PM mfg) to HB, aug '05, including fixture</t>
    </r>
  </si>
  <si>
    <t>ferrules QC/prototypes</t>
  </si>
  <si>
    <r>
      <rPr>
        <sz val="10"/>
        <rFont val="Arial"/>
        <family val="1"/>
      </rPr>
      <t>700, HB aug '05 quote, Moore-Addison</t>
    </r>
  </si>
  <si>
    <t>camera</t>
  </si>
  <si>
    <r>
      <rPr>
        <sz val="10"/>
        <rFont val="Arial"/>
        <family val="1"/>
      </rPr>
      <t>HB aug '05: Nikon D50 (bh web quote)+estimate for mount ($300)</t>
    </r>
  </si>
  <si>
    <t>tooling for QC bench</t>
  </si>
  <si>
    <r>
      <rPr>
        <sz val="10"/>
        <rFont val="Arial"/>
        <family val="1"/>
      </rPr>
      <t>HB estimate, aug '05</t>
    </r>
  </si>
  <si>
    <t>Total QC Equipment</t>
  </si>
  <si>
    <r>
      <rPr>
        <i/>
        <u val="single"/>
        <sz val="10"/>
        <color indexed="8"/>
        <rFont val="Arial"/>
        <family val="0"/>
      </rPr>
      <t>Fiber for Cables and ODUs (sub-category)</t>
    </r>
  </si>
  <si>
    <r>
      <rPr>
        <sz val="10"/>
        <color indexed="8"/>
        <rFont val="Arial"/>
        <family val="2"/>
      </rPr>
      <t>pre-forms required in order</t>
    </r>
  </si>
  <si>
    <r>
      <rPr>
        <sz val="10"/>
        <rFont val="Arial"/>
        <family val="1"/>
      </rPr>
      <t>maximum 3km of fiber in a pre-form, QC repeated each pre-form; add one for prototype fiber</t>
    </r>
  </si>
  <si>
    <t>Clear Fiber for Cable Prototypes</t>
  </si>
  <si>
    <t>this is what is in Rochester 2005 SOW</t>
  </si>
  <si>
    <t>Production Clear Fiber</t>
  </si>
  <si>
    <t>Shipping from Japan</t>
  </si>
  <si>
    <t>scaling freight fraction from prototype order.  is shipping in quote?</t>
  </si>
  <si>
    <t>QC: tech time for cable</t>
  </si>
  <si>
    <t>5 hours per cut-back test cable</t>
  </si>
  <si>
    <t>QC: physicist time, analysis code</t>
  </si>
  <si>
    <t>1 physicist-week</t>
  </si>
  <si>
    <t>Total</t>
  </si>
  <si>
    <t>Labor Gathered from Above</t>
  </si>
  <si>
    <t>Technician</t>
  </si>
  <si>
    <r>
      <rPr>
        <i/>
        <u val="single"/>
        <sz val="10"/>
        <color indexed="8"/>
        <rFont val="Arial"/>
        <family val="0"/>
      </rPr>
      <t>Glue for Cables and ODUs (sub-category)</t>
    </r>
  </si>
  <si>
    <t>Glue Station Tools</t>
  </si>
  <si>
    <t>previous estimate, less centrifuge costs</t>
  </si>
  <si>
    <t>Centrifuge</t>
  </si>
  <si>
    <t>Fisher Scientific F49018 catalog</t>
  </si>
  <si>
    <t>Scale</t>
  </si>
  <si>
    <t>Fisher Scientific S68724 catalog</t>
  </si>
  <si>
    <t>Refrigerator</t>
  </si>
  <si>
    <t>5cu ft fridge, Sears catalog item #04695499000</t>
  </si>
  <si>
    <t>BC600 Epoxy</t>
  </si>
  <si>
    <t>125/unit, 1000 connectors/unit</t>
  </si>
  <si>
    <t>Glue Cups and Syringes</t>
  </si>
  <si>
    <t>assuming 20 connectors/cycle, 3.5 cents/unit ($0.7 cup)+27 cents (syringe: EDF HPD,5110CP-B,5118-B, 0.73/unit cost+$35 fixed cost)</t>
  </si>
  <si>
    <t>Other consumables (tape, air, etc.)</t>
  </si>
  <si>
    <t>$.3 per connector</t>
  </si>
  <si>
    <t>Total</t>
  </si>
  <si>
    <r>
      <rPr>
        <i/>
        <u val="single"/>
        <sz val="10"/>
        <color indexed="8"/>
        <rFont val="Arial"/>
        <family val="0"/>
      </rPr>
      <t>Other Consumables for Cables and ODUs (sub-category)</t>
    </r>
  </si>
  <si>
    <t>Cable Storage Boxes</t>
  </si>
  <si>
    <r>
      <rPr>
        <sz val="10"/>
        <rFont val="Arial"/>
        <family val="1"/>
      </rPr>
      <t>50/box, 6”x6”x70” ($225/100 units, fast-box.com)</t>
    </r>
  </si>
  <si>
    <t>ODU Shipping Boxes</t>
  </si>
  <si>
    <r>
      <rPr>
        <sz val="10"/>
        <rFont val="Arial"/>
        <family val="1"/>
      </rPr>
      <t>50/box, 6”x6”x40” ($100/50 units, fast-box.com)</t>
    </r>
  </si>
  <si>
    <t>Total</t>
  </si>
  <si>
    <t>Cables and ODU Labor (sub-category)</t>
  </si>
  <si>
    <t>Prototyping Labor</t>
  </si>
  <si>
    <t>have no estimate currently for prototyping time!!</t>
  </si>
  <si>
    <t>Cable Production Labor</t>
  </si>
  <si>
    <t>see above for unit labor costs</t>
  </si>
  <si>
    <r>
      <rPr>
        <sz val="10"/>
        <color indexed="8"/>
        <rFont val="Arial"/>
        <family val="0"/>
      </rPr>
      <t>Light-Tighting Labor</t>
    </r>
  </si>
  <si>
    <t>see above for unit labor costs</t>
  </si>
  <si>
    <t>Total</t>
  </si>
  <si>
    <t>Labor Gathered from Above</t>
  </si>
  <si>
    <t>Technician</t>
  </si>
  <si>
    <t>Prototyping (overlap with ODU)</t>
  </si>
  <si>
    <t>Production</t>
  </si>
  <si>
    <t>Cable and ODU Polishing Labor (sub-category)</t>
  </si>
  <si>
    <t>does Eileen's tech rate include FNAL G&amp;A?</t>
  </si>
  <si>
    <r>
      <rPr>
        <sz val="10"/>
        <color indexed="8"/>
        <rFont val="Arial"/>
        <family val="0"/>
      </rPr>
      <t>param: polishes per hour</t>
    </r>
  </si>
  <si>
    <r>
      <rPr>
        <sz val="10"/>
        <color indexed="8"/>
        <rFont val="Arial"/>
        <family val="0"/>
      </rPr>
      <t>param: time to replace diam. (hrs)</t>
    </r>
  </si>
  <si>
    <t>derived: time for diamond cycle</t>
  </si>
  <si>
    <t>derived: cycles per shift</t>
  </si>
  <si>
    <t>derived: total shifts spent polishing</t>
  </si>
  <si>
    <t>Polish Connectors</t>
  </si>
  <si>
    <t>36/hr.  tech I</t>
  </si>
  <si>
    <t>Diamond Exchange</t>
  </si>
  <si>
    <t>2 hrs/change.  tech spec.</t>
  </si>
  <si>
    <t>Machine Maintenance</t>
  </si>
  <si>
    <t>1hr/shift, tech 1.  Shift is integral # of cycles.</t>
  </si>
  <si>
    <t>QC/Supervision</t>
  </si>
  <si>
    <t>1.5hr/shift, tech spec</t>
  </si>
  <si>
    <t>Total</t>
  </si>
  <si>
    <t>Labor Gathered from Above</t>
  </si>
  <si>
    <t>Tech 1</t>
  </si>
  <si>
    <t>Tech Spec.</t>
  </si>
  <si>
    <r>
      <rPr>
        <i/>
        <u val="single"/>
        <sz val="10"/>
        <color indexed="8"/>
        <rFont val="Arial"/>
        <family val="0"/>
      </rPr>
      <t>Light-Tighting for Optical Cables (sub-category)</t>
    </r>
  </si>
  <si>
    <r>
      <rPr>
        <sz val="10"/>
        <color indexed="8"/>
        <rFont val="Arial"/>
        <family val="0"/>
      </rPr>
      <t>param: # of molds</t>
    </r>
  </si>
  <si>
    <t>derived: # of mold cycles</t>
  </si>
  <si>
    <t>Design and Prototype Molds</t>
  </si>
  <si>
    <t xml:space="preserve">design work cost is as realized (to date) including cost of building prototype, doubled. </t>
  </si>
  <si>
    <t>Mold Construction</t>
  </si>
  <si>
    <r>
      <rPr>
        <sz val="10"/>
        <rFont val="Arial"/>
        <family val="1"/>
      </rPr>
      <t>estimated by RF after prototype, july 2005</t>
    </r>
  </si>
  <si>
    <t>RTV</t>
  </si>
  <si>
    <t>260/unit, 400 connectors/unit</t>
  </si>
  <si>
    <t>Black Shrink Tube</t>
  </si>
  <si>
    <t>$0.3/ft</t>
  </si>
  <si>
    <t>EDF Gluing Machine</t>
  </si>
  <si>
    <r>
      <rPr>
        <sz val="10"/>
        <rFont val="Arial"/>
        <family val="1"/>
      </rPr>
      <t>HB Quote, EDF Ulltra 1400+100y5152-6 Adapter</t>
    </r>
  </si>
  <si>
    <t>Syringe and Barrel</t>
  </si>
  <si>
    <t>need 2*#cables/#mold units, HB quote (5113CP-B, 24.49/box of 15)</t>
  </si>
  <si>
    <t>Syringe Tip</t>
  </si>
  <si>
    <t>need 2*#cables/#mold units, HB quote (5115-B, 15.28/box of 50)</t>
  </si>
  <si>
    <t>Total</t>
  </si>
  <si>
    <t>Labor Gathered from Above</t>
  </si>
  <si>
    <t>Technician</t>
  </si>
  <si>
    <t>Design</t>
  </si>
  <si>
    <t>Production</t>
  </si>
  <si>
    <t>WLS Fiber (sub-category)</t>
  </si>
  <si>
    <r>
      <rPr>
        <sz val="10"/>
        <color indexed="8"/>
        <rFont val="Arial"/>
        <family val="2"/>
      </rPr>
      <t>pre-forms required in order</t>
    </r>
  </si>
  <si>
    <r>
      <rPr>
        <sz val="10"/>
        <rFont val="Arial"/>
        <family val="1"/>
      </rPr>
      <t>maximum 3km of fiber in a pre-form, QC repeated each pre-form; add one for prototype fiber</t>
    </r>
  </si>
  <si>
    <t>WLS Fiber for Tests, Prototypes</t>
  </si>
  <si>
    <t>this is what is in Rochester 2005 SOW, including $38K supplement</t>
  </si>
  <si>
    <t>WLS Fiber</t>
  </si>
  <si>
    <t>Shipping from Japan</t>
  </si>
  <si>
    <t>scaling freight fraction from prototype order.  is shipping in quote?</t>
  </si>
  <si>
    <t>QC: tech time</t>
  </si>
  <si>
    <t>copied from clear fiber: 5 hours per cut-back test cable</t>
  </si>
  <si>
    <t>QC: physicist time, analysis code</t>
  </si>
  <si>
    <t>copied from clear fiber: 1 physicist-week</t>
  </si>
  <si>
    <r>
      <rPr>
        <sz val="10"/>
        <color indexed="8"/>
        <rFont val="Arial"/>
        <family val="0"/>
      </rPr>
      <t>Shipping to Virginia Scint. Factories</t>
    </r>
  </si>
  <si>
    <t>100 hrs of tech time for shipping prep.</t>
  </si>
  <si>
    <t>Total</t>
  </si>
  <si>
    <t>Labor Gathered from Above</t>
  </si>
  <si>
    <t>Technician</t>
  </si>
  <si>
    <t>0.8% waste from cut-back QC test (25m/3km)+0.8% waste from mirroring (2.5cm but 3m fiber length)+1% breakage+5% (guess) waste from left-over length in canes</t>
  </si>
  <si>
    <t>0.8% waste from cut-back QC test (25m/3km)+2% waste from cut/polish (2.5cm, avg. length of 1.2m)+5% (guess) waste from left-over length in canes</t>
  </si>
  <si>
    <t>spares:</t>
  </si>
  <si>
    <t>yes</t>
  </si>
  <si>
    <t>sensible, but we need feedback from Jeff.</t>
  </si>
  <si>
    <t>Cable Polishing Parts (sub-category)</t>
  </si>
  <si>
    <t>Param: Eileen's lab assistant</t>
  </si>
  <si>
    <t>as per Eileen, 9/6/05, includes “OPTO/VAC/FRINGE”.  Does this include G&amp;A?  not sure</t>
  </si>
  <si>
    <t>Prototype labor, lead tech</t>
  </si>
  <si>
    <t>Prototype labor, tech</t>
  </si>
  <si>
    <t>Prototype labor, lab assistant</t>
  </si>
  <si>
    <t>Prototype labor, supervisor</t>
  </si>
  <si>
    <t>Lab Assistant</t>
  </si>
  <si>
    <t>prototype to ice polish&amp;mirror</t>
  </si>
  <si>
    <t>WLS Mirroring</t>
  </si>
  <si>
    <t>Production labor, lead tech</t>
  </si>
  <si>
    <t>Production labor, tech</t>
  </si>
  <si>
    <t>Production labor, lab assistant</t>
  </si>
  <si>
    <t>Production labor, supervisor</t>
  </si>
  <si>
    <t>take from Eileen's R&amp;D mirroring sheet (090605), scaled to # fibers above</t>
  </si>
  <si>
    <t>take from Eileen's production mirroring sheet (090605), scaled to # fibers above</t>
  </si>
  <si>
    <t># of fibers per sputtering</t>
  </si>
  <si>
    <t># of test fibers per sputtering</t>
  </si>
  <si>
    <t>derived: total number of test fibers</t>
  </si>
  <si>
    <t>derived: total mirrored fibers</t>
  </si>
  <si>
    <t>prototype</t>
  </si>
  <si>
    <t>Prototype Materials</t>
  </si>
  <si>
    <t>Production Materials</t>
  </si>
  <si>
    <t>take from Eileen's production mirroring sheet (090605), scaled to # fibers above but doubled since prototype quantities</t>
  </si>
  <si>
    <t>production</t>
  </si>
  <si>
    <t>the strategy with this cost is just to scale from Eileen's very complex calculation</t>
  </si>
  <si>
    <t>FNAL Techs</t>
  </si>
  <si>
    <t>Param: Rochester Mech Eng</t>
  </si>
  <si>
    <t xml:space="preserve">Rochester Mech Eng  </t>
  </si>
  <si>
    <t>Rochester Mech Eng</t>
  </si>
  <si>
    <t xml:space="preserve">Rochester Rochester PAS Machinist  </t>
  </si>
  <si>
    <t>UR Rochester PAS Machinist</t>
  </si>
  <si>
    <t>Rochester PAS Machinist</t>
  </si>
  <si>
    <t>prototype mirroring labor</t>
  </si>
  <si>
    <t>production mirroring labor</t>
  </si>
  <si>
    <t>mirroring  M&amp;S</t>
  </si>
  <si>
    <t>FNAL (Eileen)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</si>
</sst>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0.00E+000"/>
    <numFmt numFmtId="173" formatCode="mm/dd/yyyy\ hh:mm"/>
    <numFmt numFmtId="174" formatCode="[$$-409]#,##0.00;[Red]\-[$$-409]#,##0.00"/>
    <numFmt numFmtId="175" formatCode="_-* #,##0.00\ _$_-;\-* #,##0.00\ _$_-;_-* \-??\ _$_-;_-@_-"/>
    <numFmt numFmtId="176" formatCode="0.0"/>
    <numFmt numFmtId="177" formatCode="\$#,##0"/>
    <numFmt numFmtId="178" formatCode="0.00E+0"/>
    <numFmt numFmtId="179" formatCode="0.0E+00"/>
    <numFmt numFmtId="180" formatCode="0.000"/>
    <numFmt numFmtId="181" formatCode="0.0000"/>
    <numFmt numFmtId="182" formatCode="0.00000"/>
    <numFmt numFmtId="183" formatCode="0.0%"/>
    <numFmt numFmtId="184" formatCode="0.000E+0"/>
    <numFmt numFmtId="185" formatCode="#,##0.00;[Red]#,##0.00"/>
    <numFmt numFmtId="186" formatCode="_-* #,##0.00&quot; $&quot;_-;\-* #,##0.00&quot; $&quot;_-;_-* \-??&quot; $&quot;_-;_-@_-"/>
    <numFmt numFmtId="187" formatCode="\$#,##0.00"/>
    <numFmt numFmtId="188" formatCode="#,##0;[Red]#,##0"/>
    <numFmt numFmtId="189" formatCode="_-* #,##0.0\ _$_-;\-* #,##0.0\ _$_-;_-* \-??\ _$_-;_-@_-"/>
    <numFmt numFmtId="190" formatCode="_-* #,##0\ _$_-;\-* #,##0\ _$_-;_-* \-??\ _$_-;_-@_-"/>
  </numFmts>
  <fonts count="10">
    <font>
      <sz val="10"/>
      <name val="Arial"/>
      <family val="1"/>
    </font>
    <font>
      <b/>
      <i/>
      <sz val="10"/>
      <name val="Arial"/>
      <family val="1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name val="Arial"/>
      <family val="1"/>
    </font>
    <font>
      <b/>
      <i/>
      <sz val="10"/>
      <color indexed="8"/>
      <name val="Arial"/>
      <family val="0"/>
    </font>
    <font>
      <b/>
      <i/>
      <u val="single"/>
      <sz val="10"/>
      <name val="Arial"/>
      <family val="1"/>
    </font>
    <font>
      <i/>
      <u val="single"/>
      <sz val="10"/>
      <color indexed="8"/>
      <name val="Arial"/>
      <family val="0"/>
    </font>
    <font>
      <sz val="8"/>
      <name val="Arial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Alignment="0" applyProtection="0"/>
    <xf numFmtId="169" fontId="0" fillId="0" borderId="0" applyFont="0" applyFill="0" applyBorder="0" applyAlignment="0" applyProtection="0"/>
    <xf numFmtId="8" fontId="0" fillId="0" borderId="0" applyFont="0" applyFill="0" applyAlignment="0" applyProtection="0"/>
    <xf numFmtId="168" fontId="0" fillId="0" borderId="0" applyFont="0" applyFill="0" applyBorder="0" applyAlignment="0" applyProtection="0"/>
    <xf numFmtId="9" fontId="0" fillId="0" borderId="0" applyFont="0" applyFill="0" applyAlignment="0" applyProtection="0"/>
  </cellStyleXfs>
  <cellXfs count="85">
    <xf numFmtId="0" fontId="0" fillId="0" borderId="0" xfId="0" applyAlignment="1">
      <alignment/>
    </xf>
    <xf numFmtId="172" fontId="0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3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177" fontId="0" fillId="0" borderId="1" xfId="0" applyNumberFormat="1" applyFont="1" applyFill="1" applyBorder="1" applyAlignment="1">
      <alignment/>
    </xf>
    <xf numFmtId="177" fontId="0" fillId="0" borderId="2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18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172" fontId="0" fillId="2" borderId="0" xfId="0" applyNumberFormat="1" applyFont="1" applyFill="1" applyBorder="1" applyAlignment="1">
      <alignment horizontal="center"/>
    </xf>
    <xf numFmtId="172" fontId="0" fillId="3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/>
    </xf>
    <xf numFmtId="172" fontId="0" fillId="4" borderId="0" xfId="0" applyNumberFormat="1" applyFont="1" applyFill="1" applyBorder="1" applyAlignment="1">
      <alignment horizontal="center"/>
    </xf>
    <xf numFmtId="183" fontId="3" fillId="2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72" fontId="0" fillId="4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74" fontId="3" fillId="2" borderId="0" xfId="0" applyNumberFormat="1" applyFont="1" applyFill="1" applyBorder="1" applyAlignment="1">
      <alignment/>
    </xf>
    <xf numFmtId="9" fontId="0" fillId="0" borderId="0" xfId="19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>
      <alignment/>
    </xf>
    <xf numFmtId="185" fontId="3" fillId="2" borderId="0" xfId="0" applyNumberFormat="1" applyFont="1" applyFill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left"/>
    </xf>
    <xf numFmtId="174" fontId="3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174" fontId="3" fillId="3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3" fillId="0" borderId="0" xfId="17" applyNumberFormat="1" applyFont="1" applyFill="1" applyBorder="1" applyAlignment="1" applyProtection="1">
      <alignment/>
      <protection/>
    </xf>
    <xf numFmtId="174" fontId="3" fillId="4" borderId="0" xfId="0" applyNumberFormat="1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1" fontId="3" fillId="0" borderId="0" xfId="15" applyNumberFormat="1" applyFont="1" applyFill="1" applyBorder="1" applyAlignment="1" applyProtection="1">
      <alignment/>
      <protection/>
    </xf>
    <xf numFmtId="174" fontId="0" fillId="3" borderId="0" xfId="0" applyNumberFormat="1" applyFont="1" applyFill="1" applyBorder="1" applyAlignment="1">
      <alignment horizontal="right"/>
    </xf>
    <xf numFmtId="187" fontId="0" fillId="3" borderId="0" xfId="0" applyNumberFormat="1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187" fontId="0" fillId="2" borderId="0" xfId="17" applyNumberFormat="1" applyFont="1" applyFill="1" applyBorder="1" applyAlignment="1" applyProtection="1">
      <alignment/>
      <protection/>
    </xf>
    <xf numFmtId="187" fontId="0" fillId="0" borderId="0" xfId="17" applyNumberFormat="1" applyFont="1" applyFill="1" applyBorder="1" applyAlignment="1" applyProtection="1">
      <alignment/>
      <protection/>
    </xf>
    <xf numFmtId="1" fontId="0" fillId="0" borderId="0" xfId="17" applyNumberFormat="1" applyFont="1" applyFill="1" applyBorder="1" applyAlignment="1" applyProtection="1">
      <alignment/>
      <protection/>
    </xf>
    <xf numFmtId="183" fontId="3" fillId="5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Border="1" applyAlignment="1">
      <alignment horizontal="left" wrapText="1"/>
    </xf>
    <xf numFmtId="1" fontId="0" fillId="0" borderId="0" xfId="15" applyFont="1" applyAlignment="1">
      <alignment horizontal="right"/>
    </xf>
    <xf numFmtId="8" fontId="0" fillId="5" borderId="0" xfId="17" applyFont="1" applyFill="1" applyAlignment="1">
      <alignment/>
    </xf>
    <xf numFmtId="9" fontId="0" fillId="0" borderId="0" xfId="19" applyFont="1" applyFill="1" applyAlignment="1" applyProtection="1">
      <alignment/>
      <protection/>
    </xf>
    <xf numFmtId="9" fontId="0" fillId="6" borderId="0" xfId="19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pporting%20sub-sheets\Eileen_cost_050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&amp;D mirror &amp; polish labor "/>
      <sheetName val="prod. mirror&amp;polish fiber labor"/>
      <sheetName val="Tasks before prod"/>
      <sheetName val="MSU style polish R&amp;D"/>
      <sheetName val="polish fixturing"/>
      <sheetName val="connector polish quote0508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21">
      <selection activeCell="B21" sqref="B21"/>
    </sheetView>
  </sheetViews>
  <sheetFormatPr defaultColWidth="9.140625" defaultRowHeight="12.75"/>
  <cols>
    <col min="1" max="1" width="31.140625" style="1" customWidth="1"/>
    <col min="2" max="2" width="12.28125" style="1" customWidth="1"/>
    <col min="3" max="5" width="11.421875" style="1" customWidth="1"/>
    <col min="6" max="6" width="11.57421875" style="1" customWidth="1"/>
    <col min="7" max="7" width="11.28125" style="1" customWidth="1"/>
    <col min="8" max="8" width="15.28125" style="1" customWidth="1"/>
    <col min="9" max="9" width="9.8515625" style="1" customWidth="1"/>
    <col min="10" max="10" width="11.421875" style="1" customWidth="1"/>
    <col min="11" max="11" width="12.00390625" style="1" customWidth="1"/>
    <col min="12" max="16384" width="11.421875" style="1" customWidth="1"/>
  </cols>
  <sheetData>
    <row r="1" spans="1:4" ht="12.75">
      <c r="A1" s="2">
        <f ca="1">NOW()</f>
        <v>38603.97697962963</v>
      </c>
      <c r="B1" s="3" t="s">
        <v>0</v>
      </c>
      <c r="C1" s="4">
        <v>5</v>
      </c>
      <c r="D1" s="5" t="s">
        <v>1</v>
      </c>
    </row>
    <row r="2" spans="1:4" ht="12.75">
      <c r="A2" s="3"/>
      <c r="B2" s="3" t="s">
        <v>2</v>
      </c>
      <c r="C2" s="3" t="s">
        <v>3</v>
      </c>
      <c r="D2" s="5" t="s">
        <v>4</v>
      </c>
    </row>
    <row r="3" spans="1:4" ht="12.75">
      <c r="A3" s="6" t="s">
        <v>5</v>
      </c>
      <c r="B3" s="3" t="s">
        <v>6</v>
      </c>
      <c r="C3" s="3" t="s">
        <v>7</v>
      </c>
      <c r="D3" s="3"/>
    </row>
    <row r="4" spans="1:4" ht="12.75">
      <c r="A4" s="6" t="s">
        <v>590</v>
      </c>
      <c r="B4" s="3" t="s">
        <v>6</v>
      </c>
      <c r="C4" s="3" t="s">
        <v>591</v>
      </c>
      <c r="D4" s="3"/>
    </row>
    <row r="5" spans="1:4" ht="12.75">
      <c r="A5" s="3"/>
      <c r="B5" s="3"/>
      <c r="C5" s="3"/>
      <c r="D5" s="3"/>
    </row>
    <row r="6" spans="1:3" ht="12.75">
      <c r="A6" s="7" t="s">
        <v>8</v>
      </c>
      <c r="B6" s="8">
        <f>1750</f>
        <v>1750</v>
      </c>
      <c r="C6" s="1" t="s">
        <v>9</v>
      </c>
    </row>
    <row r="7" spans="1:2" ht="12.75">
      <c r="A7" s="7" t="s">
        <v>10</v>
      </c>
      <c r="B7" s="8">
        <f>B6/52</f>
        <v>33.65384615384615</v>
      </c>
    </row>
    <row r="8" spans="1:3" ht="12.75">
      <c r="A8" s="7" t="s">
        <v>11</v>
      </c>
      <c r="B8" s="9">
        <v>48</v>
      </c>
      <c r="C8" s="1" t="s">
        <v>12</v>
      </c>
    </row>
    <row r="9" spans="1:3" ht="12.75">
      <c r="A9" s="7" t="s">
        <v>620</v>
      </c>
      <c r="B9" s="10">
        <v>65</v>
      </c>
      <c r="C9" s="1" t="s">
        <v>13</v>
      </c>
    </row>
    <row r="10" spans="1:3" ht="12.75">
      <c r="A10" s="7" t="s">
        <v>14</v>
      </c>
      <c r="B10" s="10">
        <f>66000/B6</f>
        <v>37.714285714285715</v>
      </c>
      <c r="C10" s="1" t="s">
        <v>15</v>
      </c>
    </row>
    <row r="11" spans="1:3" ht="12.75">
      <c r="A11" s="7" t="s">
        <v>16</v>
      </c>
      <c r="B11" s="10">
        <v>26</v>
      </c>
      <c r="C11" s="1" t="s">
        <v>17</v>
      </c>
    </row>
    <row r="12" spans="1:3" ht="12.75">
      <c r="A12" s="7" t="s">
        <v>18</v>
      </c>
      <c r="B12" s="10">
        <v>52</v>
      </c>
      <c r="C12" s="1" t="s">
        <v>17</v>
      </c>
    </row>
    <row r="13" spans="1:3" ht="12.75">
      <c r="A13" s="7" t="s">
        <v>594</v>
      </c>
      <c r="B13" s="10">
        <v>20</v>
      </c>
      <c r="C13" s="1" t="s">
        <v>595</v>
      </c>
    </row>
    <row r="14" spans="1:3" ht="12.75">
      <c r="A14" s="7" t="s">
        <v>19</v>
      </c>
      <c r="B14" s="9">
        <f>0*33000/B6</f>
        <v>0</v>
      </c>
      <c r="C14" s="1" t="s">
        <v>20</v>
      </c>
    </row>
    <row r="15" spans="1:4" ht="12.75">
      <c r="A15" s="3"/>
      <c r="B15" s="3"/>
      <c r="C15" s="3"/>
      <c r="D15" s="3"/>
    </row>
    <row r="16" spans="1:4" ht="12.75">
      <c r="A16" s="11" t="s">
        <v>21</v>
      </c>
      <c r="B16" s="12" t="s">
        <v>22</v>
      </c>
      <c r="C16" s="12" t="s">
        <v>23</v>
      </c>
      <c r="D16" s="13"/>
    </row>
    <row r="17" spans="1:4" ht="12.75">
      <c r="A17" s="13" t="s">
        <v>24</v>
      </c>
      <c r="B17" s="83">
        <v>0.1</v>
      </c>
      <c r="C17" s="14">
        <v>1</v>
      </c>
      <c r="D17" s="13"/>
    </row>
    <row r="18" spans="1:4" ht="12.75">
      <c r="A18" s="13" t="s">
        <v>25</v>
      </c>
      <c r="B18" s="83">
        <v>0.3</v>
      </c>
      <c r="C18" s="15" t="s">
        <v>26</v>
      </c>
      <c r="D18" s="13"/>
    </row>
    <row r="19" spans="1:4" ht="12.75">
      <c r="A19" s="13" t="s">
        <v>27</v>
      </c>
      <c r="B19" s="83">
        <v>0.2</v>
      </c>
      <c r="C19" s="14">
        <v>2</v>
      </c>
      <c r="D19" s="13"/>
    </row>
    <row r="20" spans="1:4" ht="12.75">
      <c r="A20" s="13" t="s">
        <v>28</v>
      </c>
      <c r="B20" s="83">
        <v>0.3</v>
      </c>
      <c r="C20" s="14">
        <v>3</v>
      </c>
      <c r="D20" s="13"/>
    </row>
    <row r="21" spans="1:4" ht="12.75">
      <c r="A21" s="13" t="s">
        <v>29</v>
      </c>
      <c r="B21" s="83">
        <v>0.4</v>
      </c>
      <c r="C21" s="14">
        <v>4</v>
      </c>
      <c r="D21" s="13"/>
    </row>
    <row r="22" spans="1:4" ht="12.75">
      <c r="A22" s="13" t="s">
        <v>629</v>
      </c>
      <c r="B22" s="84">
        <v>0.4</v>
      </c>
      <c r="C22" s="14">
        <v>5</v>
      </c>
      <c r="D22" s="13"/>
    </row>
    <row r="23" spans="1:4" ht="12.75" customHeight="1">
      <c r="A23" s="13"/>
      <c r="B23" s="13"/>
      <c r="C23" s="13"/>
      <c r="D23" s="13"/>
    </row>
    <row r="24" spans="1:4" ht="12.75">
      <c r="A24" s="3"/>
      <c r="B24" s="3"/>
      <c r="C24" s="3"/>
      <c r="D24" s="3"/>
    </row>
    <row r="25" spans="1:4" ht="12.75">
      <c r="A25" s="3"/>
      <c r="B25" s="3"/>
      <c r="C25" s="3"/>
      <c r="D25" s="3"/>
    </row>
    <row r="26" spans="1:4" ht="12.75">
      <c r="A26" s="16" t="s">
        <v>30</v>
      </c>
      <c r="B26" s="17" t="s">
        <v>31</v>
      </c>
      <c r="C26" s="17"/>
      <c r="D26" s="17" t="s">
        <v>32</v>
      </c>
    </row>
    <row r="27" spans="1:4" ht="12.75">
      <c r="A27" s="12" t="s">
        <v>33</v>
      </c>
      <c r="B27" s="13"/>
      <c r="C27" s="13"/>
      <c r="D27" s="13"/>
    </row>
    <row r="28" spans="1:4" ht="12.75">
      <c r="A28" s="17" t="s">
        <v>621</v>
      </c>
      <c r="B28" s="18">
        <f>'Fiber and Connector Costs'!C50+'Fiber and Connector Costs'!C63+'Fiber and Connector Costs'!C105+'Fiber and Connector Costs'!C129+'Fiber and Connector Costs'!C130+'Fiber and Connector Costs'!C162+'Fiber and Connector Costs'!C163</f>
        <v>134.19230769230768</v>
      </c>
      <c r="C28" s="13"/>
      <c r="D28" s="19">
        <f>B28/($B$6/12)</f>
        <v>0.920175824175824</v>
      </c>
    </row>
    <row r="29" spans="1:4" ht="12.75">
      <c r="A29" s="17" t="s">
        <v>623</v>
      </c>
      <c r="B29" s="18">
        <f>'Fiber and Connector Costs'!D50+'Fiber and Connector Costs'!D63+'Fiber and Connector Costs'!D105+'Fiber and Connector Costs'!D129+'Fiber and Connector Costs'!D130+'Fiber and Connector Costs'!D162+'Fiber and Connector Costs'!D163+'Fiber and Connector Costs'!D178</f>
        <v>1155</v>
      </c>
      <c r="C29" s="13"/>
      <c r="D29" s="19">
        <f>B29/($B$6/12)</f>
        <v>7.92</v>
      </c>
    </row>
    <row r="30" spans="1:4" ht="12.75">
      <c r="A30" s="17" t="s">
        <v>34</v>
      </c>
      <c r="B30" s="18">
        <f>'Fiber and Connector Costs'!E162+'Fiber and Connector Costs'!E163+'Fiber and Connector Costs'!E130+'Fiber and Connector Costs'!E129+'Fiber and Connector Costs'!E105+'Fiber and Connector Costs'!E63+'Fiber and Connector Costs'!E50</f>
        <v>7883.353846153846</v>
      </c>
      <c r="C30" s="13"/>
      <c r="D30" s="19">
        <f>B30/($B$6/12)</f>
        <v>54.05728351648351</v>
      </c>
    </row>
    <row r="31" spans="1:4" ht="12.75">
      <c r="A31" s="17" t="s">
        <v>35</v>
      </c>
      <c r="B31" s="18">
        <f>'Fiber and Connector Costs'!C146+'Fiber and Connector Costs'!D146</f>
        <v>1381.5555555555557</v>
      </c>
      <c r="C31" s="13"/>
      <c r="D31" s="19">
        <f>B31/($B$6/12)</f>
        <v>9.47352380952381</v>
      </c>
    </row>
    <row r="32" spans="1:4" ht="12.75">
      <c r="A32" s="17"/>
      <c r="B32" s="18"/>
      <c r="C32" s="13"/>
      <c r="D32" s="19"/>
    </row>
    <row r="33" spans="1:4" ht="12.75">
      <c r="A33" s="12" t="s">
        <v>36</v>
      </c>
      <c r="B33" s="13"/>
      <c r="C33" s="13"/>
      <c r="D33" s="13"/>
    </row>
    <row r="34" spans="1:4" ht="12.75">
      <c r="A34" s="17" t="s">
        <v>621</v>
      </c>
      <c r="B34" s="18">
        <f>'Fiber and Connector Costs'!C178</f>
        <v>0</v>
      </c>
      <c r="C34" s="13"/>
      <c r="D34" s="19">
        <f>B34/($B$6/12)</f>
        <v>0</v>
      </c>
    </row>
    <row r="35" spans="1:4" ht="12.75">
      <c r="A35" s="17" t="s">
        <v>623</v>
      </c>
      <c r="B35" s="18">
        <f>'Fiber and Connector Costs'!D178</f>
        <v>0</v>
      </c>
      <c r="C35" s="13"/>
      <c r="D35" s="19">
        <f>B35/($B$6/12)</f>
        <v>0</v>
      </c>
    </row>
    <row r="36" spans="1:4" ht="12.75">
      <c r="A36" s="17" t="s">
        <v>37</v>
      </c>
      <c r="B36" s="18">
        <f>'Fiber and Connector Costs'!E178</f>
        <v>275</v>
      </c>
      <c r="C36" s="13"/>
      <c r="D36" s="19">
        <f>B36/($B$6/12)</f>
        <v>1.8857142857142857</v>
      </c>
    </row>
    <row r="37" spans="1:4" ht="12.75">
      <c r="A37" s="17" t="s">
        <v>619</v>
      </c>
      <c r="B37" s="18">
        <f>SUM('Fiber and Connector Costs'!C201:E202)</f>
        <v>3307.3399999999997</v>
      </c>
      <c r="C37" s="13"/>
      <c r="D37" s="19">
        <f>B37/($B$6/12)</f>
        <v>22.678902857142855</v>
      </c>
    </row>
    <row r="39" ht="12.75" customHeight="1"/>
    <row r="40" spans="1:8" ht="12.75" customHeight="1">
      <c r="A40" s="13"/>
      <c r="B40" s="13"/>
      <c r="C40" s="78"/>
      <c r="D40" s="20"/>
      <c r="E40" s="20"/>
      <c r="F40" s="20"/>
      <c r="G40" s="79"/>
      <c r="H40" s="80" t="s">
        <v>38</v>
      </c>
    </row>
    <row r="41" spans="1:10" ht="12.75">
      <c r="A41" s="11" t="s">
        <v>39</v>
      </c>
      <c r="B41" s="13" t="s">
        <v>40</v>
      </c>
      <c r="C41" s="78"/>
      <c r="D41" s="20" t="s">
        <v>41</v>
      </c>
      <c r="E41" s="20" t="s">
        <v>42</v>
      </c>
      <c r="F41" s="20" t="s">
        <v>43</v>
      </c>
      <c r="G41" s="79"/>
      <c r="H41" s="80"/>
      <c r="I41" s="1" t="s">
        <v>44</v>
      </c>
      <c r="J41" s="1" t="s">
        <v>45</v>
      </c>
    </row>
    <row r="42" spans="1:7" ht="12.75">
      <c r="A42" s="16" t="s">
        <v>46</v>
      </c>
      <c r="B42" s="21"/>
      <c r="C42" s="22"/>
      <c r="D42" s="22"/>
      <c r="E42" s="22"/>
      <c r="F42" s="22"/>
      <c r="G42" s="22"/>
    </row>
    <row r="43" spans="1:10" ht="12.75">
      <c r="A43" s="17" t="s">
        <v>47</v>
      </c>
      <c r="B43" s="21">
        <f>'Fiber and Connector Costs'!C47</f>
        <v>9650</v>
      </c>
      <c r="C43" s="22"/>
      <c r="D43" s="21">
        <v>13510</v>
      </c>
      <c r="E43" s="21">
        <v>9650</v>
      </c>
      <c r="F43" s="23">
        <f aca="true" t="shared" si="0" ref="F43:F61">D43/E43-1</f>
        <v>0.3999999999999999</v>
      </c>
      <c r="G43" s="21"/>
      <c r="H43" s="9" t="s">
        <v>48</v>
      </c>
      <c r="I43" s="1" t="s">
        <v>49</v>
      </c>
      <c r="J43" s="1" t="s">
        <v>50</v>
      </c>
    </row>
    <row r="44" spans="1:10" ht="12.75">
      <c r="A44" s="17" t="s">
        <v>51</v>
      </c>
      <c r="B44" s="21">
        <f>'Fiber and Connector Costs'!D47</f>
        <v>3250</v>
      </c>
      <c r="C44" s="22"/>
      <c r="D44" s="21">
        <v>4225</v>
      </c>
      <c r="E44" s="21">
        <v>3250</v>
      </c>
      <c r="F44" s="23">
        <f t="shared" si="0"/>
        <v>0.30000000000000004</v>
      </c>
      <c r="G44" s="21"/>
      <c r="H44" s="9" t="s">
        <v>52</v>
      </c>
      <c r="I44" s="1" t="s">
        <v>53</v>
      </c>
      <c r="J44" s="1" t="s">
        <v>54</v>
      </c>
    </row>
    <row r="45" spans="1:10" ht="12.75">
      <c r="A45" s="17" t="s">
        <v>55</v>
      </c>
      <c r="B45" s="21">
        <f>'Fiber and Connector Costs'!E47</f>
        <v>3428.5714285714284</v>
      </c>
      <c r="C45" s="22"/>
      <c r="D45" s="21">
        <v>4457.142857142857</v>
      </c>
      <c r="E45" s="21">
        <v>3428.5714285714284</v>
      </c>
      <c r="F45" s="23">
        <f t="shared" si="0"/>
        <v>0.30000000000000004</v>
      </c>
      <c r="G45" s="21"/>
      <c r="H45" s="9" t="s">
        <v>56</v>
      </c>
      <c r="I45" s="1" t="s">
        <v>57</v>
      </c>
      <c r="J45" s="1" t="s">
        <v>58</v>
      </c>
    </row>
    <row r="46" spans="1:10" ht="12.75">
      <c r="A46" s="17" t="s">
        <v>59</v>
      </c>
      <c r="B46" s="21">
        <f>'Fiber and Connector Costs'!C60</f>
        <v>760</v>
      </c>
      <c r="C46" s="22"/>
      <c r="D46" s="21">
        <v>1064</v>
      </c>
      <c r="E46" s="21">
        <v>760</v>
      </c>
      <c r="F46" s="23">
        <f t="shared" si="0"/>
        <v>0.3999999999999999</v>
      </c>
      <c r="G46" s="21"/>
      <c r="H46" s="9" t="s">
        <v>60</v>
      </c>
      <c r="I46" s="1" t="s">
        <v>61</v>
      </c>
      <c r="J46" s="1" t="s">
        <v>62</v>
      </c>
    </row>
    <row r="47" spans="1:10" ht="12.75">
      <c r="A47" s="17" t="s">
        <v>63</v>
      </c>
      <c r="B47" s="21">
        <f>'Fiber and Connector Costs'!D60</f>
        <v>1312.4999999999998</v>
      </c>
      <c r="C47" s="22"/>
      <c r="D47" s="21">
        <v>1837.5</v>
      </c>
      <c r="E47" s="21">
        <v>1312.5</v>
      </c>
      <c r="F47" s="23">
        <f t="shared" si="0"/>
        <v>0.3999999999999999</v>
      </c>
      <c r="G47" s="21"/>
      <c r="H47" s="9" t="s">
        <v>64</v>
      </c>
      <c r="I47" s="1" t="s">
        <v>65</v>
      </c>
      <c r="J47" s="1" t="s">
        <v>66</v>
      </c>
    </row>
    <row r="48" spans="1:10" ht="12.75">
      <c r="A48" s="17" t="s">
        <v>67</v>
      </c>
      <c r="B48" s="21">
        <f>'Fiber and Connector Costs'!E60</f>
        <v>2949.2307692307695</v>
      </c>
      <c r="C48" s="22"/>
      <c r="D48" s="21">
        <v>4128.923076923077</v>
      </c>
      <c r="E48" s="21">
        <v>2949.2307692307695</v>
      </c>
      <c r="F48" s="23">
        <f t="shared" si="0"/>
        <v>0.3999999999999999</v>
      </c>
      <c r="G48" s="21"/>
      <c r="H48" s="9" t="s">
        <v>68</v>
      </c>
      <c r="I48" s="1" t="s">
        <v>69</v>
      </c>
      <c r="J48" s="1" t="s">
        <v>70</v>
      </c>
    </row>
    <row r="49" spans="1:10" ht="12.75">
      <c r="A49" s="17" t="s">
        <v>71</v>
      </c>
      <c r="B49" s="21">
        <f>'Fiber and Connector Costs'!C70</f>
        <v>84621.69</v>
      </c>
      <c r="C49" s="22"/>
      <c r="D49" s="21">
        <v>110962.917</v>
      </c>
      <c r="E49" s="21">
        <v>84621.69</v>
      </c>
      <c r="F49" s="23">
        <f t="shared" si="0"/>
        <v>0.3112822138153941</v>
      </c>
      <c r="G49" s="21"/>
      <c r="H49" s="9" t="s">
        <v>72</v>
      </c>
      <c r="I49" s="1" t="s">
        <v>73</v>
      </c>
      <c r="J49" s="1" t="s">
        <v>74</v>
      </c>
    </row>
    <row r="50" spans="1:10" ht="12.75">
      <c r="A50" s="17" t="s">
        <v>75</v>
      </c>
      <c r="B50" s="21">
        <f>'Fiber and Connector Costs'!C102</f>
        <v>182486.6585062523</v>
      </c>
      <c r="C50" s="22"/>
      <c r="D50" s="21">
        <v>238687.15605812802</v>
      </c>
      <c r="E50" s="21">
        <v>182486.6585062523</v>
      </c>
      <c r="F50" s="23">
        <f t="shared" si="0"/>
        <v>0.3079704456857606</v>
      </c>
      <c r="G50" s="21"/>
      <c r="H50" s="9" t="s">
        <v>76</v>
      </c>
      <c r="I50" s="1" t="s">
        <v>77</v>
      </c>
      <c r="J50" s="1" t="s">
        <v>78</v>
      </c>
    </row>
    <row r="51" spans="1:10" ht="12.75">
      <c r="A51" s="17" t="s">
        <v>79</v>
      </c>
      <c r="B51" s="21">
        <f>'Fiber and Connector Costs'!C92</f>
        <v>9835</v>
      </c>
      <c r="C51" s="22"/>
      <c r="D51" s="21">
        <v>13023.5</v>
      </c>
      <c r="E51" s="21">
        <v>9835</v>
      </c>
      <c r="F51" s="23">
        <f t="shared" si="0"/>
        <v>0.3241992882562277</v>
      </c>
      <c r="G51" s="21"/>
      <c r="H51" s="9" t="s">
        <v>80</v>
      </c>
      <c r="I51" s="1" t="s">
        <v>81</v>
      </c>
      <c r="J51" s="1" t="s">
        <v>82</v>
      </c>
    </row>
    <row r="52" spans="1:10" ht="12.75">
      <c r="A52" s="17" t="s">
        <v>83</v>
      </c>
      <c r="B52" s="21">
        <f>'Fiber and Connector Costs'!E102+'Fiber and Connector Costs'!D102</f>
        <v>3394.285714285714</v>
      </c>
      <c r="C52" s="22"/>
      <c r="D52" s="21">
        <v>4752</v>
      </c>
      <c r="E52" s="21">
        <v>3394.285714285714</v>
      </c>
      <c r="F52" s="23">
        <f t="shared" si="0"/>
        <v>0.40000000000000013</v>
      </c>
      <c r="G52" s="21"/>
      <c r="H52" s="9" t="s">
        <v>84</v>
      </c>
      <c r="I52" s="1" t="s">
        <v>85</v>
      </c>
      <c r="J52" s="1" t="s">
        <v>86</v>
      </c>
    </row>
    <row r="53" spans="1:10" ht="12.75">
      <c r="A53" s="17" t="s">
        <v>87</v>
      </c>
      <c r="B53" s="21">
        <f>'Fiber and Connector Costs'!C115</f>
        <v>9142.52</v>
      </c>
      <c r="C53" s="22"/>
      <c r="D53" s="21">
        <v>11191.124</v>
      </c>
      <c r="E53" s="21">
        <v>9142.52</v>
      </c>
      <c r="F53" s="23">
        <f t="shared" si="0"/>
        <v>0.2240743252407431</v>
      </c>
      <c r="G53" s="21"/>
      <c r="H53" s="9" t="s">
        <v>88</v>
      </c>
      <c r="I53" s="1" t="s">
        <v>89</v>
      </c>
      <c r="J53" s="1" t="s">
        <v>90</v>
      </c>
    </row>
    <row r="54" spans="1:10" ht="12.75">
      <c r="A54" s="17" t="s">
        <v>91</v>
      </c>
      <c r="B54" s="21">
        <f>'Fiber and Connector Costs'!C159</f>
        <v>21734.613955967405</v>
      </c>
      <c r="C54" s="22"/>
      <c r="D54" s="21">
        <v>29388.749413827554</v>
      </c>
      <c r="E54" s="21">
        <v>23771.280622634073</v>
      </c>
      <c r="F54" s="23">
        <f t="shared" si="0"/>
        <v>0.23631325885929555</v>
      </c>
      <c r="G54" s="21"/>
      <c r="H54" s="9" t="s">
        <v>92</v>
      </c>
      <c r="I54" s="1" t="s">
        <v>93</v>
      </c>
      <c r="J54" s="1" t="s">
        <v>94</v>
      </c>
    </row>
    <row r="55" spans="1:9" ht="12.75">
      <c r="A55" s="17" t="s">
        <v>95</v>
      </c>
      <c r="B55" s="21">
        <f>'Fiber and Connector Costs'!D159</f>
        <v>4160</v>
      </c>
      <c r="C55" s="22"/>
      <c r="D55" s="21">
        <v>5460</v>
      </c>
      <c r="E55" s="21">
        <v>3900</v>
      </c>
      <c r="F55" s="23">
        <f t="shared" si="0"/>
        <v>0.3999999999999999</v>
      </c>
      <c r="G55" s="21"/>
      <c r="H55" s="9" t="s">
        <v>96</v>
      </c>
      <c r="I55" s="1" t="s">
        <v>97</v>
      </c>
    </row>
    <row r="56" spans="1:9" ht="12.75">
      <c r="A56" s="17" t="s">
        <v>98</v>
      </c>
      <c r="B56" s="21">
        <f>'Fiber and Connector Costs'!E159</f>
        <v>51840</v>
      </c>
      <c r="C56" s="22"/>
      <c r="D56" s="21">
        <v>70464</v>
      </c>
      <c r="E56" s="21">
        <v>53760</v>
      </c>
      <c r="F56" s="23">
        <f t="shared" si="0"/>
        <v>0.3107142857142857</v>
      </c>
      <c r="G56" s="21"/>
      <c r="H56" s="9" t="s">
        <v>99</v>
      </c>
      <c r="I56" s="1" t="s">
        <v>100</v>
      </c>
    </row>
    <row r="57" spans="1:10" ht="12.75">
      <c r="A57" s="17" t="s">
        <v>101</v>
      </c>
      <c r="B57" s="21">
        <f>'Fiber and Connector Costs'!C120</f>
        <v>298.615</v>
      </c>
      <c r="C57" s="22"/>
      <c r="D57" s="21">
        <v>418.061</v>
      </c>
      <c r="E57" s="21">
        <v>298.615</v>
      </c>
      <c r="F57" s="23">
        <f t="shared" si="0"/>
        <v>0.3999999999999999</v>
      </c>
      <c r="G57" s="21"/>
      <c r="H57" s="9" t="s">
        <v>102</v>
      </c>
      <c r="I57" s="1" t="s">
        <v>103</v>
      </c>
      <c r="J57" s="1" t="s">
        <v>104</v>
      </c>
    </row>
    <row r="58" spans="1:10" ht="12.75">
      <c r="A58" s="17" t="s">
        <v>105</v>
      </c>
      <c r="B58" s="21">
        <f>'Fiber and Connector Costs'!E126</f>
        <v>291142.97142857144</v>
      </c>
      <c r="C58" s="22"/>
      <c r="D58" s="21">
        <v>407600.16</v>
      </c>
      <c r="E58" s="21">
        <v>291142.97142857144</v>
      </c>
      <c r="F58" s="23">
        <f t="shared" si="0"/>
        <v>0.3999999999999999</v>
      </c>
      <c r="G58" s="21"/>
      <c r="H58" s="9" t="s">
        <v>106</v>
      </c>
      <c r="I58" s="1" t="s">
        <v>107</v>
      </c>
      <c r="J58" s="1" t="s">
        <v>108</v>
      </c>
    </row>
    <row r="59" spans="1:10" ht="12.75">
      <c r="A59" s="17" t="s">
        <v>109</v>
      </c>
      <c r="B59" s="21">
        <f>'Fiber and Connector Costs'!C85</f>
        <v>76278.5</v>
      </c>
      <c r="C59" s="22"/>
      <c r="D59" s="21">
        <v>115430.2</v>
      </c>
      <c r="E59" s="21">
        <v>76278.5</v>
      </c>
      <c r="F59" s="23">
        <f t="shared" si="0"/>
        <v>0.5132730717043466</v>
      </c>
      <c r="G59" s="21"/>
      <c r="H59" s="9" t="s">
        <v>110</v>
      </c>
      <c r="I59" s="1" t="s">
        <v>111</v>
      </c>
      <c r="J59" s="1" t="s">
        <v>112</v>
      </c>
    </row>
    <row r="60" spans="1:10" ht="12.75">
      <c r="A60" s="17" t="s">
        <v>113</v>
      </c>
      <c r="B60" s="21">
        <f>'Fiber and Connector Costs'!E143</f>
        <v>57907.77777777778</v>
      </c>
      <c r="C60" s="22"/>
      <c r="D60" s="21">
        <v>83626.4</v>
      </c>
      <c r="E60" s="21">
        <v>57907.77777777778</v>
      </c>
      <c r="F60" s="23">
        <f t="shared" si="0"/>
        <v>0.44413070591169856</v>
      </c>
      <c r="G60" s="21"/>
      <c r="H60" s="9" t="s">
        <v>114</v>
      </c>
      <c r="I60" s="1" t="s">
        <v>115</v>
      </c>
      <c r="J60" s="1" t="s">
        <v>116</v>
      </c>
    </row>
    <row r="61" spans="1:8" ht="12.75">
      <c r="A61" s="17" t="s">
        <v>117</v>
      </c>
      <c r="B61" s="24">
        <f>SUM(B43:B60)</f>
        <v>814192.9345806569</v>
      </c>
      <c r="C61" s="22"/>
      <c r="D61" s="24">
        <f>SUM(D43:D60)</f>
        <v>1120226.8334060214</v>
      </c>
      <c r="E61" s="24">
        <f>SUM(E43:E60)</f>
        <v>817889.6012473234</v>
      </c>
      <c r="F61" s="23">
        <f t="shared" si="0"/>
        <v>0.36965530763273935</v>
      </c>
      <c r="G61" s="21"/>
      <c r="H61" s="9"/>
    </row>
    <row r="62" spans="1:8" ht="12.75">
      <c r="A62" s="17"/>
      <c r="B62" s="21"/>
      <c r="C62" s="22"/>
      <c r="D62" s="21"/>
      <c r="E62" s="21"/>
      <c r="F62" s="23"/>
      <c r="G62" s="22"/>
      <c r="H62" s="9"/>
    </row>
    <row r="63" spans="1:8" ht="12.75">
      <c r="A63" s="16" t="s">
        <v>118</v>
      </c>
      <c r="B63" s="21"/>
      <c r="C63" s="22"/>
      <c r="D63" s="21"/>
      <c r="E63" s="21"/>
      <c r="F63" s="23"/>
      <c r="G63" s="22"/>
      <c r="H63" s="9"/>
    </row>
    <row r="64" spans="1:10" ht="12.75">
      <c r="A64" s="17" t="s">
        <v>119</v>
      </c>
      <c r="B64" s="21">
        <f>'Fiber and Connector Costs'!C169+'Fiber and Connector Costs'!C170+'Fiber and Connector Costs'!C171</f>
        <v>455588.0442893874</v>
      </c>
      <c r="C64" s="22"/>
      <c r="D64" s="21">
        <v>598394.5575762037</v>
      </c>
      <c r="E64" s="21">
        <v>455588.0442893874</v>
      </c>
      <c r="F64" s="23">
        <f>D64/E64-1</f>
        <v>0.3134553574810366</v>
      </c>
      <c r="G64" s="21"/>
      <c r="H64" s="9" t="s">
        <v>120</v>
      </c>
      <c r="I64" s="1" t="s">
        <v>121</v>
      </c>
      <c r="J64" s="1" t="s">
        <v>122</v>
      </c>
    </row>
    <row r="65" spans="1:10" ht="12.75">
      <c r="A65" s="17" t="s">
        <v>123</v>
      </c>
      <c r="B65" s="21">
        <f>SUM('Fiber and Connector Costs'!E172:E173)</f>
        <v>6600</v>
      </c>
      <c r="C65" s="22"/>
      <c r="D65" s="21">
        <v>9240</v>
      </c>
      <c r="E65" s="21">
        <v>6600</v>
      </c>
      <c r="F65" s="23">
        <f>D65/E65-1</f>
        <v>0.3999999999999999</v>
      </c>
      <c r="G65" s="21"/>
      <c r="H65" s="9" t="s">
        <v>124</v>
      </c>
      <c r="I65" s="1" t="s">
        <v>125</v>
      </c>
      <c r="J65" s="1" t="s">
        <v>126</v>
      </c>
    </row>
    <row r="66" spans="1:10" ht="12.75">
      <c r="A66" s="17" t="s">
        <v>628</v>
      </c>
      <c r="B66" s="21">
        <f>'Fiber and Connector Costs'!C192+'Fiber and Connector Costs'!C197</f>
        <v>12247.491351098644</v>
      </c>
      <c r="C66" s="22"/>
      <c r="D66" s="21">
        <v>17146.4878915381</v>
      </c>
      <c r="E66" s="21">
        <v>12247.491351098644</v>
      </c>
      <c r="F66" s="23">
        <f>D66/E66-1</f>
        <v>0.3999999999999999</v>
      </c>
      <c r="G66" s="21"/>
      <c r="H66" s="9" t="s">
        <v>114</v>
      </c>
      <c r="I66" s="1" t="s">
        <v>128</v>
      </c>
      <c r="J66" s="1" t="s">
        <v>112</v>
      </c>
    </row>
    <row r="67" spans="1:10" ht="12.75">
      <c r="A67" s="17" t="s">
        <v>626</v>
      </c>
      <c r="B67" s="21">
        <f>SUM('Fiber and Connector Costs'!E188:E191)</f>
        <v>1483.2399999999998</v>
      </c>
      <c r="C67" s="22"/>
      <c r="D67" s="21">
        <v>2076.5359999999996</v>
      </c>
      <c r="E67" s="21">
        <v>1483.24</v>
      </c>
      <c r="F67" s="23">
        <f>D67/E67-1</f>
        <v>0.3999999999999997</v>
      </c>
      <c r="G67" s="21"/>
      <c r="H67" s="9" t="s">
        <v>114</v>
      </c>
      <c r="I67" s="1" t="s">
        <v>128</v>
      </c>
      <c r="J67" s="1" t="s">
        <v>112</v>
      </c>
    </row>
    <row r="68" spans="1:10" ht="12.75">
      <c r="A68" s="17" t="s">
        <v>627</v>
      </c>
      <c r="B68" s="21">
        <f>SUM('Fiber and Connector Costs'!E193:E196)</f>
        <v>90197</v>
      </c>
      <c r="C68" s="22"/>
      <c r="D68" s="21">
        <v>126275.8</v>
      </c>
      <c r="E68" s="21">
        <v>90197</v>
      </c>
      <c r="F68" s="23">
        <f>D68/E68-1</f>
        <v>0.40000000000000013</v>
      </c>
      <c r="G68" s="21"/>
      <c r="H68" s="9" t="s">
        <v>127</v>
      </c>
      <c r="I68" s="1" t="s">
        <v>128</v>
      </c>
      <c r="J68" s="1" t="s">
        <v>129</v>
      </c>
    </row>
    <row r="69" spans="1:10" ht="12.75">
      <c r="A69" s="17" t="s">
        <v>130</v>
      </c>
      <c r="B69" s="25">
        <f>SUM('Fiber and Connector Costs'!C174:E174)</f>
        <v>13771.428571428572</v>
      </c>
      <c r="C69" s="22"/>
      <c r="D69" s="25">
        <v>19280</v>
      </c>
      <c r="E69" s="25">
        <v>13771.428571428572</v>
      </c>
      <c r="F69" s="23">
        <f>D69/E69-1</f>
        <v>0.3999999999999999</v>
      </c>
      <c r="G69" s="21"/>
      <c r="H69" s="9" t="s">
        <v>131</v>
      </c>
      <c r="I69" s="1" t="s">
        <v>132</v>
      </c>
      <c r="J69" s="1" t="s">
        <v>133</v>
      </c>
    </row>
    <row r="70" spans="1:8" ht="12.75">
      <c r="A70" s="17" t="s">
        <v>134</v>
      </c>
      <c r="B70" s="21">
        <f>SUM(B64:B69)</f>
        <v>579887.2042119146</v>
      </c>
      <c r="C70" s="22"/>
      <c r="D70" s="21">
        <f>SUM(D64:D69)</f>
        <v>772413.3814677418</v>
      </c>
      <c r="E70" s="21">
        <f>SUM(E64:E69)</f>
        <v>579887.2042119146</v>
      </c>
      <c r="F70" s="23">
        <f>D70/E70-1</f>
        <v>0.3320062520046059</v>
      </c>
      <c r="G70" s="21"/>
      <c r="H70" s="9"/>
    </row>
  </sheetData>
  <mergeCells count="3">
    <mergeCell ref="C40:C41"/>
    <mergeCell ref="G40:G41"/>
    <mergeCell ref="H40:H41"/>
  </mergeCells>
  <printOptions/>
  <pageMargins left="0.7875" right="0.7875" top="0.7875" bottom="0.7875" header="0.09861111111111111" footer="0.09861111111111111"/>
  <pageSetup fitToHeight="4" fitToWidth="1" horizontalDpi="300" verticalDpi="300" orientation="landscape"/>
  <headerFooter alignWithMargins="0">
    <oddHeader>&amp;C&amp;"Bitstream Vera Sans,Regular"&amp;A</oddHeader>
    <oddFooter>&amp;C&amp;"Bitstream Vera Sans,Regular"Page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1"/>
  <sheetViews>
    <sheetView workbookViewId="0" topLeftCell="A148">
      <selection activeCell="B2" sqref="B2"/>
    </sheetView>
  </sheetViews>
  <sheetFormatPr defaultColWidth="9.140625" defaultRowHeight="12.75"/>
  <cols>
    <col min="1" max="1" width="30.140625" style="26" customWidth="1"/>
    <col min="2" max="2" width="8.7109375" style="26" customWidth="1"/>
    <col min="3" max="3" width="14.28125" style="26" customWidth="1"/>
    <col min="4" max="5" width="10.57421875" style="26" customWidth="1"/>
    <col min="6" max="16384" width="11.140625" style="26" customWidth="1"/>
  </cols>
  <sheetData>
    <row r="1" s="28" customFormat="1" ht="12.75">
      <c r="A1" s="27" t="s">
        <v>135</v>
      </c>
    </row>
    <row r="2" spans="1:3" s="28" customFormat="1" ht="12.75">
      <c r="A2" s="28" t="s">
        <v>136</v>
      </c>
      <c r="B2" s="28">
        <f>DetectorParameters!$B$53+DetectorParameters!$B$64+DetectorParameters!$B$150+DetectorParameters!$B$94+B122</f>
        <v>30992</v>
      </c>
      <c r="C2" s="28">
        <f>25088/30992</f>
        <v>0.8094992256066081</v>
      </c>
    </row>
    <row r="3" spans="1:2" s="28" customFormat="1" ht="12.75">
      <c r="A3" s="28" t="s">
        <v>137</v>
      </c>
      <c r="B3" s="28">
        <f>DetectorParameters!$B$53+DetectorParameters!$B$64</f>
        <v>25088</v>
      </c>
    </row>
    <row r="4" spans="1:2" s="28" customFormat="1" ht="12.75">
      <c r="A4" s="28" t="s">
        <v>138</v>
      </c>
      <c r="B4" s="28">
        <f>DetectorParameters!B94+B122</f>
        <v>5904</v>
      </c>
    </row>
    <row r="5" spans="1:255" ht="12.75">
      <c r="A5" s="28" t="s">
        <v>139</v>
      </c>
      <c r="B5" s="29">
        <f>(DetectorParameters!$B$55+SUM(DetectorParameters!$B$70:$B$73)+DetectorParameters!$B$105+DetectorParameters!$B$152+DetectorParameters!$B$133)/1000000</f>
        <v>19.80727836204408</v>
      </c>
      <c r="C5" s="30">
        <f>B55</f>
        <v>7818840.937471436</v>
      </c>
      <c r="D5" s="1">
        <f>SUM(B70:B73)</f>
        <v>4951932.593731909</v>
      </c>
      <c r="E5" s="30">
        <f>B105</f>
        <v>4437811.492833091</v>
      </c>
      <c r="F5" s="30">
        <f>B133</f>
        <v>2598693.338007644</v>
      </c>
      <c r="G5" s="30">
        <f>B152</f>
        <v>0</v>
      </c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</row>
    <row r="6" spans="1:2" s="28" customFormat="1" ht="12.75">
      <c r="A6" s="28" t="s">
        <v>140</v>
      </c>
      <c r="B6" s="31">
        <f>B3*DetectorParameters!B52+B4*DetectorParameters!B104+B20*DetectorParameters!B148</f>
        <v>5558249.421974397</v>
      </c>
    </row>
    <row r="7" spans="1:2" s="28" customFormat="1" ht="12.75">
      <c r="A7" s="28" t="s">
        <v>141</v>
      </c>
      <c r="B7" s="31">
        <f>1.3*(B3*DetectorParameters!B99+B4*DetectorParameters!B99/2)+10*B2</f>
        <v>3052568.4799999995</v>
      </c>
    </row>
    <row r="8" spans="1:2" s="28" customFormat="1" ht="12.75">
      <c r="A8" s="28" t="s">
        <v>142</v>
      </c>
      <c r="B8" s="32">
        <f>(B6+B7)/10^5</f>
        <v>86.10817901974397</v>
      </c>
    </row>
    <row r="9" spans="1:2" s="28" customFormat="1" ht="12.75">
      <c r="A9" s="28" t="s">
        <v>143</v>
      </c>
      <c r="B9" s="32">
        <f>B181/10^5</f>
        <v>39.60563396712929</v>
      </c>
    </row>
    <row r="10" spans="1:2" s="28" customFormat="1" ht="12.75">
      <c r="A10" s="28" t="s">
        <v>144</v>
      </c>
      <c r="B10" s="33">
        <f>DetectorParameters!B54+DetectorParameters!B65+DetectorParameters!B96+DetectorParameters!B151+B124</f>
        <v>503</v>
      </c>
    </row>
    <row r="11" spans="1:2" s="28" customFormat="1" ht="12.75">
      <c r="A11" s="28" t="s">
        <v>145</v>
      </c>
      <c r="B11" s="28">
        <f>B10*64-B2</f>
        <v>1200</v>
      </c>
    </row>
    <row r="12" spans="1:2" s="28" customFormat="1" ht="12.75">
      <c r="A12" s="28" t="s">
        <v>146</v>
      </c>
      <c r="B12" s="29">
        <f>DetectorParameters!B57</f>
        <v>10.772101442559626</v>
      </c>
    </row>
    <row r="13" spans="1:2" s="28" customFormat="1" ht="12.75">
      <c r="A13" s="28" t="s">
        <v>147</v>
      </c>
      <c r="B13" s="29">
        <f>DetectorParameters!B112+B140</f>
        <v>93.20821907770537</v>
      </c>
    </row>
    <row r="14" spans="1:2" s="28" customFormat="1" ht="12.75">
      <c r="A14" s="28" t="s">
        <v>148</v>
      </c>
      <c r="B14" s="29">
        <f>SUM(DetectorParameters!B74:B77)</f>
        <v>25.623867352665094</v>
      </c>
    </row>
    <row r="15" spans="1:2" s="28" customFormat="1" ht="12.75">
      <c r="A15" s="28" t="s">
        <v>149</v>
      </c>
      <c r="B15" s="29">
        <f>SUM(DetectorParameters!B113:B114)+SUM(B141:B142)</f>
        <v>59.784529100768324</v>
      </c>
    </row>
    <row r="16" spans="1:2" s="28" customFormat="1" ht="13.5" customHeight="1">
      <c r="A16" s="28" t="s">
        <v>150</v>
      </c>
      <c r="B16" s="29">
        <f>SUM(B12:B15)+B21+B22</f>
        <v>189.38871697369842</v>
      </c>
    </row>
    <row r="17" spans="1:2" s="28" customFormat="1" ht="12.75">
      <c r="A17" s="28" t="s">
        <v>151</v>
      </c>
      <c r="B17" s="34">
        <f>((DetectorParameters!B49-2*DetectorParameters!B45)^2)*SQRT(3)/2*DetectorParameters!B26*DetectorParameters!B34*DetectorParameters!B33*1.03/1000000</f>
        <v>5.866361783123349</v>
      </c>
    </row>
    <row r="18" spans="1:2" s="28" customFormat="1" ht="12.75">
      <c r="A18" s="28" t="s">
        <v>152</v>
      </c>
      <c r="B18" s="35">
        <f>B2*(2*16)*4*2</f>
        <v>7933952</v>
      </c>
    </row>
    <row r="19" spans="1:2" s="28" customFormat="1" ht="12.75">
      <c r="A19" s="28" t="s">
        <v>153</v>
      </c>
      <c r="B19" s="28">
        <f>DetectorParameters!$B$150*(6/7)</f>
        <v>0</v>
      </c>
    </row>
    <row r="20" spans="1:2" s="28" customFormat="1" ht="12.75">
      <c r="A20" s="28" t="s">
        <v>154</v>
      </c>
      <c r="B20" s="28">
        <f>DetectorParameters!$B$150*(1/7)</f>
        <v>0</v>
      </c>
    </row>
    <row r="21" spans="1:2" s="28" customFormat="1" ht="12.75">
      <c r="A21" s="28" t="s">
        <v>155</v>
      </c>
      <c r="B21" s="29">
        <f>DetectorParameters!B155</f>
        <v>0</v>
      </c>
    </row>
    <row r="22" spans="1:2" s="28" customFormat="1" ht="12.75">
      <c r="A22" s="28" t="s">
        <v>156</v>
      </c>
      <c r="B22" s="29">
        <f>DetectorParameters!B157</f>
        <v>0</v>
      </c>
    </row>
    <row r="23" s="28" customFormat="1" ht="12.75">
      <c r="A23" s="27"/>
    </row>
    <row r="24" s="28" customFormat="1" ht="12.75">
      <c r="A24" s="27"/>
    </row>
    <row r="25" spans="1:3" s="28" customFormat="1" ht="12.75">
      <c r="A25" s="27" t="s">
        <v>157</v>
      </c>
      <c r="B25" s="28" t="s">
        <v>158</v>
      </c>
      <c r="C25" s="28" t="s">
        <v>159</v>
      </c>
    </row>
    <row r="26" spans="1:3" s="28" customFormat="1" ht="12.75">
      <c r="A26" s="28" t="s">
        <v>160</v>
      </c>
      <c r="B26" s="28">
        <v>30</v>
      </c>
      <c r="C26" s="28">
        <v>30</v>
      </c>
    </row>
    <row r="27" spans="1:3" s="28" customFormat="1" ht="12.75">
      <c r="A27" s="28" t="s">
        <v>161</v>
      </c>
      <c r="B27" s="28">
        <v>6</v>
      </c>
      <c r="C27" s="28">
        <v>6</v>
      </c>
    </row>
    <row r="28" spans="1:3" s="28" customFormat="1" ht="12.75">
      <c r="A28" s="28" t="s">
        <v>162</v>
      </c>
      <c r="B28" s="28">
        <v>3</v>
      </c>
      <c r="C28" s="28">
        <v>3</v>
      </c>
    </row>
    <row r="29" spans="1:3" s="28" customFormat="1" ht="12.75">
      <c r="A29" s="28" t="s">
        <v>163</v>
      </c>
      <c r="B29" s="28">
        <v>5</v>
      </c>
      <c r="C29" s="28">
        <v>5</v>
      </c>
    </row>
    <row r="30" spans="1:3" s="28" customFormat="1" ht="12.75">
      <c r="A30" s="28" t="s">
        <v>164</v>
      </c>
      <c r="B30" s="28">
        <v>5</v>
      </c>
      <c r="C30" s="28">
        <v>5</v>
      </c>
    </row>
    <row r="31" spans="1:3" s="28" customFormat="1" ht="12.75">
      <c r="A31" s="28" t="s">
        <v>165</v>
      </c>
      <c r="B31" s="28">
        <v>0</v>
      </c>
      <c r="C31" s="28">
        <v>3</v>
      </c>
    </row>
    <row r="32" spans="1:3" s="28" customFormat="1" ht="12.75">
      <c r="A32" s="28" t="s">
        <v>166</v>
      </c>
      <c r="B32" s="28">
        <v>0</v>
      </c>
      <c r="C32" s="28">
        <v>0.5</v>
      </c>
    </row>
    <row r="33" spans="1:2" s="28" customFormat="1" ht="12.75">
      <c r="A33" s="28" t="s">
        <v>167</v>
      </c>
      <c r="B33" s="28">
        <v>4</v>
      </c>
    </row>
    <row r="34" spans="1:3" s="28" customFormat="1" ht="12.75">
      <c r="A34" s="28" t="s">
        <v>168</v>
      </c>
      <c r="B34" s="28">
        <v>1.7</v>
      </c>
      <c r="C34" s="36">
        <f>B34/2.54</f>
        <v>0.6692913385826771</v>
      </c>
    </row>
    <row r="35" spans="1:3" s="28" customFormat="1" ht="12.75">
      <c r="A35" s="28" t="s">
        <v>169</v>
      </c>
      <c r="B35" s="28">
        <v>3.3</v>
      </c>
      <c r="C35" s="36">
        <f>B35/2.54</f>
        <v>1.2992125984251968</v>
      </c>
    </row>
    <row r="36" spans="1:4" s="28" customFormat="1" ht="12.75">
      <c r="A36" s="28" t="s">
        <v>170</v>
      </c>
      <c r="B36" s="28">
        <v>5.08</v>
      </c>
      <c r="C36" s="36">
        <f>B36/2.54</f>
        <v>2</v>
      </c>
      <c r="D36" s="28" t="s">
        <v>171</v>
      </c>
    </row>
    <row r="37" spans="1:3" s="28" customFormat="1" ht="12.75">
      <c r="A37" s="28" t="s">
        <v>172</v>
      </c>
      <c r="B37" s="28">
        <f>0.25*2.54</f>
        <v>0.635</v>
      </c>
      <c r="C37" s="36">
        <f>B37/2.54</f>
        <v>0.25</v>
      </c>
    </row>
    <row r="38" s="28" customFormat="1" ht="12.75"/>
    <row r="39" s="28" customFormat="1" ht="12.75">
      <c r="A39" s="27" t="s">
        <v>173</v>
      </c>
    </row>
    <row r="40" spans="1:3" s="28" customFormat="1" ht="12.75">
      <c r="A40" s="28" t="s">
        <v>174</v>
      </c>
      <c r="B40" s="28">
        <f>B42*B33/B33</f>
        <v>0.1984375</v>
      </c>
      <c r="C40" s="36">
        <f aca="true" t="shared" si="0" ref="C40:C45">B40/2.54</f>
        <v>0.078125</v>
      </c>
    </row>
    <row r="41" spans="1:3" s="28" customFormat="1" ht="12.75">
      <c r="A41" s="28" t="s">
        <v>175</v>
      </c>
      <c r="B41" s="28">
        <f>B43/B33</f>
        <v>0.635</v>
      </c>
      <c r="C41" s="36">
        <f t="shared" si="0"/>
        <v>0.25</v>
      </c>
    </row>
    <row r="42" spans="1:4" s="28" customFormat="1" ht="12.75">
      <c r="A42" s="28" t="s">
        <v>176</v>
      </c>
      <c r="B42" s="36">
        <f>5/64*2.54</f>
        <v>0.1984375</v>
      </c>
      <c r="C42" s="36">
        <f t="shared" si="0"/>
        <v>0.078125</v>
      </c>
      <c r="D42" s="28" t="s">
        <v>177</v>
      </c>
    </row>
    <row r="43" spans="1:3" s="28" customFormat="1" ht="12.75">
      <c r="A43" s="28" t="s">
        <v>178</v>
      </c>
      <c r="B43" s="28">
        <f>2.54</f>
        <v>2.54</v>
      </c>
      <c r="C43" s="36">
        <f t="shared" si="0"/>
        <v>1</v>
      </c>
    </row>
    <row r="44" spans="1:4" s="28" customFormat="1" ht="12.75">
      <c r="A44" s="28" t="s">
        <v>179</v>
      </c>
      <c r="B44" s="28">
        <v>0.2</v>
      </c>
      <c r="C44" s="36">
        <f t="shared" si="0"/>
        <v>0.07874015748031496</v>
      </c>
      <c r="D44" s="28" t="s">
        <v>180</v>
      </c>
    </row>
    <row r="45" spans="1:4" s="28" customFormat="1" ht="12.75">
      <c r="A45" s="28" t="s">
        <v>181</v>
      </c>
      <c r="B45" s="28">
        <v>15</v>
      </c>
      <c r="C45" s="36">
        <f t="shared" si="0"/>
        <v>5.905511811023622</v>
      </c>
      <c r="D45" s="28" t="s">
        <v>182</v>
      </c>
    </row>
    <row r="46" s="28" customFormat="1" ht="12.75"/>
    <row r="47" s="28" customFormat="1" ht="12.75">
      <c r="A47" s="27" t="s">
        <v>183</v>
      </c>
    </row>
    <row r="48" spans="1:2" s="28" customFormat="1" ht="12.75">
      <c r="A48" s="28" t="s">
        <v>184</v>
      </c>
      <c r="B48" s="28">
        <f>64*2</f>
        <v>128</v>
      </c>
    </row>
    <row r="49" spans="1:4" s="28" customFormat="1" ht="12.75">
      <c r="A49" s="28" t="s">
        <v>185</v>
      </c>
      <c r="B49" s="29">
        <f>(B48-1)/2*B35</f>
        <v>209.54999999999998</v>
      </c>
      <c r="C49" s="36">
        <f>B49/2.54</f>
        <v>82.49999999999999</v>
      </c>
      <c r="D49" s="28" t="s">
        <v>186</v>
      </c>
    </row>
    <row r="50" spans="1:2" s="28" customFormat="1" ht="12.75">
      <c r="A50" s="28" t="s">
        <v>187</v>
      </c>
      <c r="B50" s="29">
        <f>B49/(SQRT(3)/2)/2</f>
        <v>120.98374890868608</v>
      </c>
    </row>
    <row r="51" spans="1:2" s="28" customFormat="1" ht="12.75">
      <c r="A51" s="28" t="s">
        <v>188</v>
      </c>
      <c r="B51" s="29">
        <f>B49/(SQRT(3)/2)</f>
        <v>241.96749781737216</v>
      </c>
    </row>
    <row r="52" spans="1:2" s="28" customFormat="1" ht="12.75">
      <c r="A52" s="28" t="s">
        <v>189</v>
      </c>
      <c r="B52" s="29">
        <f>(B51+B50)/2</f>
        <v>181.47562336302911</v>
      </c>
    </row>
    <row r="53" spans="1:2" s="28" customFormat="1" ht="12.75">
      <c r="A53" s="28" t="s">
        <v>190</v>
      </c>
      <c r="B53" s="28">
        <f>B26*$B$48*$B$33</f>
        <v>15360</v>
      </c>
    </row>
    <row r="54" spans="1:2" s="28" customFormat="1" ht="12.75">
      <c r="A54" s="28" t="s">
        <v>191</v>
      </c>
      <c r="B54" s="28">
        <f>B53/64</f>
        <v>240</v>
      </c>
    </row>
    <row r="55" spans="1:2" s="28" customFormat="1" ht="12.75">
      <c r="A55" s="28" t="s">
        <v>192</v>
      </c>
      <c r="B55" s="31">
        <f>$B$52*$B$34*$B$35/2*B53</f>
        <v>7818840.937471436</v>
      </c>
    </row>
    <row r="56" spans="1:2" s="28" customFormat="1" ht="12.75">
      <c r="A56" s="28" t="s">
        <v>193</v>
      </c>
      <c r="B56" s="31">
        <f>B44*B26*B33*(B49^2-(B49-B45*2)^2)*SQRT(3)/2</f>
        <v>242618.74892101804</v>
      </c>
    </row>
    <row r="57" spans="1:2" s="28" customFormat="1" ht="12.75">
      <c r="A57" s="28" t="s">
        <v>194</v>
      </c>
      <c r="B57" s="29">
        <f>(B55*B161+B56*B160)/1000000</f>
        <v>10.772101442559626</v>
      </c>
    </row>
    <row r="58" s="28" customFormat="1" ht="12.75">
      <c r="B58" s="29"/>
    </row>
    <row r="59" spans="1:2" s="28" customFormat="1" ht="12.75">
      <c r="A59" s="27" t="s">
        <v>195</v>
      </c>
      <c r="B59" s="29"/>
    </row>
    <row r="60" spans="1:2" s="28" customFormat="1" ht="12.75">
      <c r="A60" s="28" t="s">
        <v>196</v>
      </c>
      <c r="B60" s="28">
        <f>$B27*($B$48*$B$33)</f>
        <v>3072</v>
      </c>
    </row>
    <row r="61" spans="1:2" s="28" customFormat="1" ht="12.75">
      <c r="A61" s="28" t="s">
        <v>197</v>
      </c>
      <c r="B61" s="28">
        <f>$B28*($B$48*$B$33)</f>
        <v>1536</v>
      </c>
    </row>
    <row r="62" spans="1:2" s="28" customFormat="1" ht="12.75">
      <c r="A62" s="28" t="s">
        <v>198</v>
      </c>
      <c r="B62" s="28">
        <f>$B29*($B$48*$B$33)</f>
        <v>2560</v>
      </c>
    </row>
    <row r="63" spans="1:2" s="28" customFormat="1" ht="12.75">
      <c r="A63" s="28" t="s">
        <v>199</v>
      </c>
      <c r="B63" s="28">
        <f>$B30*($B$48*$B$33)</f>
        <v>2560</v>
      </c>
    </row>
    <row r="64" spans="1:2" s="28" customFormat="1" ht="12.75">
      <c r="A64" s="28" t="s">
        <v>200</v>
      </c>
      <c r="B64" s="33">
        <f>SUM(B60:B63)</f>
        <v>9728</v>
      </c>
    </row>
    <row r="65" spans="1:2" s="28" customFormat="1" ht="12.75">
      <c r="A65" s="28" t="s">
        <v>201</v>
      </c>
      <c r="B65" s="33">
        <f>B64/64</f>
        <v>152</v>
      </c>
    </row>
    <row r="66" spans="1:2" s="28" customFormat="1" ht="12.75">
      <c r="A66" s="28" t="s">
        <v>202</v>
      </c>
      <c r="B66" s="31">
        <f>(B27*$B$33*B40)*$B$49^2*SQRT(3)/2</f>
        <v>181109.38287062955</v>
      </c>
    </row>
    <row r="67" spans="1:2" s="28" customFormat="1" ht="12.75">
      <c r="A67" s="28" t="s">
        <v>203</v>
      </c>
      <c r="B67" s="31">
        <f>(B28*$B$33*B41)*($B$101*2)^2*SQRT(3)/2</f>
        <v>904346.7222659462</v>
      </c>
    </row>
    <row r="68" spans="1:2" s="28" customFormat="1" ht="12.75">
      <c r="A68" s="28" t="s">
        <v>204</v>
      </c>
      <c r="B68" s="31">
        <f>(B29*$B$33*B42)*$B$49^2*SQRT(3)/2</f>
        <v>150924.48572552463</v>
      </c>
    </row>
    <row r="69" spans="1:2" s="28" customFormat="1" ht="12.75">
      <c r="A69" s="28" t="s">
        <v>205</v>
      </c>
      <c r="B69" s="31">
        <f>(B30*$B$33*B43)*($B$101*2)^2*SQRT(3)/2</f>
        <v>6028978.148439641</v>
      </c>
    </row>
    <row r="70" spans="1:2" s="28" customFormat="1" ht="12.75">
      <c r="A70" s="28" t="s">
        <v>206</v>
      </c>
      <c r="B70" s="31">
        <f>$B$52*$B$34*$B$35/2*B60</f>
        <v>1563768.1874942873</v>
      </c>
    </row>
    <row r="71" spans="1:2" s="28" customFormat="1" ht="12.75">
      <c r="A71" s="28" t="s">
        <v>207</v>
      </c>
      <c r="B71" s="31">
        <f>$B$52*$B$34*$B$35/2*B61</f>
        <v>781884.0937471436</v>
      </c>
    </row>
    <row r="72" spans="1:2" s="28" customFormat="1" ht="12.75">
      <c r="A72" s="28" t="s">
        <v>208</v>
      </c>
      <c r="B72" s="31">
        <f>$B$52*$B$34*$B$35/2*B62</f>
        <v>1303140.1562452393</v>
      </c>
    </row>
    <row r="73" spans="1:2" s="28" customFormat="1" ht="12.75">
      <c r="A73" s="28" t="s">
        <v>209</v>
      </c>
      <c r="B73" s="31">
        <f>$B$52*$B$34*$B$35/2*B63</f>
        <v>1303140.1562452393</v>
      </c>
    </row>
    <row r="74" spans="1:2" s="28" customFormat="1" ht="12.75">
      <c r="A74" s="28" t="s">
        <v>210</v>
      </c>
      <c r="B74" s="29">
        <f>(B66*B160+B70*B161)/1000000</f>
        <v>3.6401254785205435</v>
      </c>
    </row>
    <row r="75" spans="1:2" s="28" customFormat="1" ht="12.75">
      <c r="A75" s="28" t="s">
        <v>211</v>
      </c>
      <c r="B75" s="29">
        <f>(B67*B161+B71*B162)/1000000</f>
        <v>7.084904941723945</v>
      </c>
    </row>
    <row r="76" spans="1:2" s="28" customFormat="1" ht="12.75">
      <c r="A76" s="28" t="s">
        <v>212</v>
      </c>
      <c r="B76" s="29">
        <f>(B68*B162+B72*B163)/1000000</f>
        <v>3.6246477948384763</v>
      </c>
    </row>
    <row r="77" spans="1:2" s="28" customFormat="1" ht="12.75">
      <c r="A77" s="28" t="s">
        <v>213</v>
      </c>
      <c r="B77" s="29">
        <f>(B69*B163+B73*B164)/1000000</f>
        <v>11.274189137582129</v>
      </c>
    </row>
    <row r="78" s="28" customFormat="1" ht="12.75">
      <c r="B78" s="29"/>
    </row>
    <row r="79" spans="1:2" s="28" customFormat="1" ht="12.75">
      <c r="A79" s="27" t="s">
        <v>214</v>
      </c>
      <c r="B79" s="29"/>
    </row>
    <row r="80" spans="1:2" s="28" customFormat="1" ht="12.75">
      <c r="A80" s="28" t="s">
        <v>215</v>
      </c>
      <c r="B80" s="28">
        <v>2</v>
      </c>
    </row>
    <row r="81" spans="1:4" s="28" customFormat="1" ht="12.75">
      <c r="A81" s="28" t="s">
        <v>216</v>
      </c>
      <c r="B81" s="28">
        <f>IF('Budget Control and Summaries'!C1&gt;=5,(1)*2.54,B86+0.25*2.54)</f>
        <v>2.54</v>
      </c>
      <c r="C81" s="37">
        <f aca="true" t="shared" si="1" ref="C81:C86">B81/2.54</f>
        <v>1</v>
      </c>
      <c r="D81" s="28" t="s">
        <v>217</v>
      </c>
    </row>
    <row r="82" spans="1:4" s="28" customFormat="1" ht="12.75">
      <c r="A82" s="28" t="s">
        <v>218</v>
      </c>
      <c r="B82" s="28">
        <f>IF('Budget Control and Summaries'!C1&gt;=5,1.9,(1)*2.54)</f>
        <v>1.9</v>
      </c>
      <c r="C82" s="37">
        <f t="shared" si="1"/>
        <v>0.7480314960629921</v>
      </c>
      <c r="D82" s="28" t="s">
        <v>219</v>
      </c>
    </row>
    <row r="83" spans="1:4" s="28" customFormat="1" ht="12.75">
      <c r="A83" s="28" t="s">
        <v>220</v>
      </c>
      <c r="B83" s="28">
        <v>5</v>
      </c>
      <c r="C83" s="37">
        <f t="shared" si="1"/>
        <v>1.968503937007874</v>
      </c>
      <c r="D83" s="28" t="s">
        <v>221</v>
      </c>
    </row>
    <row r="84" spans="1:4" s="28" customFormat="1" ht="12.75">
      <c r="A84" s="28" t="s">
        <v>222</v>
      </c>
      <c r="B84" s="28">
        <v>10</v>
      </c>
      <c r="C84" s="36">
        <f t="shared" si="1"/>
        <v>3.937007874015748</v>
      </c>
      <c r="D84" s="28" t="s">
        <v>223</v>
      </c>
    </row>
    <row r="85" spans="1:4" s="28" customFormat="1" ht="12.75">
      <c r="A85" s="28" t="s">
        <v>224</v>
      </c>
      <c r="B85" s="28">
        <v>10</v>
      </c>
      <c r="C85" s="36">
        <f t="shared" si="1"/>
        <v>3.937007874015748</v>
      </c>
      <c r="D85" s="28" t="s">
        <v>225</v>
      </c>
    </row>
    <row r="86" spans="1:3" s="28" customFormat="1" ht="12.75">
      <c r="A86" s="28" t="s">
        <v>226</v>
      </c>
      <c r="B86" s="28">
        <f>1.5*2.54</f>
        <v>3.81</v>
      </c>
      <c r="C86" s="36">
        <f t="shared" si="1"/>
        <v>1.5</v>
      </c>
    </row>
    <row r="87" s="28" customFormat="1" ht="12.75">
      <c r="C87" s="37"/>
    </row>
    <row r="88" s="28" customFormat="1" ht="12.75">
      <c r="A88" s="27" t="s">
        <v>227</v>
      </c>
    </row>
    <row r="89" spans="1:2" s="28" customFormat="1" ht="12.75">
      <c r="A89" s="28" t="s">
        <v>228</v>
      </c>
      <c r="B89" s="28">
        <f>IF('Budget Control and Summaries'!$C$2="mri",0,B97+B98)</f>
        <v>6</v>
      </c>
    </row>
    <row r="90" spans="1:4" s="28" customFormat="1" ht="12.75">
      <c r="A90" s="28" t="s">
        <v>229</v>
      </c>
      <c r="B90" s="28">
        <f>2*B89</f>
        <v>12</v>
      </c>
      <c r="D90" s="28" t="s">
        <v>230</v>
      </c>
    </row>
    <row r="91" spans="1:4" s="28" customFormat="1" ht="12.75">
      <c r="A91" s="28" t="s">
        <v>231</v>
      </c>
      <c r="B91" s="28">
        <f>(MAX(B$26-15,0)+B$29+B$30)</f>
        <v>25</v>
      </c>
      <c r="C91" s="37"/>
      <c r="D91" s="28" t="s">
        <v>232</v>
      </c>
    </row>
    <row r="92" spans="1:3" s="28" customFormat="1" ht="12.75">
      <c r="A92" s="28" t="s">
        <v>233</v>
      </c>
      <c r="B92" s="28">
        <f>B91*(B$33/B$80)</f>
        <v>50</v>
      </c>
      <c r="C92" s="37"/>
    </row>
    <row r="93" spans="1:2" s="28" customFormat="1" ht="12.75">
      <c r="A93" s="28" t="s">
        <v>234</v>
      </c>
      <c r="B93" s="28">
        <f>6*B92</f>
        <v>300</v>
      </c>
    </row>
    <row r="94" spans="1:2" s="28" customFormat="1" ht="12.75">
      <c r="A94" s="28" t="s">
        <v>235</v>
      </c>
      <c r="B94" s="28">
        <f>B93*B90</f>
        <v>3600</v>
      </c>
    </row>
    <row r="95" spans="1:2" s="28" customFormat="1" ht="12.75">
      <c r="A95" s="28" t="s">
        <v>236</v>
      </c>
      <c r="B95" s="28">
        <f>B93*B89*2</f>
        <v>3600</v>
      </c>
    </row>
    <row r="96" spans="1:2" s="28" customFormat="1" ht="12.75">
      <c r="A96" s="28" t="s">
        <v>237</v>
      </c>
      <c r="B96" s="28">
        <f>INT(B90*2*(B$33/B$80)/64+0.999)*B93/(B$33/B$80)/2</f>
        <v>75</v>
      </c>
    </row>
    <row r="97" spans="1:3" s="28" customFormat="1" ht="12.75">
      <c r="A97" s="28" t="s">
        <v>238</v>
      </c>
      <c r="B97" s="28">
        <v>2</v>
      </c>
      <c r="C97" s="36"/>
    </row>
    <row r="98" spans="1:3" s="28" customFormat="1" ht="12.75">
      <c r="A98" s="28" t="s">
        <v>239</v>
      </c>
      <c r="B98" s="28">
        <v>4</v>
      </c>
      <c r="C98" s="36"/>
    </row>
    <row r="99" spans="1:3" s="28" customFormat="1" ht="12.75">
      <c r="A99" s="28" t="s">
        <v>240</v>
      </c>
      <c r="B99" s="28">
        <f>B97*B$83+B98*B$84+B89*B$81+B$85</f>
        <v>75.24</v>
      </c>
      <c r="C99" s="36">
        <f>B99/2.54</f>
        <v>29.622047244094485</v>
      </c>
    </row>
    <row r="100" spans="1:3" s="28" customFormat="1" ht="12.75">
      <c r="A100" s="28" t="s">
        <v>241</v>
      </c>
      <c r="B100" s="29">
        <f>B$49/2+B$36</f>
        <v>109.85499999999999</v>
      </c>
      <c r="C100" s="36">
        <f>B100*2/2.54</f>
        <v>86.49999999999999</v>
      </c>
    </row>
    <row r="101" spans="1:3" s="28" customFormat="1" ht="12.75">
      <c r="A101" s="28" t="s">
        <v>242</v>
      </c>
      <c r="B101" s="29">
        <f>B99+B100</f>
        <v>185.09499999999997</v>
      </c>
      <c r="C101" s="36">
        <f>B101*2/2.54</f>
        <v>145.74409448818895</v>
      </c>
    </row>
    <row r="102" spans="1:3" s="28" customFormat="1" ht="12.75">
      <c r="A102" s="28" t="s">
        <v>243</v>
      </c>
      <c r="B102" s="29">
        <f>B100/(SQRT(3)/2)</f>
        <v>126.84962764365267</v>
      </c>
      <c r="C102" s="36">
        <f>B102/2.54</f>
        <v>49.94079828490263</v>
      </c>
    </row>
    <row r="103" spans="1:3" s="28" customFormat="1" ht="12.75">
      <c r="A103" s="28" t="s">
        <v>244</v>
      </c>
      <c r="B103" s="29">
        <f>B101/(SQRT(3)/2)</f>
        <v>213.72929615130755</v>
      </c>
      <c r="C103" s="36">
        <f>B103/2.54</f>
        <v>84.14539218555416</v>
      </c>
    </row>
    <row r="104" spans="1:2" s="28" customFormat="1" ht="12.75">
      <c r="A104" s="28" t="s">
        <v>245</v>
      </c>
      <c r="B104" s="29">
        <f>(B102+B103)/2</f>
        <v>170.28946189748012</v>
      </c>
    </row>
    <row r="105" spans="1:2" s="28" customFormat="1" ht="12.75">
      <c r="A105" s="28" t="s">
        <v>246</v>
      </c>
      <c r="B105" s="31">
        <f>B104*(B$82*B$86)*B95</f>
        <v>4437811.492833091</v>
      </c>
    </row>
    <row r="106" spans="1:2" s="28" customFormat="1" ht="12.75">
      <c r="A106" s="28" t="s">
        <v>247</v>
      </c>
      <c r="B106" s="31">
        <f>B$86*B104*(B97*B$83+B98*B$84+B$85)*B93</f>
        <v>11678451.296929188</v>
      </c>
    </row>
    <row r="107" spans="1:2" s="28" customFormat="1" ht="12.75">
      <c r="A107" s="28" t="s">
        <v>248</v>
      </c>
      <c r="B107" s="31">
        <f>B$44*(B103^2-B102^2)*SQRT(3)/2</f>
        <v>5125.031645266561</v>
      </c>
    </row>
    <row r="108" spans="1:4" s="28" customFormat="1" ht="12.75">
      <c r="A108" s="28" t="s">
        <v>249</v>
      </c>
      <c r="B108" s="29">
        <f>(B$86*B$33/B$80+B$37)*B91+(B$30*B$33*B$43)</f>
        <v>257.175</v>
      </c>
      <c r="D108" s="28" t="s">
        <v>250</v>
      </c>
    </row>
    <row r="109" spans="1:2" s="28" customFormat="1" ht="12.75">
      <c r="A109" s="28" t="s">
        <v>251</v>
      </c>
      <c r="B109" s="29">
        <f>B101*2</f>
        <v>370.18999999999994</v>
      </c>
    </row>
    <row r="110" spans="1:2" s="28" customFormat="1" ht="12.75">
      <c r="A110" s="28" t="s">
        <v>252</v>
      </c>
      <c r="B110" s="29">
        <f>B109*2/SQRT(3)</f>
        <v>427.4585923026151</v>
      </c>
    </row>
    <row r="111" spans="1:2" s="28" customFormat="1" ht="12.75">
      <c r="A111" s="28" t="s">
        <v>253</v>
      </c>
      <c r="B111" s="29">
        <f>(B105*B$161+B106*B$162+B107*B$163)/1000000</f>
        <v>96.48994135362744</v>
      </c>
    </row>
    <row r="112" spans="1:4" s="28" customFormat="1" ht="12.75">
      <c r="A112" s="28" t="s">
        <v>254</v>
      </c>
      <c r="B112" s="29">
        <f>IF(B91&gt;0,B111*MAX(B$26-15,0)/B91,0)</f>
        <v>57.89396481217646</v>
      </c>
      <c r="D112" s="28" t="s">
        <v>255</v>
      </c>
    </row>
    <row r="113" spans="1:2" s="28" customFormat="1" ht="12.75">
      <c r="A113" s="28" t="s">
        <v>256</v>
      </c>
      <c r="B113" s="29">
        <f>IF(B91&gt;0,$B$111*$B$29/B91,0)</f>
        <v>19.29798827072549</v>
      </c>
    </row>
    <row r="114" spans="1:2" s="28" customFormat="1" ht="12.75">
      <c r="A114" s="28" t="s">
        <v>257</v>
      </c>
      <c r="B114" s="29">
        <f>IF(B91&gt;0,B111*B$30/B91,0)</f>
        <v>19.29798827072549</v>
      </c>
    </row>
    <row r="115" s="28" customFormat="1" ht="12.75">
      <c r="B115" s="29"/>
    </row>
    <row r="116" s="28" customFormat="1" ht="12.75">
      <c r="A116" s="27" t="s">
        <v>258</v>
      </c>
    </row>
    <row r="117" spans="1:2" s="28" customFormat="1" ht="12.75">
      <c r="A117" s="28" t="s">
        <v>259</v>
      </c>
      <c r="B117" s="28">
        <f>IF('Budget Control and Summaries'!$C$2="mri",0,B125+B126)</f>
        <v>4</v>
      </c>
    </row>
    <row r="118" spans="1:4" s="28" customFormat="1" ht="12.75">
      <c r="A118" s="28" t="s">
        <v>260</v>
      </c>
      <c r="B118" s="28">
        <f>2*B117</f>
        <v>8</v>
      </c>
      <c r="D118" s="28" t="s">
        <v>261</v>
      </c>
    </row>
    <row r="119" spans="1:4" s="28" customFormat="1" ht="12.75">
      <c r="A119" s="28" t="s">
        <v>262</v>
      </c>
      <c r="B119" s="28">
        <f>(MIN(15,B$26)+B$27+B$28)</f>
        <v>24</v>
      </c>
      <c r="C119" s="37"/>
      <c r="D119" s="28" t="s">
        <v>263</v>
      </c>
    </row>
    <row r="120" spans="1:4" s="28" customFormat="1" ht="12.75">
      <c r="A120" s="28" t="s">
        <v>264</v>
      </c>
      <c r="B120" s="28">
        <f>B119*B$33/B$80</f>
        <v>48</v>
      </c>
      <c r="C120" s="37"/>
      <c r="D120" s="28" t="s">
        <v>265</v>
      </c>
    </row>
    <row r="121" spans="1:2" s="28" customFormat="1" ht="12.75">
      <c r="A121" s="28" t="s">
        <v>266</v>
      </c>
      <c r="B121" s="28">
        <f>6*B120</f>
        <v>288</v>
      </c>
    </row>
    <row r="122" spans="1:2" s="28" customFormat="1" ht="12.75">
      <c r="A122" s="28" t="s">
        <v>267</v>
      </c>
      <c r="B122" s="28">
        <f>B121*B118</f>
        <v>2304</v>
      </c>
    </row>
    <row r="123" spans="1:2" s="28" customFormat="1" ht="12.75">
      <c r="A123" s="28" t="s">
        <v>268</v>
      </c>
      <c r="B123" s="28">
        <f>B121*B117*2</f>
        <v>2304</v>
      </c>
    </row>
    <row r="124" spans="1:4" s="28" customFormat="1" ht="12.75">
      <c r="A124" s="28" t="s">
        <v>269</v>
      </c>
      <c r="B124" s="28">
        <f>INT(B118*2*2*(B$33/B$80)/64+0.999)*B121/(B$33/B$80)/2/2</f>
        <v>36</v>
      </c>
      <c r="D124" s="28" t="s">
        <v>270</v>
      </c>
    </row>
    <row r="125" spans="1:3" s="28" customFormat="1" ht="12.75">
      <c r="A125" s="28" t="s">
        <v>271</v>
      </c>
      <c r="B125" s="28">
        <v>2</v>
      </c>
      <c r="C125" s="36"/>
    </row>
    <row r="126" spans="1:3" s="28" customFormat="1" ht="12.75">
      <c r="A126" s="28" t="s">
        <v>272</v>
      </c>
      <c r="B126" s="28">
        <v>2</v>
      </c>
      <c r="C126" s="36"/>
    </row>
    <row r="127" spans="1:3" s="28" customFormat="1" ht="12.75">
      <c r="A127" s="28" t="s">
        <v>273</v>
      </c>
      <c r="B127" s="28">
        <f>B125*B$83+B126*B$84+B117*B$81+B$85</f>
        <v>50.16</v>
      </c>
      <c r="C127" s="36">
        <f>B127/2.54</f>
        <v>19.74803149606299</v>
      </c>
    </row>
    <row r="128" spans="1:3" s="28" customFormat="1" ht="12.75">
      <c r="A128" s="28" t="s">
        <v>274</v>
      </c>
      <c r="B128" s="29">
        <f>B$49/2+B$36</f>
        <v>109.85499999999999</v>
      </c>
      <c r="C128" s="36">
        <f>B128*2/2.54</f>
        <v>86.49999999999999</v>
      </c>
    </row>
    <row r="129" spans="1:3" s="28" customFormat="1" ht="12.75">
      <c r="A129" s="28" t="s">
        <v>275</v>
      </c>
      <c r="B129" s="29">
        <f>B127+B128</f>
        <v>160.015</v>
      </c>
      <c r="C129" s="36">
        <f>B129*2/2.54</f>
        <v>125.99606299212597</v>
      </c>
    </row>
    <row r="130" spans="1:3" s="28" customFormat="1" ht="12.75">
      <c r="A130" s="28" t="s">
        <v>276</v>
      </c>
      <c r="B130" s="29">
        <f>B128/(SQRT(3)/2)</f>
        <v>126.84962764365267</v>
      </c>
      <c r="C130" s="36">
        <f>B130/2.54</f>
        <v>49.94079828490263</v>
      </c>
    </row>
    <row r="131" spans="1:3" s="28" customFormat="1" ht="12.75">
      <c r="A131" s="28" t="s">
        <v>277</v>
      </c>
      <c r="B131" s="29">
        <f>B129/(SQRT(3)/2)</f>
        <v>184.76940664875593</v>
      </c>
      <c r="C131" s="36">
        <f>B131/2.54</f>
        <v>72.74386088533699</v>
      </c>
    </row>
    <row r="132" spans="1:2" s="28" customFormat="1" ht="12.75">
      <c r="A132" s="28" t="s">
        <v>278</v>
      </c>
      <c r="B132" s="29">
        <f>(B130+B131)/2</f>
        <v>155.8095171462043</v>
      </c>
    </row>
    <row r="133" spans="1:2" s="28" customFormat="1" ht="12.75">
      <c r="A133" s="28" t="s">
        <v>279</v>
      </c>
      <c r="B133" s="31">
        <f>B132*(B$82*B$86)*B123</f>
        <v>2598693.338007644</v>
      </c>
    </row>
    <row r="134" spans="1:2" s="28" customFormat="1" ht="12.75">
      <c r="A134" s="28" t="s">
        <v>280</v>
      </c>
      <c r="B134" s="31">
        <f>B$86*B132*(B125*B$83+B126*B$84+B$85)*B121</f>
        <v>6838666.678967483</v>
      </c>
    </row>
    <row r="135" spans="1:2" s="28" customFormat="1" ht="12.75">
      <c r="A135" s="28" t="s">
        <v>281</v>
      </c>
      <c r="B135" s="31">
        <f>B$44*(B131^2-B130^2)*SQRT(3)/2</f>
        <v>3126.1621520214426</v>
      </c>
    </row>
    <row r="136" spans="1:4" s="28" customFormat="1" ht="12.75">
      <c r="A136" s="28" t="s">
        <v>282</v>
      </c>
      <c r="B136" s="29">
        <f>(B$86*B$33/B$80+B$37)*B119+(B$27*B$33*B$40+B$28*B$33*B$41)</f>
        <v>210.5025</v>
      </c>
      <c r="D136" s="28" t="s">
        <v>283</v>
      </c>
    </row>
    <row r="137" spans="1:2" s="28" customFormat="1" ht="12.75">
      <c r="A137" s="28" t="s">
        <v>284</v>
      </c>
      <c r="B137" s="29">
        <f>B129*2</f>
        <v>320.03</v>
      </c>
    </row>
    <row r="138" spans="1:2" s="28" customFormat="1" ht="12.75">
      <c r="A138" s="28" t="s">
        <v>285</v>
      </c>
      <c r="B138" s="29">
        <f>B137*2/SQRT(3)</f>
        <v>369.53881329751187</v>
      </c>
    </row>
    <row r="139" spans="1:2" s="28" customFormat="1" ht="12.75">
      <c r="A139" s="28" t="s">
        <v>286</v>
      </c>
      <c r="B139" s="29">
        <f>(B133*B$161+B134*B$162+B135*B$163)/1000000</f>
        <v>56.502806824846246</v>
      </c>
    </row>
    <row r="140" spans="1:4" s="28" customFormat="1" ht="12.75">
      <c r="A140" s="28" t="s">
        <v>287</v>
      </c>
      <c r="B140" s="29">
        <f>IF(B119&gt;0,B139*MIN(B$26,15)/B119,0)</f>
        <v>35.3142542655289</v>
      </c>
      <c r="D140" s="28" t="s">
        <v>288</v>
      </c>
    </row>
    <row r="141" spans="1:2" s="28" customFormat="1" ht="12.75">
      <c r="A141" s="28" t="s">
        <v>289</v>
      </c>
      <c r="B141" s="29">
        <f>IF(B119&gt;0,B139*B$27/B119,0)</f>
        <v>14.125701706211563</v>
      </c>
    </row>
    <row r="142" spans="1:2" s="28" customFormat="1" ht="12.75">
      <c r="A142" s="28" t="s">
        <v>290</v>
      </c>
      <c r="B142" s="29">
        <f>IF(B119&gt;0,B139*B$28/B119,0)</f>
        <v>7.062850853105782</v>
      </c>
    </row>
    <row r="143" s="28" customFormat="1" ht="12.75">
      <c r="B143" s="29"/>
    </row>
    <row r="144" spans="1:2" s="28" customFormat="1" ht="12.75">
      <c r="A144" s="27" t="s">
        <v>291</v>
      </c>
      <c r="B144" s="31"/>
    </row>
    <row r="145" spans="1:2" s="28" customFormat="1" ht="12.75">
      <c r="A145" s="28" t="s">
        <v>292</v>
      </c>
      <c r="B145" s="28">
        <f>INT((B49+B99*2)/B35*2+1.5)</f>
        <v>219</v>
      </c>
    </row>
    <row r="146" spans="1:2" s="28" customFormat="1" ht="12.75">
      <c r="A146" s="28" t="s">
        <v>293</v>
      </c>
      <c r="B146" s="29">
        <f>B103</f>
        <v>213.72929615130755</v>
      </c>
    </row>
    <row r="147" spans="1:2" s="28" customFormat="1" ht="12.75">
      <c r="A147" s="28" t="s">
        <v>294</v>
      </c>
      <c r="B147" s="29">
        <f>B146*2</f>
        <v>427.4585923026151</v>
      </c>
    </row>
    <row r="148" spans="1:2" s="28" customFormat="1" ht="12.75">
      <c r="A148" s="28" t="s">
        <v>295</v>
      </c>
      <c r="B148" s="29">
        <f>(B146+B147)/2</f>
        <v>320.5939442269613</v>
      </c>
    </row>
    <row r="149" spans="1:2" s="28" customFormat="1" ht="12.75">
      <c r="A149" s="28" t="s">
        <v>296</v>
      </c>
      <c r="B149" s="28">
        <v>10</v>
      </c>
    </row>
    <row r="150" spans="1:2" s="28" customFormat="1" ht="12.75">
      <c r="A150" s="28" t="s">
        <v>297</v>
      </c>
      <c r="B150" s="28">
        <f>B145*(B31+B32)*B33</f>
        <v>0</v>
      </c>
    </row>
    <row r="151" spans="1:2" s="28" customFormat="1" ht="12.75">
      <c r="A151" s="28" t="s">
        <v>298</v>
      </c>
      <c r="B151" s="28">
        <f>INT(0.999+B145/64)*(B31+B32)*B33</f>
        <v>0</v>
      </c>
    </row>
    <row r="152" spans="1:2" s="28" customFormat="1" ht="12.75">
      <c r="A152" s="28" t="s">
        <v>299</v>
      </c>
      <c r="B152" s="31">
        <f>B150*B148*B34*B35/2</f>
        <v>0</v>
      </c>
    </row>
    <row r="153" spans="1:2" s="28" customFormat="1" ht="12.75">
      <c r="A153" s="28" t="s">
        <v>300</v>
      </c>
      <c r="B153" s="31">
        <f>B149*(B31+B32)*B33*(B49+2*B99+2*B36)^2*SQRT(3)/2</f>
        <v>0</v>
      </c>
    </row>
    <row r="154" spans="1:2" s="28" customFormat="1" ht="12.75">
      <c r="A154" s="28" t="s">
        <v>301</v>
      </c>
      <c r="B154" s="28">
        <f>B31*B33*(B34+B149+B37/B33)</f>
        <v>0</v>
      </c>
    </row>
    <row r="155" spans="1:2" s="28" customFormat="1" ht="12.75">
      <c r="A155" s="28" t="s">
        <v>302</v>
      </c>
      <c r="B155" s="29">
        <f>IF($B$31&gt;0,($B$31/($B$31+$B$32)),0)*($B$152*$B$161+$B$153*$B$162)/1000000</f>
        <v>0</v>
      </c>
    </row>
    <row r="156" spans="1:2" s="28" customFormat="1" ht="12.75">
      <c r="A156" s="28" t="s">
        <v>303</v>
      </c>
      <c r="B156" s="29">
        <f>B32*B33*(B34+B149+B37/B33)</f>
        <v>0</v>
      </c>
    </row>
    <row r="157" spans="1:2" s="28" customFormat="1" ht="12.75">
      <c r="A157" s="28" t="s">
        <v>304</v>
      </c>
      <c r="B157" s="29">
        <f>IF($B$32&gt;0,($B$32/($B$31+$B$32)),0)*($B$152*$B$161+$B$153*$B$162)/1000000</f>
        <v>0</v>
      </c>
    </row>
    <row r="158" s="28" customFormat="1" ht="12.75"/>
    <row r="159" s="28" customFormat="1" ht="12.75">
      <c r="A159" s="27" t="s">
        <v>305</v>
      </c>
    </row>
    <row r="160" spans="1:4" s="28" customFormat="1" ht="12.75">
      <c r="A160" s="28" t="s">
        <v>306</v>
      </c>
      <c r="B160" s="34">
        <f>D166*E166+D167*E167+D168*E168+D169*E169</f>
        <v>11.205627302319861</v>
      </c>
      <c r="C160" s="34"/>
      <c r="D160" s="28" t="s">
        <v>307</v>
      </c>
    </row>
    <row r="161" spans="1:3" s="28" customFormat="1" ht="12.75">
      <c r="A161" s="28" t="s">
        <v>308</v>
      </c>
      <c r="B161" s="34">
        <f>1.03</f>
        <v>1.03</v>
      </c>
      <c r="C161" s="34"/>
    </row>
    <row r="162" spans="1:3" s="28" customFormat="1" ht="12.75">
      <c r="A162" s="28" t="s">
        <v>309</v>
      </c>
      <c r="B162" s="34">
        <f>7.87</f>
        <v>7.87</v>
      </c>
      <c r="C162" s="34"/>
    </row>
    <row r="163" spans="1:2" s="28" customFormat="1" ht="12.75">
      <c r="A163" s="28" t="s">
        <v>310</v>
      </c>
      <c r="B163" s="28">
        <f>1.87</f>
        <v>1.87</v>
      </c>
    </row>
    <row r="164" ht="12.75"/>
    <row r="165" spans="1:5" ht="12.75">
      <c r="A165" s="27" t="s">
        <v>311</v>
      </c>
      <c r="C165" s="26" t="s">
        <v>312</v>
      </c>
      <c r="D165" s="26" t="s">
        <v>313</v>
      </c>
      <c r="E165" s="26" t="s">
        <v>314</v>
      </c>
    </row>
    <row r="166" spans="1:5" ht="12.75">
      <c r="A166" s="26" t="s">
        <v>315</v>
      </c>
      <c r="B166" s="26" t="s">
        <v>316</v>
      </c>
      <c r="C166" s="38">
        <f>1-C167-C168-C169</f>
        <v>0.98425</v>
      </c>
      <c r="D166" s="39">
        <v>11.35</v>
      </c>
      <c r="E166" s="40">
        <f>1-E167-E168-E169</f>
        <v>0.9715299385303843</v>
      </c>
    </row>
    <row r="167" spans="2:5" ht="12.75">
      <c r="B167" s="26" t="s">
        <v>317</v>
      </c>
      <c r="C167" s="38">
        <v>0.0006500000000000001</v>
      </c>
      <c r="D167" s="39">
        <v>1.55</v>
      </c>
      <c r="E167" s="40">
        <f>C167*D$166/D167</f>
        <v>0.0047596774193548385</v>
      </c>
    </row>
    <row r="168" spans="2:5" ht="12.75">
      <c r="B168" s="26" t="s">
        <v>318</v>
      </c>
      <c r="C168" s="38">
        <v>0.015</v>
      </c>
      <c r="D168" s="39">
        <v>7.31</v>
      </c>
      <c r="E168" s="40">
        <f>C168*D$166/D168</f>
        <v>0.02329001367989056</v>
      </c>
    </row>
    <row r="169" spans="2:5" ht="12.75">
      <c r="B169" s="26" t="s">
        <v>319</v>
      </c>
      <c r="C169" s="38">
        <v>0.0001</v>
      </c>
      <c r="D169" s="39">
        <v>2.7</v>
      </c>
      <c r="E169" s="40">
        <f>C169*D$166/D169</f>
        <v>0.0004203703703703703</v>
      </c>
    </row>
    <row r="171" spans="1:3" s="28" customFormat="1" ht="13.5" customHeight="1">
      <c r="A171" s="27" t="s">
        <v>320</v>
      </c>
      <c r="C171" s="28" t="s">
        <v>321</v>
      </c>
    </row>
    <row r="172" spans="1:3" s="28" customFormat="1" ht="42.75" customHeight="1">
      <c r="A172" s="41" t="s">
        <v>322</v>
      </c>
      <c r="B172" s="33">
        <f>DetectorParameters!B103/2+25</f>
        <v>131.86464807565378</v>
      </c>
      <c r="C172" s="41" t="s">
        <v>323</v>
      </c>
    </row>
    <row r="173" spans="1:3" s="28" customFormat="1" ht="43.5" customHeight="1">
      <c r="A173" s="28" t="s">
        <v>324</v>
      </c>
      <c r="B173" s="33">
        <f>25+(1/3)*DetectorParameters!B103*1.2</f>
        <v>110.49171846052302</v>
      </c>
      <c r="C173" s="41" t="s">
        <v>325</v>
      </c>
    </row>
    <row r="174" spans="1:2" s="28" customFormat="1" ht="12.75">
      <c r="A174" s="28" t="s">
        <v>326</v>
      </c>
      <c r="B174" s="31">
        <f>DetectorParameters!$B$53*$B$172</f>
        <v>2025440.994442042</v>
      </c>
    </row>
    <row r="175" spans="1:2" s="28" customFormat="1" ht="12.75">
      <c r="A175" s="28" t="s">
        <v>327</v>
      </c>
      <c r="B175" s="31">
        <f>DetectorParameters!$B60*$B$172</f>
        <v>405088.19888840837</v>
      </c>
    </row>
    <row r="176" spans="1:2" s="28" customFormat="1" ht="12.75">
      <c r="A176" s="28" t="s">
        <v>328</v>
      </c>
      <c r="B176" s="31">
        <f>DetectorParameters!$B61*$B$172</f>
        <v>202544.09944420418</v>
      </c>
    </row>
    <row r="177" spans="1:2" s="28" customFormat="1" ht="12.75">
      <c r="A177" s="28" t="s">
        <v>329</v>
      </c>
      <c r="B177" s="31">
        <f>DetectorParameters!$B62*$B$172</f>
        <v>337573.4990736737</v>
      </c>
    </row>
    <row r="178" spans="1:2" s="28" customFormat="1" ht="12.75">
      <c r="A178" s="28" t="s">
        <v>330</v>
      </c>
      <c r="B178" s="31">
        <f>DetectorParameters!$B63*$B$172</f>
        <v>337573.4990736737</v>
      </c>
    </row>
    <row r="179" spans="1:2" s="28" customFormat="1" ht="12.75">
      <c r="A179" s="28" t="s">
        <v>331</v>
      </c>
      <c r="B179" s="31">
        <f>DetectorParameters!$B150*$B$172</f>
        <v>0</v>
      </c>
    </row>
    <row r="180" spans="1:2" s="28" customFormat="1" ht="12.75">
      <c r="A180" s="28" t="s">
        <v>332</v>
      </c>
      <c r="B180" s="31">
        <f>(DetectorParameters!B94+B122)*B173</f>
        <v>652343.1057909279</v>
      </c>
    </row>
    <row r="181" spans="1:2" s="28" customFormat="1" ht="12.75">
      <c r="A181" s="28" t="s">
        <v>333</v>
      </c>
      <c r="B181" s="31">
        <f>SUM(B174:B180)</f>
        <v>3960563.3967129295</v>
      </c>
    </row>
  </sheetData>
  <printOptions/>
  <pageMargins left="0.7875" right="0.7875" top="0.7875" bottom="0.7875" header="0.5" footer="0.5"/>
  <pageSetup cellComments="atEnd" firstPageNumber="1" useFirstPageNumber="1" fitToHeight="2" fitToWidth="1" horizontalDpi="300" verticalDpi="300" orientation="portrait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6"/>
  <sheetViews>
    <sheetView workbookViewId="0" topLeftCell="A173">
      <selection activeCell="C198" sqref="C198"/>
    </sheetView>
  </sheetViews>
  <sheetFormatPr defaultColWidth="9.140625" defaultRowHeight="12.75"/>
  <cols>
    <col min="1" max="1" width="8.57421875" style="1" customWidth="1"/>
    <col min="2" max="2" width="30.28125" style="1" customWidth="1"/>
    <col min="3" max="3" width="13.00390625" style="1" customWidth="1"/>
    <col min="4" max="4" width="12.7109375" style="1" customWidth="1"/>
    <col min="5" max="5" width="14.00390625" style="1" customWidth="1"/>
    <col min="6" max="6" width="13.28125" style="1" customWidth="1"/>
    <col min="7" max="16384" width="11.421875" style="1" customWidth="1"/>
  </cols>
  <sheetData>
    <row r="1" ht="12.75">
      <c r="B1" s="42" t="s">
        <v>334</v>
      </c>
    </row>
    <row r="2" spans="2:5" ht="12.75">
      <c r="B2" s="43" t="s">
        <v>335</v>
      </c>
      <c r="E2" s="44"/>
    </row>
    <row r="3" ht="12.75">
      <c r="B3" s="45" t="s">
        <v>336</v>
      </c>
    </row>
    <row r="5" spans="2:7" ht="12.75">
      <c r="B5" s="27" t="s">
        <v>337</v>
      </c>
      <c r="C5" s="28"/>
      <c r="D5" s="28" t="s">
        <v>338</v>
      </c>
      <c r="E5" s="28" t="s">
        <v>339</v>
      </c>
      <c r="F5" s="1" t="s">
        <v>340</v>
      </c>
      <c r="G5" s="1" t="s">
        <v>341</v>
      </c>
    </row>
    <row r="6" spans="2:9" ht="12.75">
      <c r="B6" s="28" t="s">
        <v>342</v>
      </c>
      <c r="C6" s="28">
        <f>INT(DetectorParameters!$B$2*(1+D6)*(1+E6))</f>
        <v>33936</v>
      </c>
      <c r="D6" s="46">
        <f>IF('Budget Control and Summaries'!$C$4="yes",(9.5%-E6)/(1+E6),0)</f>
        <v>0.07352941176470588</v>
      </c>
      <c r="E6" s="77">
        <v>0.02</v>
      </c>
      <c r="F6" s="1" t="s">
        <v>343</v>
      </c>
      <c r="G6" s="48" t="s">
        <v>592</v>
      </c>
      <c r="H6" s="48"/>
      <c r="I6" s="48"/>
    </row>
    <row r="7" spans="2:7" ht="12.75">
      <c r="B7" s="28" t="s">
        <v>344</v>
      </c>
      <c r="C7" s="49">
        <f>(C6/DetectorParameters!B$2)*(1+E7)*(DetectorParameters!B$6+DetectorParameters!B$7)</f>
        <v>10159847.516596535</v>
      </c>
      <c r="E7" s="46">
        <f>(1+0.8%)*(1+0.8%)*(1+1%)*(1+5%)-1</f>
        <v>0.07753587200000012</v>
      </c>
      <c r="F7" s="1" t="s">
        <v>345</v>
      </c>
      <c r="G7" s="1" t="s">
        <v>588</v>
      </c>
    </row>
    <row r="8" spans="2:7" ht="12.75">
      <c r="B8" s="28" t="s">
        <v>346</v>
      </c>
      <c r="C8" s="28">
        <f>INT(DetectorParameters!B$10*8*(1+D8)*(1+E8))</f>
        <v>4603</v>
      </c>
      <c r="D8" s="46">
        <f>IF('Budget Control and Summaries'!$C$4="yes",10%,0)</f>
        <v>0.1</v>
      </c>
      <c r="E8" s="77">
        <v>0.04</v>
      </c>
      <c r="F8" s="1" t="s">
        <v>347</v>
      </c>
      <c r="G8" s="1" t="s">
        <v>348</v>
      </c>
    </row>
    <row r="9" spans="2:7" ht="12.75">
      <c r="B9" s="28" t="s">
        <v>349</v>
      </c>
      <c r="C9" s="49">
        <f>(C8/(DetectorParameters!$B$10*8))*(1+E9)*(DetectorParameters!$B$9*10^5)</f>
        <v>4890913.423410307</v>
      </c>
      <c r="E9" s="46">
        <f>(1+0.8%)*(1+2%)*(1+5%)-1</f>
        <v>0.07956800000000008</v>
      </c>
      <c r="F9" s="1" t="s">
        <v>350</v>
      </c>
      <c r="G9" s="1" t="s">
        <v>589</v>
      </c>
    </row>
    <row r="10" spans="2:7" ht="12.75">
      <c r="B10" s="28" t="s">
        <v>351</v>
      </c>
      <c r="C10" s="28">
        <f>INT(DetectorParameters!B$10*8/2*(1+D10)*(1+E10))</f>
        <v>2287</v>
      </c>
      <c r="D10" s="46">
        <f>IF('Budget Control and Summaries'!$C$4="yes",9.3%,0)</f>
        <v>0.09300000000000001</v>
      </c>
      <c r="E10" s="77">
        <v>0.04</v>
      </c>
      <c r="F10" s="1" t="s">
        <v>352</v>
      </c>
      <c r="G10" s="1" t="s">
        <v>353</v>
      </c>
    </row>
    <row r="11" spans="2:7" ht="12.75">
      <c r="B11" s="28" t="s">
        <v>354</v>
      </c>
      <c r="C11" s="50">
        <v>50</v>
      </c>
      <c r="D11" s="47"/>
      <c r="E11" s="47"/>
      <c r="G11" s="13" t="s">
        <v>355</v>
      </c>
    </row>
    <row r="12" spans="2:7" ht="12.75">
      <c r="B12" s="28" t="s">
        <v>356</v>
      </c>
      <c r="C12" s="49">
        <f>$C$10*$C$11*2*8*(1+E12)</f>
        <v>1936448.64</v>
      </c>
      <c r="E12" s="46">
        <f>(1+0.8%)*(1+5%)-1</f>
        <v>0.05840000000000001</v>
      </c>
      <c r="F12" s="1" t="s">
        <v>357</v>
      </c>
      <c r="G12" s="1" t="s">
        <v>358</v>
      </c>
    </row>
    <row r="13" spans="2:7" ht="12.75">
      <c r="B13" s="28" t="s">
        <v>359</v>
      </c>
      <c r="C13" s="28">
        <f>2*(C8+C10)</f>
        <v>13780</v>
      </c>
      <c r="D13" s="28"/>
      <c r="E13" s="28"/>
      <c r="G13" s="1" t="s">
        <v>360</v>
      </c>
    </row>
    <row r="14" spans="2:9" ht="12.75">
      <c r="B14" s="28" t="s">
        <v>361</v>
      </c>
      <c r="C14" s="28">
        <f>INT(DetectorParameters!$B$2/8*(1+D14)*(1+E14))</f>
        <v>4242</v>
      </c>
      <c r="D14" s="46">
        <f>IF('Budget Control and Summaries'!$C$4="yes",(9.5%-E14)/(1+E14),0)</f>
        <v>0.07352941176470588</v>
      </c>
      <c r="E14" s="77">
        <v>0.02</v>
      </c>
      <c r="F14" s="13" t="s">
        <v>362</v>
      </c>
      <c r="G14" s="48" t="s">
        <v>592</v>
      </c>
      <c r="H14" s="48"/>
      <c r="I14" s="48"/>
    </row>
    <row r="15" spans="2:7" ht="12.75">
      <c r="B15" s="28" t="s">
        <v>363</v>
      </c>
      <c r="C15" s="28">
        <f>C13+C14</f>
        <v>18022</v>
      </c>
      <c r="D15" s="28"/>
      <c r="E15" s="28"/>
      <c r="G15" s="1" t="s">
        <v>364</v>
      </c>
    </row>
    <row r="16" spans="2:4" ht="12.75">
      <c r="B16" s="28"/>
      <c r="C16" s="28"/>
      <c r="D16" s="28"/>
    </row>
    <row r="17" spans="2:4" ht="12.75">
      <c r="B17" s="28"/>
      <c r="C17" s="28"/>
      <c r="D17" s="28"/>
    </row>
    <row r="18" spans="2:4" ht="12.75">
      <c r="B18" s="27"/>
      <c r="C18" s="28"/>
      <c r="D18" s="28"/>
    </row>
    <row r="19" spans="2:4" ht="12.75">
      <c r="B19" s="27" t="s">
        <v>365</v>
      </c>
      <c r="C19" s="28"/>
      <c r="D19" s="28" t="s">
        <v>366</v>
      </c>
    </row>
    <row r="20" spans="2:4" ht="12.75">
      <c r="B20" s="28" t="s">
        <v>367</v>
      </c>
      <c r="C20" s="51">
        <f>(4.4+3.44/2)*IF('Budget Control and Summaries'!$C$3="yes",1+'Budget Control and Summaries'!$B$18,1)</f>
        <v>6.12</v>
      </c>
      <c r="D20" s="1" t="s">
        <v>368</v>
      </c>
    </row>
    <row r="21" spans="2:7" ht="12.75">
      <c r="B21" s="28" t="s">
        <v>369</v>
      </c>
      <c r="C21" s="51">
        <f>(2.51+0.77/2)*IF('Budget Control and Summaries'!$C$3="yes",1+'Budget Control and Summaries'!$B$18,1)</f>
        <v>2.8950000000000005</v>
      </c>
      <c r="D21" s="1" t="s">
        <v>370</v>
      </c>
      <c r="G21" s="28"/>
    </row>
    <row r="22" spans="2:12" ht="12.75">
      <c r="B22" s="28" t="s">
        <v>371</v>
      </c>
      <c r="C22" s="51">
        <f>3.25*IF('Budget Control and Summaries'!$C$3="yes",1+'Budget Control and Summaries'!$B$18,1)</f>
        <v>3.25</v>
      </c>
      <c r="D22" s="28" t="s">
        <v>372</v>
      </c>
      <c r="E22" s="13"/>
      <c r="F22" s="13"/>
      <c r="G22" s="13"/>
      <c r="H22" s="13"/>
      <c r="I22" s="13"/>
      <c r="J22" s="13"/>
      <c r="K22" s="52">
        <f>C22/2.51-1</f>
        <v>0.2948207171314743</v>
      </c>
      <c r="L22" s="1" t="s">
        <v>373</v>
      </c>
    </row>
    <row r="23" spans="2:12" ht="12.75">
      <c r="B23" s="28" t="s">
        <v>374</v>
      </c>
      <c r="C23" s="51">
        <f>2.06*IF('Budget Control and Summaries'!$C$3="yes",1+'Budget Control and Summaries'!$B$18,1)</f>
        <v>2.06</v>
      </c>
      <c r="D23" s="28" t="s">
        <v>375</v>
      </c>
      <c r="E23" s="13"/>
      <c r="F23" s="13"/>
      <c r="G23" s="13"/>
      <c r="H23" s="13"/>
      <c r="I23" s="13"/>
      <c r="J23" s="13"/>
      <c r="K23" s="52">
        <f>C23/1.84-1</f>
        <v>0.11956521739130443</v>
      </c>
      <c r="L23" s="1" t="s">
        <v>376</v>
      </c>
    </row>
    <row r="24" spans="2:11" ht="12.75">
      <c r="B24" s="28"/>
      <c r="C24" s="10"/>
      <c r="D24" s="28"/>
      <c r="E24" s="13"/>
      <c r="F24" s="13"/>
      <c r="G24" s="13"/>
      <c r="H24" s="13"/>
      <c r="I24" s="13"/>
      <c r="J24" s="13"/>
      <c r="K24" s="52"/>
    </row>
    <row r="25" spans="2:4" ht="12.75">
      <c r="B25" s="28" t="s">
        <v>377</v>
      </c>
      <c r="C25" s="51">
        <f>2.37*(1+IF('Budget Control and Summaries'!C3="yes",'Budget Control and Summaries'!$B$22,0))</f>
        <v>2.37</v>
      </c>
      <c r="D25" s="28" t="s">
        <v>378</v>
      </c>
    </row>
    <row r="26" spans="2:4" ht="12.75">
      <c r="B26" s="28"/>
      <c r="C26" s="10"/>
      <c r="D26" s="28"/>
    </row>
    <row r="27" spans="2:4" ht="12.75">
      <c r="B27" s="27" t="s">
        <v>379</v>
      </c>
      <c r="C27" s="10"/>
      <c r="D27" s="28" t="s">
        <v>380</v>
      </c>
    </row>
    <row r="28" spans="2:4" ht="12.75">
      <c r="B28" s="53" t="s">
        <v>381</v>
      </c>
      <c r="C28" s="54">
        <f>IF('Budget Control and Summaries'!$C$3="yes",1+'Budget Control and Summaries'!$B$21,1)*0.92</f>
        <v>0.92</v>
      </c>
      <c r="D28" s="28" t="s">
        <v>382</v>
      </c>
    </row>
    <row r="29" spans="2:4" ht="12.75">
      <c r="B29" s="53" t="s">
        <v>383</v>
      </c>
      <c r="C29" s="54">
        <f>IF('Budget Control and Summaries'!$C$3="yes",1+'Budget Control and Summaries'!$B$22,1)*0.3</f>
        <v>0.30000000000000004</v>
      </c>
      <c r="D29" s="28" t="s">
        <v>384</v>
      </c>
    </row>
    <row r="30" spans="2:4" ht="12.75">
      <c r="B30" s="28"/>
      <c r="C30" s="10"/>
      <c r="D30" s="28"/>
    </row>
    <row r="31" spans="1:7" ht="12.75">
      <c r="A31" s="55" t="s">
        <v>385</v>
      </c>
      <c r="B31" s="27" t="s">
        <v>386</v>
      </c>
      <c r="C31" s="28" t="s">
        <v>387</v>
      </c>
      <c r="D31" s="1" t="s">
        <v>388</v>
      </c>
      <c r="E31" s="1" t="s">
        <v>389</v>
      </c>
      <c r="G31" s="28" t="s">
        <v>390</v>
      </c>
    </row>
    <row r="32" spans="2:7" ht="12.75">
      <c r="B32" s="27"/>
      <c r="C32" s="28"/>
      <c r="G32" s="28"/>
    </row>
    <row r="33" spans="2:7" ht="12.75">
      <c r="B33" s="56" t="s">
        <v>391</v>
      </c>
      <c r="C33" s="10"/>
      <c r="G33" s="28" t="s">
        <v>392</v>
      </c>
    </row>
    <row r="34" spans="2:7" ht="12.75">
      <c r="B34" s="57" t="s">
        <v>393</v>
      </c>
      <c r="C34" s="10">
        <f>600*IF('Budget Control and Summaries'!$C$3="yes",'Budget Control and Summaries'!$B$21+1,1)</f>
        <v>600</v>
      </c>
      <c r="G34" s="28"/>
    </row>
    <row r="35" spans="2:7" ht="12.75">
      <c r="B35" s="57" t="s">
        <v>394</v>
      </c>
      <c r="C35" s="10">
        <f>1000*IF('Budget Control and Summaries'!$C$3="yes",'Budget Control and Summaries'!$B$21+1,1)</f>
        <v>1000</v>
      </c>
      <c r="G35" s="28" t="s">
        <v>395</v>
      </c>
    </row>
    <row r="36" spans="2:7" ht="12.75">
      <c r="B36" s="57" t="s">
        <v>396</v>
      </c>
      <c r="C36" s="10">
        <f>0*1500*IF('Budget Control and Summaries'!$C$3="yes",'Budget Control and Summaries'!$B$21+1,1)</f>
        <v>0</v>
      </c>
      <c r="G36" s="28" t="s">
        <v>397</v>
      </c>
    </row>
    <row r="37" spans="2:7" ht="12.75">
      <c r="B37" s="57" t="s">
        <v>398</v>
      </c>
      <c r="C37" s="10">
        <f>2500*IF('Budget Control and Summaries'!$C$3="yes",'Budget Control and Summaries'!$B$21+1,1)</f>
        <v>2500</v>
      </c>
      <c r="G37" s="28" t="s">
        <v>399</v>
      </c>
    </row>
    <row r="38" spans="2:7" ht="12.75">
      <c r="B38" s="57" t="s">
        <v>400</v>
      </c>
      <c r="C38" s="10">
        <f>1250*IF('Budget Control and Summaries'!$C$3="yes",'Budget Control and Summaries'!$B$21+1,1)</f>
        <v>1250</v>
      </c>
      <c r="G38" s="58" t="s">
        <v>401</v>
      </c>
    </row>
    <row r="39" spans="2:7" ht="12.75">
      <c r="B39" s="57" t="s">
        <v>402</v>
      </c>
      <c r="C39" s="10">
        <f>1000*IF('Budget Control and Summaries'!$C$3="yes",'Budget Control and Summaries'!$B$21+1,1)</f>
        <v>1000</v>
      </c>
      <c r="G39" s="58" t="s">
        <v>403</v>
      </c>
    </row>
    <row r="40" spans="2:15" ht="12.75">
      <c r="B40" s="28" t="s">
        <v>404</v>
      </c>
      <c r="C40" s="10">
        <f>3300*IF('Budget Control and Summaries'!$C$3="yes",'Budget Control and Summaries'!$B$21+1,1)</f>
        <v>3300</v>
      </c>
      <c r="G40" s="59" t="s">
        <v>405</v>
      </c>
      <c r="H40" s="48"/>
      <c r="I40" s="48"/>
      <c r="J40" s="48"/>
      <c r="K40" s="48"/>
      <c r="L40" s="48"/>
      <c r="M40" s="48"/>
      <c r="N40" s="48"/>
      <c r="O40" s="48"/>
    </row>
    <row r="41" spans="2:11" ht="12.75">
      <c r="B41" s="28" t="s">
        <v>406</v>
      </c>
      <c r="E41" s="10">
        <f>40*'Budget Control and Summaries'!$B$8*IF('Budget Control and Summaries'!$C$3="yes",'Budget Control and Summaries'!$B$20+1,1)</f>
        <v>1920</v>
      </c>
      <c r="G41" s="57" t="s">
        <v>407</v>
      </c>
      <c r="H41" s="48"/>
      <c r="I41" s="48"/>
      <c r="J41" s="48"/>
      <c r="K41" s="48"/>
    </row>
    <row r="42" spans="2:11" ht="12.75">
      <c r="B42" s="28"/>
      <c r="E42" s="10"/>
      <c r="G42" s="48"/>
      <c r="H42" s="57" t="s">
        <v>408</v>
      </c>
      <c r="I42" s="48"/>
      <c r="J42" s="48"/>
      <c r="K42" s="48"/>
    </row>
    <row r="43" spans="2:11" ht="12.75">
      <c r="B43" s="28" t="s">
        <v>409</v>
      </c>
      <c r="D43" s="10">
        <f>50*'Budget Control and Summaries'!$B$9*IF('Budget Control and Summaries'!$C$3="yes",'Budget Control and Summaries'!$B$20+1,1)</f>
        <v>3250</v>
      </c>
      <c r="G43" s="57" t="s">
        <v>410</v>
      </c>
      <c r="H43" s="48"/>
      <c r="I43" s="48"/>
      <c r="J43" s="48"/>
      <c r="K43" s="48"/>
    </row>
    <row r="44" spans="2:11" ht="12.75">
      <c r="B44" s="28" t="s">
        <v>411</v>
      </c>
      <c r="D44" s="10"/>
      <c r="E44" s="10">
        <f>60*'Budget Control and Summaries'!$B$14*IF('Budget Control and Summaries'!$C$3="yes",'Budget Control and Summaries'!$B$20+1,1)</f>
        <v>0</v>
      </c>
      <c r="G44" s="57" t="s">
        <v>412</v>
      </c>
      <c r="H44" s="48"/>
      <c r="I44" s="48"/>
      <c r="J44" s="48"/>
      <c r="K44" s="48"/>
    </row>
    <row r="45" spans="2:11" ht="12.75">
      <c r="B45" s="28" t="s">
        <v>413</v>
      </c>
      <c r="E45" s="10">
        <f>40*'Budget Control and Summaries'!$B$10*IF('Budget Control and Summaries'!$C$3="yes",'Budget Control and Summaries'!$B$20+1,1)</f>
        <v>1508.5714285714287</v>
      </c>
      <c r="G45" s="57" t="s">
        <v>414</v>
      </c>
      <c r="H45" s="48"/>
      <c r="I45" s="48"/>
      <c r="J45" s="48"/>
      <c r="K45" s="48"/>
    </row>
    <row r="46" spans="2:11" ht="12.75">
      <c r="B46" s="28" t="s">
        <v>415</v>
      </c>
      <c r="E46" s="10">
        <f>4*'Budget Control and Summaries'!$B$7*'Budget Control and Summaries'!$B$14*IF('Budget Control and Summaries'!$C$3="yes",'Budget Control and Summaries'!$B$21+1,1)</f>
        <v>0</v>
      </c>
      <c r="G46" s="57" t="s">
        <v>416</v>
      </c>
      <c r="H46" s="48"/>
      <c r="I46" s="48"/>
      <c r="J46" s="48"/>
      <c r="K46" s="48"/>
    </row>
    <row r="47" spans="2:7" ht="12.75">
      <c r="B47" s="28" t="s">
        <v>417</v>
      </c>
      <c r="C47" s="60">
        <f>SUM(C34:C46)</f>
        <v>9650</v>
      </c>
      <c r="D47" s="60">
        <f>SUM(D34:D46)</f>
        <v>3250</v>
      </c>
      <c r="E47" s="60">
        <f>SUM(E34:E46)</f>
        <v>3428.5714285714284</v>
      </c>
      <c r="G47" s="28"/>
    </row>
    <row r="48" spans="2:7" ht="12.75">
      <c r="B48" s="28"/>
      <c r="C48" s="10"/>
      <c r="D48" s="10"/>
      <c r="E48" s="10"/>
      <c r="G48" s="28"/>
    </row>
    <row r="49" spans="2:7" ht="12.75">
      <c r="B49" s="61" t="s">
        <v>418</v>
      </c>
      <c r="C49" s="10" t="s">
        <v>419</v>
      </c>
      <c r="D49" s="10" t="s">
        <v>624</v>
      </c>
      <c r="E49" s="10" t="s">
        <v>420</v>
      </c>
      <c r="F49" s="28"/>
      <c r="G49" s="9"/>
    </row>
    <row r="50" spans="2:7" ht="12.75">
      <c r="B50" s="7"/>
      <c r="C50" s="28">
        <f>D43/'Budget Control and Summaries'!$B$9</f>
        <v>50</v>
      </c>
      <c r="D50" s="28">
        <f>E41/'Budget Control and Summaries'!$B$8</f>
        <v>40</v>
      </c>
      <c r="E50" s="28">
        <f>E45/'Budget Control and Summaries'!$B$10</f>
        <v>40</v>
      </c>
      <c r="F50" s="28"/>
      <c r="G50" s="9"/>
    </row>
    <row r="51" spans="2:6" ht="12.75">
      <c r="B51" s="28"/>
      <c r="C51" s="10"/>
      <c r="D51" s="10"/>
      <c r="E51" s="10"/>
      <c r="F51" s="28"/>
    </row>
    <row r="52" spans="2:7" ht="12.75">
      <c r="B52" s="56" t="s">
        <v>421</v>
      </c>
      <c r="C52" s="10"/>
      <c r="G52" s="28" t="s">
        <v>422</v>
      </c>
    </row>
    <row r="53" spans="2:7" ht="12.75">
      <c r="B53" s="28" t="s">
        <v>423</v>
      </c>
      <c r="C53" s="10"/>
      <c r="D53" s="62">
        <f>3/5*'Budget Control and Summaries'!$B$7*'Budget Control and Summaries'!$B$9*IF('Budget Control and Summaries'!$C$3="yes",'Budget Control and Summaries'!$B$21+1,1)</f>
        <v>1312.4999999999998</v>
      </c>
      <c r="G53" s="28" t="s">
        <v>424</v>
      </c>
    </row>
    <row r="54" spans="2:7" ht="12.75">
      <c r="B54" s="28" t="s">
        <v>425</v>
      </c>
      <c r="C54" s="10"/>
      <c r="E54" s="62">
        <f>4/5*'Budget Control and Summaries'!$B$7*'Budget Control and Summaries'!$B$14*IF('Budget Control and Summaries'!$C$3="yes",'Budget Control and Summaries'!$B$21+1,1)</f>
        <v>0</v>
      </c>
      <c r="G54" s="28" t="s">
        <v>426</v>
      </c>
    </row>
    <row r="55" spans="2:7" ht="12.75">
      <c r="B55" s="28" t="s">
        <v>427</v>
      </c>
      <c r="C55" s="62">
        <f>260*IF('Budget Control and Summaries'!$C$3="yes",'Budget Control and Summaries'!$B$21+1,1)</f>
        <v>260</v>
      </c>
      <c r="G55" s="1" t="s">
        <v>428</v>
      </c>
    </row>
    <row r="56" spans="2:7" ht="12.75">
      <c r="B56" s="28" t="s">
        <v>429</v>
      </c>
      <c r="C56" s="62">
        <f>500*IF('Budget Control and Summaries'!$C$3="yes",'Budget Control and Summaries'!$B$21+1,1)</f>
        <v>500</v>
      </c>
      <c r="G56" s="1" t="s">
        <v>430</v>
      </c>
    </row>
    <row r="57" spans="2:7" ht="12.75">
      <c r="B57" s="28" t="s">
        <v>431</v>
      </c>
      <c r="E57" s="62">
        <f>35*'Budget Control and Summaries'!$B$8*IF('Budget Control and Summaries'!$C$3="yes",'Budget Control and Summaries'!$B$21+1,1)</f>
        <v>1680</v>
      </c>
      <c r="G57" s="1" t="s">
        <v>432</v>
      </c>
    </row>
    <row r="58" spans="2:7" ht="12.75">
      <c r="B58" s="28" t="s">
        <v>433</v>
      </c>
      <c r="E58" s="62">
        <f>'Budget Control and Summaries'!$B$7*'Budget Control and Summaries'!$B$10*IF('Budget Control and Summaries'!$C$3="yes",'Budget Control and Summaries'!$B$21+1,1)</f>
        <v>1269.2307692307693</v>
      </c>
      <c r="G58" s="1" t="s">
        <v>434</v>
      </c>
    </row>
    <row r="59" spans="2:5" ht="12.75">
      <c r="B59" s="28" t="s">
        <v>435</v>
      </c>
      <c r="E59" s="62">
        <f>4*'Budget Control and Summaries'!$B$7*'Budget Control and Summaries'!$B$14*IF('Budget Control and Summaries'!$C$3="yes",'Budget Control and Summaries'!$B$21+1,1)</f>
        <v>0</v>
      </c>
    </row>
    <row r="60" spans="2:5" ht="12.75">
      <c r="B60" s="28" t="s">
        <v>436</v>
      </c>
      <c r="C60" s="60">
        <f>SUM(C53:C59)</f>
        <v>760</v>
      </c>
      <c r="D60" s="60">
        <f>SUM(D53:D59)</f>
        <v>1312.4999999999998</v>
      </c>
      <c r="E60" s="60">
        <f>SUM(E53:E59)</f>
        <v>2949.2307692307695</v>
      </c>
    </row>
    <row r="61" spans="2:7" ht="12.75">
      <c r="B61" s="28"/>
      <c r="C61" s="10"/>
      <c r="D61" s="10"/>
      <c r="E61" s="10"/>
      <c r="G61" s="28"/>
    </row>
    <row r="62" spans="2:7" ht="12.75">
      <c r="B62" s="61" t="s">
        <v>437</v>
      </c>
      <c r="C62" s="10" t="s">
        <v>438</v>
      </c>
      <c r="D62" s="10" t="s">
        <v>624</v>
      </c>
      <c r="E62" s="10" t="s">
        <v>439</v>
      </c>
      <c r="F62" s="28"/>
      <c r="G62" s="9"/>
    </row>
    <row r="63" spans="2:7" ht="12.75">
      <c r="B63" s="7"/>
      <c r="C63" s="33">
        <f>D53/'Budget Control and Summaries'!$B$9</f>
        <v>20.19230769230769</v>
      </c>
      <c r="D63" s="33">
        <f>E57/'Budget Control and Summaries'!$B$8</f>
        <v>35</v>
      </c>
      <c r="E63" s="33">
        <f>E58/'Budget Control and Summaries'!$B$10</f>
        <v>33.65384615384615</v>
      </c>
      <c r="F63" s="28"/>
      <c r="G63" s="9"/>
    </row>
    <row r="64" spans="2:7" ht="12.75">
      <c r="B64" s="7"/>
      <c r="C64" s="10"/>
      <c r="D64" s="10"/>
      <c r="E64" s="10"/>
      <c r="F64" s="28"/>
      <c r="G64" s="9"/>
    </row>
    <row r="65" spans="2:7" ht="12.75">
      <c r="B65" s="7"/>
      <c r="C65" s="10"/>
      <c r="D65" s="10"/>
      <c r="E65" s="10"/>
      <c r="F65" s="28"/>
      <c r="G65" s="9"/>
    </row>
    <row r="66" spans="2:6" ht="12.75">
      <c r="B66" s="56" t="s">
        <v>440</v>
      </c>
      <c r="C66" s="10"/>
      <c r="F66" s="28"/>
    </row>
    <row r="67" spans="2:7" ht="12.75">
      <c r="B67" s="28" t="s">
        <v>441</v>
      </c>
      <c r="C67" s="62">
        <f>400*C20*IF('Budget Control and Summaries'!$C$3="yes",'Budget Control and Summaries'!$B$18+1,1)</f>
        <v>2448</v>
      </c>
      <c r="F67" s="28"/>
      <c r="G67" s="1" t="s">
        <v>442</v>
      </c>
    </row>
    <row r="68" spans="2:7" ht="12.75">
      <c r="B68" s="28" t="s">
        <v>443</v>
      </c>
      <c r="C68" s="10">
        <f>C$15*C21</f>
        <v>52173.69000000001</v>
      </c>
      <c r="G68" s="28" t="s">
        <v>444</v>
      </c>
    </row>
    <row r="69" spans="2:7" ht="12.75">
      <c r="B69" s="28" t="s">
        <v>445</v>
      </c>
      <c r="C69" s="10">
        <f>30000*IF('Budget Control and Summaries'!$C$3="yes",1+'Budget Control and Summaries'!$B$18,1)</f>
        <v>30000</v>
      </c>
      <c r="D69" s="28"/>
      <c r="G69" s="1" t="s">
        <v>446</v>
      </c>
    </row>
    <row r="70" spans="2:4" ht="12.75">
      <c r="B70" s="28" t="s">
        <v>447</v>
      </c>
      <c r="C70" s="60">
        <f>SUM(C67:C69)</f>
        <v>84621.69</v>
      </c>
      <c r="D70" s="28"/>
    </row>
    <row r="71" spans="2:4" ht="12.75">
      <c r="B71" s="28"/>
      <c r="C71" s="10"/>
      <c r="D71" s="28"/>
    </row>
    <row r="72" spans="2:6" ht="12.75">
      <c r="B72" s="56" t="s">
        <v>593</v>
      </c>
      <c r="C72" s="10"/>
      <c r="F72" s="28"/>
    </row>
    <row r="73" spans="2:7" ht="12.75">
      <c r="B73" s="7" t="s">
        <v>448</v>
      </c>
      <c r="C73" s="63">
        <f>IF('Budget Control and Summaries'!$C$3="yes",36,(42+48)/2)</f>
        <v>45</v>
      </c>
      <c r="G73" s="1" t="s">
        <v>449</v>
      </c>
    </row>
    <row r="74" spans="2:7" ht="12.75">
      <c r="B74" s="7" t="s">
        <v>450</v>
      </c>
      <c r="C74" s="63">
        <f>IF('Budget Control and Summaries'!$C$3="yes",5,7.5)</f>
        <v>7.5</v>
      </c>
      <c r="G74" s="1" t="s">
        <v>451</v>
      </c>
    </row>
    <row r="75" spans="2:7" ht="12.75">
      <c r="B75" s="7" t="s">
        <v>452</v>
      </c>
      <c r="C75" s="8">
        <f>INT(C$13/C$73/(C$74+1)+0.99)</f>
        <v>37</v>
      </c>
      <c r="G75" s="1" t="s">
        <v>453</v>
      </c>
    </row>
    <row r="76" spans="2:7" ht="12.75">
      <c r="B76" s="7" t="s">
        <v>454</v>
      </c>
      <c r="C76" s="64">
        <f>INT(C$13/C$73*C$74/(C$74+1)+0.99)</f>
        <v>271</v>
      </c>
      <c r="D76" s="28"/>
      <c r="G76" s="1" t="s">
        <v>455</v>
      </c>
    </row>
    <row r="77" spans="2:4" ht="12.75">
      <c r="B77" s="28"/>
      <c r="C77" s="10"/>
      <c r="D77" s="28"/>
    </row>
    <row r="78" spans="2:7" ht="12.75">
      <c r="B78" s="28" t="s">
        <v>456</v>
      </c>
      <c r="C78" s="65">
        <f>5000*IF('Budget Control and Summaries'!$C$3="yes",1+'Budget Control and Summaries'!$B$20,1)</f>
        <v>5000</v>
      </c>
      <c r="G78" s="57" t="s">
        <v>457</v>
      </c>
    </row>
    <row r="79" spans="2:7" ht="12.75">
      <c r="B79" s="28" t="s">
        <v>458</v>
      </c>
      <c r="C79" s="10">
        <f>C75*700*IF('Budget Control and Summaries'!$C$3="yes",1+'Budget Control and Summaries'!$B$17,1)</f>
        <v>25900</v>
      </c>
      <c r="D79" s="28"/>
      <c r="G79" s="1" t="s">
        <v>459</v>
      </c>
    </row>
    <row r="80" spans="2:7" ht="12.75">
      <c r="B80" s="28" t="s">
        <v>460</v>
      </c>
      <c r="C80" s="10">
        <f>C76*150*IF('Budget Control and Summaries'!$C$3="yes",1+'Budget Control and Summaries'!$B$17,1)</f>
        <v>40650</v>
      </c>
      <c r="D80" s="28"/>
      <c r="G80" s="1" t="s">
        <v>461</v>
      </c>
    </row>
    <row r="81" spans="2:7" ht="12.75">
      <c r="B81" s="28" t="s">
        <v>462</v>
      </c>
      <c r="C81" s="10">
        <f>(C75+C76)*10*IF('Budget Control and Summaries'!$C$3="yes",1+'Budget Control and Summaries'!$B$19,1)</f>
        <v>3080</v>
      </c>
      <c r="D81" s="28"/>
      <c r="G81" s="1" t="s">
        <v>463</v>
      </c>
    </row>
    <row r="82" spans="2:7" ht="12.75">
      <c r="B82" s="28" t="s">
        <v>464</v>
      </c>
      <c r="C82" s="10">
        <f>INT((C75+C76)/2+0.99)*5.25*IF('Budget Control and Summaries'!$C$3="yes",1+'Budget Control and Summaries'!$B$19,1)</f>
        <v>808.5</v>
      </c>
      <c r="D82" s="28"/>
      <c r="G82" s="1" t="s">
        <v>465</v>
      </c>
    </row>
    <row r="83" spans="2:7" ht="12.75">
      <c r="B83" s="28" t="s">
        <v>466</v>
      </c>
      <c r="C83" s="10">
        <f>INT((C75+C76)/20+0.99)*28*IF('Budget Control and Summaries'!$C$3="yes",1+'Budget Control and Summaries'!$B$19,1)</f>
        <v>448</v>
      </c>
      <c r="D83" s="28"/>
      <c r="G83" s="1" t="s">
        <v>467</v>
      </c>
    </row>
    <row r="84" spans="2:7" ht="12.75">
      <c r="B84" s="28" t="s">
        <v>468</v>
      </c>
      <c r="C84" s="10">
        <f>INT((C76+C77)/20+0.99)*28*IF('Budget Control and Summaries'!$C$3="yes",1+'Budget Control and Summaries'!$B$19,1)</f>
        <v>392</v>
      </c>
      <c r="D84" s="28"/>
      <c r="G84" s="1" t="s">
        <v>469</v>
      </c>
    </row>
    <row r="85" spans="2:4" ht="12.75">
      <c r="B85" s="28" t="s">
        <v>470</v>
      </c>
      <c r="C85" s="60">
        <f>SUM(C78:C84)</f>
        <v>76278.5</v>
      </c>
      <c r="D85" s="28"/>
    </row>
    <row r="87" ht="12.75">
      <c r="B87" s="56" t="s">
        <v>471</v>
      </c>
    </row>
    <row r="88" spans="2:7" ht="12.75">
      <c r="B88" s="28" t="s">
        <v>472</v>
      </c>
      <c r="C88" s="66">
        <f>(5000+550)*IF('Budget Control and Summaries'!$C$3="yes",1+'Budget Control and Summaries'!$B$21,1)</f>
        <v>5550</v>
      </c>
      <c r="G88" s="1" t="s">
        <v>473</v>
      </c>
    </row>
    <row r="89" spans="2:9" ht="12.75">
      <c r="B89" s="1" t="s">
        <v>474</v>
      </c>
      <c r="C89" s="66">
        <f>(700*2.55)*IF('Budget Control and Summaries'!$C$3="yes",1+'Budget Control and Summaries'!$B$17,1)</f>
        <v>1784.9999999999998</v>
      </c>
      <c r="G89" s="67" t="s">
        <v>475</v>
      </c>
      <c r="H89" s="13"/>
      <c r="I89" s="13"/>
    </row>
    <row r="90" spans="2:7" ht="12.75">
      <c r="B90" s="1" t="s">
        <v>476</v>
      </c>
      <c r="C90" s="66">
        <f>(700)*IF('Budget Control and Summaries'!$C$3="yes",1+'Budget Control and Summaries'!$B$17,1)+300*IF('Budget Control and Summaries'!$C$3="yes",1+'Budget Control and Summaries'!$B$21,1)</f>
        <v>1000</v>
      </c>
      <c r="G90" s="1" t="s">
        <v>477</v>
      </c>
    </row>
    <row r="91" spans="2:7" ht="12.75">
      <c r="B91" s="1" t="s">
        <v>478</v>
      </c>
      <c r="C91" s="66">
        <f>1500*IF('Budget Control and Summaries'!$C$3="yes",1+'Budget Control and Summaries'!$B$21,1)</f>
        <v>1500</v>
      </c>
      <c r="G91" s="1" t="s">
        <v>479</v>
      </c>
    </row>
    <row r="92" spans="2:4" ht="12.75">
      <c r="B92" s="28" t="s">
        <v>480</v>
      </c>
      <c r="C92" s="60">
        <f>SUM(C88:C91)</f>
        <v>9835</v>
      </c>
      <c r="D92" s="28"/>
    </row>
    <row r="94" spans="2:4" ht="12.75">
      <c r="B94" s="56" t="s">
        <v>481</v>
      </c>
      <c r="C94" s="10"/>
      <c r="D94" s="28"/>
    </row>
    <row r="95" spans="2:7" ht="12.75">
      <c r="B95" s="68" t="s">
        <v>482</v>
      </c>
      <c r="C95" s="69">
        <f>INT(($C$9/100)/3000+0.99)+1</f>
        <v>18</v>
      </c>
      <c r="D95" s="28"/>
      <c r="G95" s="1" t="s">
        <v>483</v>
      </c>
    </row>
    <row r="96" spans="2:4" ht="12.75">
      <c r="B96" s="56"/>
      <c r="C96" s="10"/>
      <c r="D96" s="28"/>
    </row>
    <row r="97" spans="2:9" ht="12.75">
      <c r="B97" s="28" t="s">
        <v>484</v>
      </c>
      <c r="C97" s="70">
        <f>14541*IF('Budget Control and Summaries'!$C$3="yes",1+'Budget Control and Summaries'!$B$21,1)</f>
        <v>14541</v>
      </c>
      <c r="D97" s="28"/>
      <c r="G97" s="48" t="s">
        <v>485</v>
      </c>
      <c r="H97" s="48"/>
      <c r="I97" s="48"/>
    </row>
    <row r="98" spans="2:4" ht="12.75">
      <c r="B98" s="28" t="s">
        <v>486</v>
      </c>
      <c r="C98" s="10">
        <f>($C$9+$C$12)*$C$23/100</f>
        <v>140643.6585062523</v>
      </c>
      <c r="D98" s="28"/>
    </row>
    <row r="99" spans="2:7" ht="12.75">
      <c r="B99" s="28" t="s">
        <v>487</v>
      </c>
      <c r="C99" s="65">
        <f>INT(C98*(1044/5378/1000)*1000)</f>
        <v>27302</v>
      </c>
      <c r="D99" s="28"/>
      <c r="G99" s="1" t="s">
        <v>488</v>
      </c>
    </row>
    <row r="100" spans="2:7" ht="12.75">
      <c r="B100" s="28" t="s">
        <v>489</v>
      </c>
      <c r="C100" s="10"/>
      <c r="D100" s="28"/>
      <c r="E100" s="71">
        <f>5*$C$95*'Budget Control and Summaries'!B10*IF('Budget Control and Summaries'!$C$3="yes",1+'Budget Control and Summaries'!$B$21,1)</f>
        <v>3394.285714285714</v>
      </c>
      <c r="G100" s="1" t="s">
        <v>490</v>
      </c>
    </row>
    <row r="101" spans="2:7" ht="12.75">
      <c r="B101" s="28" t="s">
        <v>491</v>
      </c>
      <c r="C101" s="10"/>
      <c r="D101" s="28"/>
      <c r="E101" s="71">
        <f>'Budget Control and Summaries'!B14*'Budget Control and Summaries'!B7*IF('Budget Control and Summaries'!$C$3="yes",1+'Budget Control and Summaries'!$B$21,1)</f>
        <v>0</v>
      </c>
      <c r="G101" s="1" t="s">
        <v>492</v>
      </c>
    </row>
    <row r="102" spans="2:5" ht="12.75">
      <c r="B102" s="28" t="s">
        <v>493</v>
      </c>
      <c r="C102" s="60">
        <f>SUM(C97:C101)</f>
        <v>182486.6585062523</v>
      </c>
      <c r="D102" s="60">
        <f>SUM(D97:D101)</f>
        <v>0</v>
      </c>
      <c r="E102" s="60">
        <f>SUM(E97:E101)</f>
        <v>3394.285714285714</v>
      </c>
    </row>
    <row r="103" spans="2:4" ht="12.75">
      <c r="B103" s="28"/>
      <c r="C103" s="10"/>
      <c r="D103" s="28"/>
    </row>
    <row r="104" spans="2:7" ht="12.75">
      <c r="B104" s="61" t="s">
        <v>494</v>
      </c>
      <c r="C104" s="10" t="s">
        <v>622</v>
      </c>
      <c r="D104" s="10" t="s">
        <v>625</v>
      </c>
      <c r="E104" s="10" t="s">
        <v>495</v>
      </c>
      <c r="F104" s="28"/>
      <c r="G104" s="9"/>
    </row>
    <row r="105" spans="2:7" ht="12.75">
      <c r="B105" s="7"/>
      <c r="C105" s="33">
        <f>(0)/'Budget Control and Summaries'!$B$9</f>
        <v>0</v>
      </c>
      <c r="D105" s="28">
        <f>0/'Budget Control and Summaries'!$B$8</f>
        <v>0</v>
      </c>
      <c r="E105" s="72">
        <f>(E100)/'Budget Control and Summaries'!$B$10</f>
        <v>90</v>
      </c>
      <c r="F105" s="28"/>
      <c r="G105" s="9"/>
    </row>
    <row r="106" spans="2:4" ht="12.75">
      <c r="B106" s="28"/>
      <c r="C106" s="10"/>
      <c r="D106" s="28"/>
    </row>
    <row r="107" spans="2:4" ht="12.75">
      <c r="B107" s="56" t="s">
        <v>496</v>
      </c>
      <c r="C107" s="10"/>
      <c r="D107" s="28"/>
    </row>
    <row r="108" spans="2:7" ht="12.75">
      <c r="B108" s="28" t="s">
        <v>497</v>
      </c>
      <c r="C108" s="51">
        <f>1500*IF('Budget Control and Summaries'!$C$3="yes",1+'Budget Control and Summaries'!$B$21,1)</f>
        <v>1500</v>
      </c>
      <c r="D108" s="28"/>
      <c r="G108" s="1" t="s">
        <v>498</v>
      </c>
    </row>
    <row r="109" spans="2:7" ht="12.75">
      <c r="B109" s="28" t="s">
        <v>499</v>
      </c>
      <c r="C109" s="51">
        <f>480*IF('Budget Control and Summaries'!$C$3="yes",1+'Budget Control and Summaries'!$B$17,1)</f>
        <v>480</v>
      </c>
      <c r="D109" s="28"/>
      <c r="G109" s="1" t="s">
        <v>500</v>
      </c>
    </row>
    <row r="110" spans="2:7" ht="12.75">
      <c r="B110" s="28" t="s">
        <v>501</v>
      </c>
      <c r="C110" s="51">
        <f>119*IF('Budget Control and Summaries'!$C$3="yes",1+'Budget Control and Summaries'!$B$17,1)</f>
        <v>119</v>
      </c>
      <c r="D110" s="28"/>
      <c r="G110" s="1" t="s">
        <v>502</v>
      </c>
    </row>
    <row r="111" spans="2:7" ht="14.25" customHeight="1">
      <c r="B111" s="28" t="s">
        <v>503</v>
      </c>
      <c r="C111" s="51">
        <f>200*IF('Budget Control and Summaries'!$C$3="yes",1+'Budget Control and Summaries'!$B$17,1)</f>
        <v>200</v>
      </c>
      <c r="D111" s="28"/>
      <c r="G111" s="73" t="s">
        <v>504</v>
      </c>
    </row>
    <row r="112" spans="2:7" ht="12.75">
      <c r="B112" s="28" t="s">
        <v>505</v>
      </c>
      <c r="C112" s="10">
        <f>(($C$8+$C$10)*2)/1000*125*IF('Budget Control and Summaries'!$C$3="yes",1+'Budget Control and Summaries'!$B$19,1)</f>
        <v>1722.5</v>
      </c>
      <c r="D112" s="28"/>
      <c r="G112" s="1" t="s">
        <v>506</v>
      </c>
    </row>
    <row r="113" spans="2:7" ht="12.75">
      <c r="B113" s="28" t="s">
        <v>507</v>
      </c>
      <c r="C113" s="51">
        <f>(35+(0.7+0.73)*INT(0.99+(2*($C$8+$C$10))))/20*IF('Budget Control and Summaries'!$C$3="yes",1+'Budget Control and Summaries'!$B$19,1)</f>
        <v>987.0200000000001</v>
      </c>
      <c r="D113" s="28"/>
      <c r="G113" s="1" t="s">
        <v>508</v>
      </c>
    </row>
    <row r="114" spans="2:7" ht="12.75">
      <c r="B114" s="28" t="s">
        <v>509</v>
      </c>
      <c r="C114" s="10">
        <f>0.3*(($C$8+$C$10)*2)*IF('Budget Control and Summaries'!$C$3="yes",1+'Budget Control and Summaries'!$B$19,1)</f>
        <v>4134.000000000001</v>
      </c>
      <c r="D114" s="28"/>
      <c r="G114" s="1" t="s">
        <v>510</v>
      </c>
    </row>
    <row r="115" spans="2:5" ht="12.75">
      <c r="B115" s="28" t="s">
        <v>511</v>
      </c>
      <c r="C115" s="60">
        <f>SUM(C108:C114)</f>
        <v>9142.52</v>
      </c>
      <c r="D115" s="10"/>
      <c r="E115" s="10"/>
    </row>
    <row r="116" spans="2:4" ht="12.75">
      <c r="B116" s="28"/>
      <c r="C116" s="10"/>
      <c r="D116" s="28"/>
    </row>
    <row r="117" spans="2:4" ht="12.75">
      <c r="B117" s="56" t="s">
        <v>512</v>
      </c>
      <c r="C117" s="10"/>
      <c r="D117" s="28"/>
    </row>
    <row r="118" spans="2:7" ht="12.75">
      <c r="B118" s="28" t="s">
        <v>513</v>
      </c>
      <c r="C118" s="62">
        <f>225/100*($C$8/50)*IF('Budget Control and Summaries'!$C$3="yes",1+'Budget Control and Summaries'!$B$21,1)</f>
        <v>207.135</v>
      </c>
      <c r="D118" s="28"/>
      <c r="G118" s="1" t="s">
        <v>514</v>
      </c>
    </row>
    <row r="119" spans="2:7" ht="12.75">
      <c r="B119" s="28" t="s">
        <v>515</v>
      </c>
      <c r="C119" s="62">
        <f>100/50*($C$10/50)*IF('Budget Control and Summaries'!$C$3="yes",1+'Budget Control and Summaries'!$B$21,1)</f>
        <v>91.48</v>
      </c>
      <c r="D119" s="28"/>
      <c r="G119" s="1" t="s">
        <v>516</v>
      </c>
    </row>
    <row r="120" spans="2:5" ht="12.75">
      <c r="B120" s="28" t="s">
        <v>517</v>
      </c>
      <c r="C120" s="60">
        <f>SUM(C118:C119)</f>
        <v>298.615</v>
      </c>
      <c r="D120" s="10"/>
      <c r="E120" s="10"/>
    </row>
    <row r="121" spans="2:4" ht="12.75">
      <c r="B121" s="28"/>
      <c r="C121" s="10"/>
      <c r="D121" s="28"/>
    </row>
    <row r="122" spans="2:4" ht="12.75">
      <c r="B122" s="56" t="s">
        <v>518</v>
      </c>
      <c r="C122" s="10"/>
      <c r="D122" s="28"/>
    </row>
    <row r="123" spans="2:10" ht="12.75">
      <c r="B123" s="28" t="s">
        <v>519</v>
      </c>
      <c r="C123" s="10"/>
      <c r="D123" s="28"/>
      <c r="E123" s="74">
        <f>0*'Budget Control and Summaries'!$B$10*IF('Budget Control and Summaries'!$C$3="yes",1+'Budget Control and Summaries'!$B$21,1)</f>
        <v>0</v>
      </c>
      <c r="G123" s="48" t="s">
        <v>520</v>
      </c>
      <c r="H123" s="48"/>
      <c r="I123" s="48"/>
      <c r="J123" s="48"/>
    </row>
    <row r="124" spans="2:7" ht="12.75">
      <c r="B124" s="28" t="s">
        <v>521</v>
      </c>
      <c r="C124" s="10"/>
      <c r="D124" s="28"/>
      <c r="E124" s="74">
        <f>$C$28*($C$8+$C$10)*'Budget Control and Summaries'!$B$10</f>
        <v>239063.3142857143</v>
      </c>
      <c r="G124" s="1" t="s">
        <v>522</v>
      </c>
    </row>
    <row r="125" spans="2:7" ht="12.75">
      <c r="B125" s="28" t="s">
        <v>523</v>
      </c>
      <c r="C125" s="10"/>
      <c r="D125" s="28"/>
      <c r="E125" s="74">
        <f>($C$29)*$C$8*'Budget Control and Summaries'!$B$10</f>
        <v>52079.65714285715</v>
      </c>
      <c r="G125" s="1" t="s">
        <v>524</v>
      </c>
    </row>
    <row r="126" spans="2:5" ht="12.75">
      <c r="B126" s="28" t="s">
        <v>525</v>
      </c>
      <c r="C126" s="60">
        <f>SUM(C121:C125)</f>
        <v>0</v>
      </c>
      <c r="D126" s="60">
        <f>SUM(D121:D125)</f>
        <v>0</v>
      </c>
      <c r="E126" s="60">
        <f>SUM(E123:E125)</f>
        <v>291142.97142857144</v>
      </c>
    </row>
    <row r="127" spans="2:5" ht="12.75">
      <c r="B127" s="28"/>
      <c r="C127" s="10"/>
      <c r="D127" s="28"/>
      <c r="E127" s="75"/>
    </row>
    <row r="128" spans="2:7" ht="12.75">
      <c r="B128" s="61" t="s">
        <v>526</v>
      </c>
      <c r="C128" s="10" t="s">
        <v>622</v>
      </c>
      <c r="D128" s="10" t="s">
        <v>625</v>
      </c>
      <c r="E128" s="10" t="s">
        <v>527</v>
      </c>
      <c r="F128" s="28"/>
      <c r="G128" s="9"/>
    </row>
    <row r="129" spans="2:7" ht="12.75">
      <c r="B129" s="7" t="s">
        <v>528</v>
      </c>
      <c r="C129" s="33">
        <f>(D121)/'Budget Control and Summaries'!$B$9</f>
        <v>0</v>
      </c>
      <c r="D129" s="28">
        <f>0/'Budget Control and Summaries'!$B$8</f>
        <v>0</v>
      </c>
      <c r="E129" s="72">
        <f>(E123)/'Budget Control and Summaries'!$B$10</f>
        <v>0</v>
      </c>
      <c r="F129" s="28"/>
      <c r="G129" s="9"/>
    </row>
    <row r="130" spans="2:7" ht="12.75">
      <c r="B130" s="7" t="s">
        <v>529</v>
      </c>
      <c r="C130" s="28"/>
      <c r="D130" s="28"/>
      <c r="E130" s="72">
        <f>(E124+E125)/'Budget Control and Summaries'!$B$10</f>
        <v>7719.7</v>
      </c>
      <c r="F130" s="28"/>
      <c r="G130" s="9"/>
    </row>
    <row r="131" spans="2:4" ht="12.75">
      <c r="B131" s="28"/>
      <c r="C131" s="10"/>
      <c r="D131" s="28"/>
    </row>
    <row r="132" spans="2:9" ht="12.75">
      <c r="B132" s="56" t="s">
        <v>530</v>
      </c>
      <c r="C132" s="10"/>
      <c r="D132" s="28"/>
      <c r="G132" s="48" t="s">
        <v>531</v>
      </c>
      <c r="H132" s="48"/>
      <c r="I132" s="48"/>
    </row>
    <row r="133" spans="2:9" ht="12.75">
      <c r="B133" s="7" t="s">
        <v>532</v>
      </c>
      <c r="C133" s="28">
        <v>36</v>
      </c>
      <c r="D133" s="28"/>
      <c r="G133" s="13"/>
      <c r="H133" s="13"/>
      <c r="I133" s="13"/>
    </row>
    <row r="134" spans="2:9" ht="12.75">
      <c r="B134" s="7" t="s">
        <v>533</v>
      </c>
      <c r="C134" s="28">
        <v>2</v>
      </c>
      <c r="D134" s="28"/>
      <c r="G134" s="13"/>
      <c r="H134" s="13"/>
      <c r="I134" s="13"/>
    </row>
    <row r="135" spans="2:9" ht="12.75">
      <c r="B135" s="7" t="s">
        <v>534</v>
      </c>
      <c r="C135" s="28">
        <f>C73/C133+2</f>
        <v>3.25</v>
      </c>
      <c r="D135" s="28"/>
      <c r="G135" s="13"/>
      <c r="H135" s="13"/>
      <c r="I135" s="13"/>
    </row>
    <row r="136" spans="2:9" ht="12.75">
      <c r="B136" s="7" t="s">
        <v>535</v>
      </c>
      <c r="C136" s="28">
        <f>INT(7.5/C135)</f>
        <v>2</v>
      </c>
      <c r="D136" s="28"/>
      <c r="G136" s="13"/>
      <c r="H136" s="13"/>
      <c r="I136" s="13"/>
    </row>
    <row r="137" spans="2:9" ht="12.75">
      <c r="B137" s="7" t="s">
        <v>536</v>
      </c>
      <c r="C137" s="76">
        <f>(($C$8+$C$10)*2)/(C136*C73)</f>
        <v>153.11111111111111</v>
      </c>
      <c r="D137" s="28"/>
      <c r="G137" s="13"/>
      <c r="H137" s="13"/>
      <c r="I137" s="13"/>
    </row>
    <row r="138" spans="2:9" ht="12.75">
      <c r="B138" s="7"/>
      <c r="C138" s="10"/>
      <c r="D138" s="28"/>
      <c r="G138" s="13"/>
      <c r="H138" s="13"/>
      <c r="I138" s="13"/>
    </row>
    <row r="139" spans="2:7" ht="12.75">
      <c r="B139" s="28" t="s">
        <v>537</v>
      </c>
      <c r="C139" s="10"/>
      <c r="D139" s="28"/>
      <c r="E139" s="74">
        <f>(($C$8+$C$10)*2)/$C$133*'Budget Control and Summaries'!$B$11*IF('Budget Control and Summaries'!$C$3="yes",1+'Budget Control and Summaries'!$B$19,1)</f>
        <v>9952.222222222223</v>
      </c>
      <c r="G139" s="1" t="s">
        <v>538</v>
      </c>
    </row>
    <row r="140" spans="2:7" ht="12.75">
      <c r="B140" s="28" t="s">
        <v>539</v>
      </c>
      <c r="C140" s="10"/>
      <c r="D140" s="28"/>
      <c r="E140" s="74">
        <f>($C$75+$C$76)*$C$134*'Budget Control and Summaries'!$B$12*IF('Budget Control and Summaries'!$C$3="yes",1+'Budget Control and Summaries'!$B$19,1)</f>
        <v>32032</v>
      </c>
      <c r="G140" s="1" t="s">
        <v>540</v>
      </c>
    </row>
    <row r="141" spans="2:7" ht="12.75">
      <c r="B141" s="28" t="s">
        <v>541</v>
      </c>
      <c r="C141" s="10"/>
      <c r="D141" s="28"/>
      <c r="E141" s="74">
        <f>1*$C$137*'Budget Control and Summaries'!$B$11*IF('Budget Control and Summaries'!$C$3="yes",1+'Budget Control and Summaries'!$B$19,1)</f>
        <v>3980.888888888889</v>
      </c>
      <c r="G141" s="1" t="s">
        <v>542</v>
      </c>
    </row>
    <row r="142" spans="2:7" ht="12.75">
      <c r="B142" s="28" t="s">
        <v>543</v>
      </c>
      <c r="C142" s="10"/>
      <c r="D142" s="28"/>
      <c r="E142" s="74">
        <f>1.5*$C$137*'Budget Control and Summaries'!$B$12*IF('Budget Control and Summaries'!$C$3="yes",1+'Budget Control and Summaries'!$B$19,1)</f>
        <v>11942.666666666668</v>
      </c>
      <c r="G142" s="1" t="s">
        <v>544</v>
      </c>
    </row>
    <row r="143" spans="2:5" ht="12.75">
      <c r="B143" s="28" t="s">
        <v>545</v>
      </c>
      <c r="C143" s="60">
        <f>SUM(C139:C142)</f>
        <v>0</v>
      </c>
      <c r="D143" s="60">
        <f>SUM(D139:D142)</f>
        <v>0</v>
      </c>
      <c r="E143" s="60">
        <f>SUM(E139:E142)</f>
        <v>57907.77777777778</v>
      </c>
    </row>
    <row r="144" spans="2:5" ht="12.75">
      <c r="B144" s="28"/>
      <c r="C144" s="10"/>
      <c r="D144" s="28"/>
      <c r="E144" s="75"/>
    </row>
    <row r="145" spans="2:7" ht="12.75">
      <c r="B145" s="61" t="s">
        <v>546</v>
      </c>
      <c r="C145" s="10" t="s">
        <v>547</v>
      </c>
      <c r="D145" s="10" t="s">
        <v>548</v>
      </c>
      <c r="E145" s="10"/>
      <c r="F145" s="28"/>
      <c r="G145" s="9"/>
    </row>
    <row r="146" spans="2:7" ht="12.75">
      <c r="B146" s="7"/>
      <c r="C146" s="33">
        <f>($E$139+$E$141)/'Budget Control and Summaries'!$B$11</f>
        <v>535.8888888888889</v>
      </c>
      <c r="D146" s="33">
        <f>($E$140+$E$142)/'Budget Control and Summaries'!$B$12</f>
        <v>845.6666666666667</v>
      </c>
      <c r="E146" s="72"/>
      <c r="F146" s="28"/>
      <c r="G146" s="9"/>
    </row>
    <row r="147" spans="2:4" ht="12.75">
      <c r="B147" s="28"/>
      <c r="C147" s="10"/>
      <c r="D147" s="28"/>
    </row>
    <row r="148" spans="2:4" ht="12.75">
      <c r="B148" s="56" t="s">
        <v>549</v>
      </c>
      <c r="C148" s="10"/>
      <c r="D148" s="28"/>
    </row>
    <row r="149" spans="2:4" ht="12.75">
      <c r="B149" s="7" t="s">
        <v>550</v>
      </c>
      <c r="C149" s="28">
        <v>20</v>
      </c>
      <c r="D149" s="28"/>
    </row>
    <row r="150" spans="2:4" ht="12.75">
      <c r="B150" s="7" t="s">
        <v>551</v>
      </c>
      <c r="C150" s="28">
        <f>INT(0.99+$C$8*2/C149)</f>
        <v>461</v>
      </c>
      <c r="D150" s="28"/>
    </row>
    <row r="151" spans="2:4" ht="12.75">
      <c r="B151" s="56"/>
      <c r="C151" s="10"/>
      <c r="D151" s="28"/>
    </row>
    <row r="152" spans="2:7" ht="12.75">
      <c r="B152" s="28" t="s">
        <v>552</v>
      </c>
      <c r="C152" s="51">
        <f>2*(432+115)*IF('Budget Control and Summaries'!$C$3="yes",1+'Budget Control and Summaries'!$B$21,1)</f>
        <v>1094</v>
      </c>
      <c r="D152" s="51">
        <f>2*32*'Budget Control and Summaries'!$B$9*IF('Budget Control and Summaries'!$C$3="yes",1+'Budget Control and Summaries'!$B$21,1)</f>
        <v>4160</v>
      </c>
      <c r="E152" s="51">
        <f>2*60*'Budget Control and Summaries'!$B$8*IF('Budget Control and Summaries'!$C$3="yes",1+'Budget Control and Summaries'!$B$21,1)</f>
        <v>5760</v>
      </c>
      <c r="G152" s="1" t="s">
        <v>553</v>
      </c>
    </row>
    <row r="153" spans="2:7" ht="12.75">
      <c r="B153" s="28" t="s">
        <v>554</v>
      </c>
      <c r="C153" s="51">
        <f>$C$149*(432)*0.8*IF('Budget Control and Summaries'!$C$3="yes",1+'Budget Control and Summaries'!$B$20,1)</f>
        <v>6912</v>
      </c>
      <c r="E153" s="51">
        <f>$C$149*60*0.8*'Budget Control and Summaries'!$B$8*IF('Budget Control and Summaries'!$C$3="yes",1+'Budget Control and Summaries'!$B$20,1)</f>
        <v>46080</v>
      </c>
      <c r="G153" s="1" t="s">
        <v>555</v>
      </c>
    </row>
    <row r="154" spans="2:7" ht="12.75">
      <c r="B154" s="28" t="s">
        <v>556</v>
      </c>
      <c r="C154" s="10">
        <f>260*($C$8*2)/400*IF('Budget Control and Summaries'!$C$3="yes",1+'Budget Control and Summaries'!$B$19,1)</f>
        <v>5983.9</v>
      </c>
      <c r="D154" s="28"/>
      <c r="G154" s="1" t="s">
        <v>557</v>
      </c>
    </row>
    <row r="155" spans="2:7" ht="12.75">
      <c r="B155" s="28" t="s">
        <v>558</v>
      </c>
      <c r="C155" s="10">
        <f>$C$9/8/2.54/12*0.3*IF('Budget Control and Summaries'!$C$3="yes",1+'Budget Control and Summaries'!$B$19,1)</f>
        <v>6017.363955967406</v>
      </c>
      <c r="D155" s="28"/>
      <c r="G155" s="1" t="s">
        <v>559</v>
      </c>
    </row>
    <row r="156" spans="2:7" ht="12.75">
      <c r="B156" s="28" t="s">
        <v>560</v>
      </c>
      <c r="C156" s="62">
        <f>(795+20.36)*IF('Budget Control and Summaries'!$C$3="yes",1+'Budget Control and Summaries'!$B$17,1)</f>
        <v>815.36</v>
      </c>
      <c r="D156" s="28"/>
      <c r="G156" s="1" t="s">
        <v>561</v>
      </c>
    </row>
    <row r="157" spans="2:7" ht="12.75">
      <c r="B157" s="28" t="s">
        <v>562</v>
      </c>
      <c r="C157" s="62">
        <f>INT($C$150/15+0.99)*24.49</f>
        <v>759.1899999999999</v>
      </c>
      <c r="D157" s="28"/>
      <c r="G157" s="1" t="s">
        <v>563</v>
      </c>
    </row>
    <row r="158" spans="2:7" ht="12.75">
      <c r="B158" s="28" t="s">
        <v>564</v>
      </c>
      <c r="C158" s="62">
        <f>INT($C$150/50+0.99)*15.28*IF('Budget Control and Summaries'!$C$3="yes",1+'Budget Control and Summaries'!$B$17,1)</f>
        <v>152.79999999999998</v>
      </c>
      <c r="D158" s="28"/>
      <c r="G158" s="1" t="s">
        <v>565</v>
      </c>
    </row>
    <row r="159" spans="2:5" ht="12.75">
      <c r="B159" s="28" t="s">
        <v>566</v>
      </c>
      <c r="C159" s="60">
        <f>SUM(C152:C158)</f>
        <v>21734.613955967405</v>
      </c>
      <c r="D159" s="60">
        <f>SUM(D152:D158)</f>
        <v>4160</v>
      </c>
      <c r="E159" s="60">
        <f>SUM(E152:E158)</f>
        <v>51840</v>
      </c>
    </row>
    <row r="160" spans="2:4" ht="12.75">
      <c r="B160" s="28"/>
      <c r="C160" s="10"/>
      <c r="D160" s="28"/>
    </row>
    <row r="161" spans="2:7" ht="12.75">
      <c r="B161" s="61" t="s">
        <v>567</v>
      </c>
      <c r="C161" s="10" t="s">
        <v>622</v>
      </c>
      <c r="D161" s="10" t="s">
        <v>625</v>
      </c>
      <c r="E161" s="10" t="s">
        <v>568</v>
      </c>
      <c r="F161" s="28"/>
      <c r="G161" s="9"/>
    </row>
    <row r="162" spans="2:7" ht="12.75">
      <c r="B162" s="7" t="s">
        <v>569</v>
      </c>
      <c r="C162" s="33">
        <f>(D152)/'Budget Control and Summaries'!$B$9</f>
        <v>64</v>
      </c>
      <c r="D162" s="33">
        <f>(E152)/'Budget Control and Summaries'!$B$8</f>
        <v>120</v>
      </c>
      <c r="F162" s="28"/>
      <c r="G162" s="9"/>
    </row>
    <row r="163" spans="2:7" ht="12.75">
      <c r="B163" s="7" t="s">
        <v>570</v>
      </c>
      <c r="C163" s="28"/>
      <c r="D163" s="33">
        <f>(E153)/'Budget Control and Summaries'!$B$8</f>
        <v>960</v>
      </c>
      <c r="E163" s="72"/>
      <c r="F163" s="28"/>
      <c r="G163" s="9"/>
    </row>
    <row r="164" spans="2:4" ht="12.75">
      <c r="B164" s="28"/>
      <c r="C164" s="10"/>
      <c r="D164" s="28"/>
    </row>
    <row r="165" spans="2:4" ht="12.75">
      <c r="B165" s="28"/>
      <c r="C165" s="10"/>
      <c r="D165" s="28"/>
    </row>
    <row r="166" spans="2:4" ht="12.75">
      <c r="B166" s="56" t="s">
        <v>571</v>
      </c>
      <c r="C166" s="10"/>
      <c r="D166" s="28"/>
    </row>
    <row r="167" spans="2:7" ht="12.75">
      <c r="B167" s="68" t="s">
        <v>572</v>
      </c>
      <c r="C167" s="69">
        <f>INT(($C$7/100)/3000+0.99)+1</f>
        <v>35</v>
      </c>
      <c r="D167" s="28"/>
      <c r="G167" s="1" t="s">
        <v>573</v>
      </c>
    </row>
    <row r="168" spans="2:4" ht="12.75">
      <c r="B168" s="56"/>
      <c r="C168" s="10"/>
      <c r="D168" s="28"/>
    </row>
    <row r="169" spans="2:11" ht="12.75">
      <c r="B169" s="28" t="s">
        <v>574</v>
      </c>
      <c r="C169" s="70">
        <f>(23295+38000)*IF('Budget Control and Summaries'!$C$3="yes",1+'Budget Control and Summaries'!$B$21,1)</f>
        <v>61295</v>
      </c>
      <c r="D169" s="28"/>
      <c r="G169" s="48" t="s">
        <v>575</v>
      </c>
      <c r="H169" s="48"/>
      <c r="I169" s="48"/>
      <c r="J169" s="48"/>
      <c r="K169" s="48"/>
    </row>
    <row r="170" spans="2:4" ht="12.75">
      <c r="B170" s="28" t="s">
        <v>576</v>
      </c>
      <c r="C170" s="10">
        <f>C$22*C$7/100</f>
        <v>330195.0442893874</v>
      </c>
      <c r="D170" s="28"/>
    </row>
    <row r="171" spans="2:7" ht="12.75">
      <c r="B171" s="28" t="s">
        <v>577</v>
      </c>
      <c r="C171" s="65">
        <f>INT(C170*(1044/5378/1000)*1000)</f>
        <v>64098</v>
      </c>
      <c r="D171" s="28"/>
      <c r="G171" s="1" t="s">
        <v>578</v>
      </c>
    </row>
    <row r="172" spans="2:10" ht="12.75">
      <c r="B172" s="28" t="s">
        <v>579</v>
      </c>
      <c r="C172" s="10"/>
      <c r="D172" s="28"/>
      <c r="E172" s="71">
        <f>5*$C$167*'Budget Control and Summaries'!$B$10*IF('Budget Control and Summaries'!$C$3="yes",1+'Budget Control and Summaries'!$B$21,1)</f>
        <v>6600</v>
      </c>
      <c r="G172" s="48" t="s">
        <v>580</v>
      </c>
      <c r="H172" s="48"/>
      <c r="I172" s="48"/>
      <c r="J172" s="48"/>
    </row>
    <row r="173" spans="2:9" ht="12.75">
      <c r="B173" s="28" t="s">
        <v>581</v>
      </c>
      <c r="C173" s="10"/>
      <c r="D173" s="28"/>
      <c r="E173" s="71">
        <f>'Budget Control and Summaries'!$B$7*'Budget Control and Summaries'!$B$14</f>
        <v>0</v>
      </c>
      <c r="G173" s="48" t="s">
        <v>582</v>
      </c>
      <c r="H173" s="48"/>
      <c r="I173" s="48"/>
    </row>
    <row r="174" spans="2:7" ht="12.75">
      <c r="B174" s="28" t="s">
        <v>583</v>
      </c>
      <c r="C174" s="10">
        <f>10000*IF('Budget Control and Summaries'!$C$3="yes",1+'Budget Control and Summaries'!$B$21,1)</f>
        <v>10000</v>
      </c>
      <c r="D174" s="28"/>
      <c r="E174" s="10">
        <f>100*'Budget Control and Summaries'!$B$10*IF('Budget Control and Summaries'!$C$3="yes",1+'Budget Control and Summaries'!$B$21,1)</f>
        <v>3771.4285714285716</v>
      </c>
      <c r="G174" s="1" t="s">
        <v>584</v>
      </c>
    </row>
    <row r="175" spans="2:5" ht="12.75">
      <c r="B175" s="28" t="s">
        <v>585</v>
      </c>
      <c r="C175" s="60">
        <f>SUM(C169:C174)</f>
        <v>465588.0442893874</v>
      </c>
      <c r="D175" s="60">
        <f>SUM(D169:D174)</f>
        <v>0</v>
      </c>
      <c r="E175" s="60">
        <f>SUM(E169:E174)</f>
        <v>10371.428571428572</v>
      </c>
    </row>
    <row r="177" spans="2:6" ht="12.75">
      <c r="B177" s="61" t="s">
        <v>586</v>
      </c>
      <c r="C177" s="10" t="s">
        <v>622</v>
      </c>
      <c r="D177" s="10" t="s">
        <v>625</v>
      </c>
      <c r="E177" s="10" t="s">
        <v>587</v>
      </c>
      <c r="F177" s="9"/>
    </row>
    <row r="178" spans="2:6" ht="12.75">
      <c r="B178" s="7"/>
      <c r="C178" s="28">
        <f>0/'Budget Control and Summaries'!$B$9</f>
        <v>0</v>
      </c>
      <c r="D178" s="28">
        <f>0/'Budget Control and Summaries'!$B$8</f>
        <v>0</v>
      </c>
      <c r="E178" s="28">
        <f>(E172+E174)/'Budget Control and Summaries'!$B$10</f>
        <v>275</v>
      </c>
      <c r="F178" s="9"/>
    </row>
    <row r="181" spans="2:7" ht="12.75">
      <c r="B181" s="56" t="s">
        <v>602</v>
      </c>
      <c r="G181" s="1" t="s">
        <v>618</v>
      </c>
    </row>
    <row r="182" spans="2:3" ht="12.75">
      <c r="B182" s="68" t="s">
        <v>601</v>
      </c>
      <c r="C182" s="81">
        <v>200</v>
      </c>
    </row>
    <row r="183" spans="2:3" ht="12.75">
      <c r="B183" s="68" t="s">
        <v>609</v>
      </c>
      <c r="C183" s="81">
        <v>720</v>
      </c>
    </row>
    <row r="184" spans="2:3" ht="12.75">
      <c r="B184" s="68" t="s">
        <v>610</v>
      </c>
      <c r="C184" s="81">
        <v>6</v>
      </c>
    </row>
    <row r="185" spans="2:3" ht="12.75">
      <c r="B185" s="68" t="s">
        <v>611</v>
      </c>
      <c r="C185" s="81">
        <f>INT(C6/C183+0.99)*C184</f>
        <v>288</v>
      </c>
    </row>
    <row r="186" spans="2:7" ht="12.75">
      <c r="B186" s="68" t="s">
        <v>612</v>
      </c>
      <c r="C186" s="81">
        <f>C185+C6</f>
        <v>34224</v>
      </c>
      <c r="G186" s="48" t="s">
        <v>531</v>
      </c>
    </row>
    <row r="187" spans="2:3" ht="12.75">
      <c r="B187" s="68"/>
      <c r="C187" s="81"/>
    </row>
    <row r="188" spans="2:7" ht="12.75">
      <c r="B188" s="1" t="s">
        <v>596</v>
      </c>
      <c r="E188" s="82">
        <f>5.75/200*$C$182*'Budget Control and Summaries'!$B$12*IF('Budget Control and Summaries'!$C$3="yes",1+'Budget Control and Summaries'!$B$22,1)</f>
        <v>299</v>
      </c>
      <c r="G188" s="1" t="s">
        <v>607</v>
      </c>
    </row>
    <row r="189" spans="2:7" ht="12.75">
      <c r="B189" s="1" t="s">
        <v>597</v>
      </c>
      <c r="E189" s="82">
        <f>25.38/200*$C$182*'Budget Control and Summaries'!$B$11*IF('Budget Control and Summaries'!$C$3="yes",1+'Budget Control and Summaries'!$B$22,1)</f>
        <v>659.8799999999999</v>
      </c>
      <c r="G189" s="1" t="s">
        <v>607</v>
      </c>
    </row>
    <row r="190" spans="2:7" ht="12.75">
      <c r="B190" s="1" t="s">
        <v>598</v>
      </c>
      <c r="E190" s="82">
        <f>7.29/200*$C$182*'Budget Control and Summaries'!$B$13*IF('Budget Control and Summaries'!$C$3="yes",1+'Budget Control and Summaries'!$B$22,1)</f>
        <v>145.8</v>
      </c>
      <c r="G190" s="1" t="s">
        <v>607</v>
      </c>
    </row>
    <row r="191" spans="2:7" ht="12.75">
      <c r="B191" s="1" t="s">
        <v>599</v>
      </c>
      <c r="E191" s="82">
        <f>7.28/200*$C$182*'Budget Control and Summaries'!$B$12*IF('Budget Control and Summaries'!$C$3="yes",1+'Budget Control and Summaries'!$B$22,1)</f>
        <v>378.56</v>
      </c>
      <c r="G191" s="1" t="s">
        <v>607</v>
      </c>
    </row>
    <row r="192" spans="2:7" ht="12.75">
      <c r="B192" s="1" t="s">
        <v>614</v>
      </c>
      <c r="C192" s="82">
        <f>12106/34224*C182*2*IF('Budget Control and Summaries'!$C$3="yes",1+'Budget Control and Summaries'!$B$22,1)</f>
        <v>141.49135109864423</v>
      </c>
      <c r="G192" s="1" t="s">
        <v>616</v>
      </c>
    </row>
    <row r="193" spans="2:7" ht="12.75">
      <c r="B193" s="1" t="s">
        <v>603</v>
      </c>
      <c r="E193" s="82">
        <f>115.18/34224*$C$186*'Budget Control and Summaries'!$B$12*IF('Budget Control and Summaries'!$C$3="yes",1+'Budget Control and Summaries'!$B$22,1)</f>
        <v>5989.3600000000015</v>
      </c>
      <c r="G193" s="1" t="s">
        <v>608</v>
      </c>
    </row>
    <row r="194" spans="2:7" ht="12.75">
      <c r="B194" s="1" t="s">
        <v>604</v>
      </c>
      <c r="E194" s="82">
        <f>1965.02/34224*$C$186*'Budget Control and Summaries'!$B$11*IF('Budget Control and Summaries'!$C$3="yes",1+'Budget Control and Summaries'!$B$22,1)</f>
        <v>51090.52</v>
      </c>
      <c r="G194" s="1" t="s">
        <v>608</v>
      </c>
    </row>
    <row r="195" spans="2:7" ht="12.75">
      <c r="B195" s="1" t="s">
        <v>605</v>
      </c>
      <c r="E195" s="82">
        <f>884.93/34224*$C$186*'Budget Control and Summaries'!$B$13*IF('Budget Control and Summaries'!$C$3="yes",1+'Budget Control and Summaries'!$B$22,1)</f>
        <v>17698.6</v>
      </c>
      <c r="G195" s="1" t="s">
        <v>608</v>
      </c>
    </row>
    <row r="196" spans="2:7" ht="12.75">
      <c r="B196" s="1" t="s">
        <v>606</v>
      </c>
      <c r="E196" s="82">
        <f>296.51/34224*$C$186*'Budget Control and Summaries'!$B$12*IF('Budget Control and Summaries'!$C$3="yes",1+'Budget Control and Summaries'!$B$22,1)</f>
        <v>15418.52</v>
      </c>
      <c r="G196" s="1" t="s">
        <v>608</v>
      </c>
    </row>
    <row r="197" spans="2:7" ht="12.75">
      <c r="B197" s="1" t="s">
        <v>615</v>
      </c>
      <c r="C197" s="82">
        <f>12106/34224*C186*IF('Budget Control and Summaries'!$C$3="yes",1+'Budget Control and Summaries'!$B$22,1)</f>
        <v>12106</v>
      </c>
      <c r="G197" s="1" t="s">
        <v>608</v>
      </c>
    </row>
    <row r="198" spans="2:5" ht="12.75">
      <c r="B198" s="28" t="s">
        <v>493</v>
      </c>
      <c r="C198" s="60">
        <f>SUM(C188:C197)</f>
        <v>12247.491351098644</v>
      </c>
      <c r="D198" s="60"/>
      <c r="E198" s="60">
        <f>SUM(E188:E197)</f>
        <v>91680.24</v>
      </c>
    </row>
    <row r="200" spans="2:7" ht="12.75">
      <c r="B200" s="61" t="s">
        <v>418</v>
      </c>
      <c r="C200" s="10" t="s">
        <v>547</v>
      </c>
      <c r="D200" s="10" t="s">
        <v>548</v>
      </c>
      <c r="E200" s="10" t="s">
        <v>600</v>
      </c>
      <c r="F200" s="28"/>
      <c r="G200" s="9"/>
    </row>
    <row r="201" spans="2:7" ht="12.75">
      <c r="B201" s="7" t="s">
        <v>613</v>
      </c>
      <c r="C201" s="33">
        <f>(E189)/'Budget Control and Summaries'!$B$11</f>
        <v>25.379999999999995</v>
      </c>
      <c r="D201" s="33">
        <f>(E188+E191)/'Budget Control and Summaries'!$B$12</f>
        <v>13.03</v>
      </c>
      <c r="E201" s="33">
        <f>(E190)/'Budget Control and Summaries'!$B$13</f>
        <v>7.290000000000001</v>
      </c>
      <c r="F201" s="28"/>
      <c r="G201" s="9"/>
    </row>
    <row r="202" spans="2:7" ht="12.75">
      <c r="B202" s="7" t="s">
        <v>617</v>
      </c>
      <c r="C202" s="33">
        <f>(E194)/'Budget Control and Summaries'!$B$11</f>
        <v>1965.02</v>
      </c>
      <c r="D202" s="33">
        <f>(E193+E196)/'Budget Control and Summaries'!$B$12</f>
        <v>411.69</v>
      </c>
      <c r="E202" s="33">
        <f>(E195)/'Budget Control and Summaries'!$B$13</f>
        <v>884.93</v>
      </c>
      <c r="F202" s="28"/>
      <c r="G202" s="9"/>
    </row>
    <row r="204" spans="2:7" ht="12.75">
      <c r="B204" s="7"/>
      <c r="C204" s="33"/>
      <c r="D204" s="33"/>
      <c r="E204" s="33"/>
      <c r="F204" s="28"/>
      <c r="G204" s="9"/>
    </row>
    <row r="206" spans="2:7" ht="12.75">
      <c r="B206" s="7"/>
      <c r="C206" s="33"/>
      <c r="D206" s="33"/>
      <c r="E206" s="33"/>
      <c r="F206" s="28"/>
      <c r="G206" s="9"/>
    </row>
  </sheetData>
  <printOptions/>
  <pageMargins left="0.7875" right="0.7875" top="0.7875" bottom="0.7875" header="0.09861111111111111" footer="0.09861111111111111"/>
  <pageSetup firstPageNumber="1" useFirstPageNumber="1" fitToHeight="0" horizontalDpi="300" verticalDpi="300" orientation="landscape" pageOrder="overThenDown" scale="57"/>
  <headerFooter alignWithMargins="0">
    <oddHeader>&amp;C&amp;"Bitstream Vera Sans,Regular"&amp;A</oddHeader>
    <oddFooter>&amp;C&amp;"Bitstream Vera Sans,Regular"Page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Kevin McFarland</cp:lastModifiedBy>
  <cp:lastPrinted>2005-08-19T12:58:37Z</cp:lastPrinted>
  <dcterms:created xsi:type="dcterms:W3CDTF">2003-11-14T18:20:45Z</dcterms:created>
  <dcterms:modified xsi:type="dcterms:W3CDTF">2005-09-09T03:26:59Z</dcterms:modified>
  <cp:category/>
  <cp:version/>
  <cp:contentType/>
  <cp:contentStatus/>
  <cp:revision>111</cp:revision>
</cp:coreProperties>
</file>