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640" activeTab="1"/>
  </bookViews>
  <sheets>
    <sheet name="optimistic cost" sheetId="1" r:id="rId1"/>
    <sheet name="cost" sheetId="2" r:id="rId2"/>
    <sheet name="old optimistic cost" sheetId="3" r:id="rId3"/>
    <sheet name="outline" sheetId="4" r:id="rId4"/>
    <sheet name="new info on LHC" sheetId="5" r:id="rId5"/>
    <sheet name="IR Quads" sheetId="6" r:id="rId6"/>
    <sheet name="power supplies" sheetId="7" r:id="rId7"/>
    <sheet name="Water system" sheetId="8" r:id="rId8"/>
    <sheet name="Feedbox" sheetId="9" r:id="rId9"/>
    <sheet name="Beam Absorber" sheetId="10" r:id="rId10"/>
  </sheets>
  <definedNames>
    <definedName name="_xlnm.Print_Area" localSheetId="4">'new info on LHC'!$A$1:$L$34</definedName>
  </definedNames>
  <calcPr fullCalcOnLoad="1"/>
</workbook>
</file>

<file path=xl/sharedStrings.xml><?xml version="1.0" encoding="utf-8"?>
<sst xmlns="http://schemas.openxmlformats.org/spreadsheetml/2006/main" count="355" uniqueCount="202">
  <si>
    <t>VLHC Phase I Cost Estimating Spreadsheet</t>
  </si>
  <si>
    <t>Description</t>
  </si>
  <si>
    <t>Name</t>
  </si>
  <si>
    <t>Estimate date</t>
  </si>
  <si>
    <t>MATERIAL</t>
  </si>
  <si>
    <t>LABOR</t>
  </si>
  <si>
    <t>Identifier</t>
  </si>
  <si>
    <t>Item description</t>
  </si>
  <si>
    <t>No. of</t>
  </si>
  <si>
    <t>FY01 $</t>
  </si>
  <si>
    <t>Total</t>
  </si>
  <si>
    <t>Labor</t>
  </si>
  <si>
    <t xml:space="preserve">FTE </t>
  </si>
  <si>
    <t xml:space="preserve">$ per </t>
  </si>
  <si>
    <t>basis</t>
  </si>
  <si>
    <t>Unit</t>
  </si>
  <si>
    <t>units</t>
  </si>
  <si>
    <t>per unit</t>
  </si>
  <si>
    <t>M&amp;S $</t>
  </si>
  <si>
    <t>type</t>
  </si>
  <si>
    <t>(m-year)</t>
  </si>
  <si>
    <t>FTE</t>
  </si>
  <si>
    <t>labor $</t>
  </si>
  <si>
    <t>Sum for this sheet</t>
  </si>
  <si>
    <t>Technical description/ basis notes</t>
  </si>
  <si>
    <t>IR Magnet + Cryostat</t>
  </si>
  <si>
    <t>IR Power Supply</t>
  </si>
  <si>
    <t>IR Absorbers</t>
  </si>
  <si>
    <t>Inner Triplet Feedbox</t>
  </si>
  <si>
    <t>I.</t>
  </si>
  <si>
    <t>IR Quad Cold Mass</t>
  </si>
  <si>
    <t>Conductor cost/length</t>
  </si>
  <si>
    <t>Collars</t>
  </si>
  <si>
    <t>Iron</t>
  </si>
  <si>
    <t>Helium Vessels</t>
  </si>
  <si>
    <t>Labor (4 techs for 3 months?)</t>
  </si>
  <si>
    <t>IR magnets</t>
  </si>
  <si>
    <t>II.</t>
  </si>
  <si>
    <t>Cryostat</t>
  </si>
  <si>
    <t>End dome</t>
  </si>
  <si>
    <t>Piping (no SF heat exchanger)</t>
  </si>
  <si>
    <t>Superinsultion, Spiders</t>
  </si>
  <si>
    <t>Crystat</t>
  </si>
  <si>
    <t>Bellows</t>
  </si>
  <si>
    <t xml:space="preserve">Electrical Bus </t>
  </si>
  <si>
    <t>Quench Heaters</t>
  </si>
  <si>
    <t>Labort (4 techs 6 weeks)</t>
  </si>
  <si>
    <t>III</t>
  </si>
  <si>
    <t>Testing</t>
  </si>
  <si>
    <t>Cryogens</t>
  </si>
  <si>
    <t>Tas increases by size and cost by 5 percent</t>
  </si>
  <si>
    <t>Tan increases by 15 percent</t>
  </si>
  <si>
    <t>PLUS</t>
  </si>
  <si>
    <t xml:space="preserve">Cost of cooling </t>
  </si>
  <si>
    <t>1 kW  is</t>
  </si>
  <si>
    <t>Liter/sec</t>
  </si>
  <si>
    <t xml:space="preserve">Use the VMTF line cost </t>
  </si>
  <si>
    <t>4 lines</t>
  </si>
  <si>
    <t>2  for shield</t>
  </si>
  <si>
    <t xml:space="preserve">and </t>
  </si>
  <si>
    <t>2 for Liquid helium come and go…</t>
  </si>
  <si>
    <t>Start with B Tev  box estimate</t>
  </si>
  <si>
    <t>per box</t>
  </si>
  <si>
    <t>engineering and design</t>
  </si>
  <si>
    <t>25 kA leads  scale up from 60 K / 10kA</t>
  </si>
  <si>
    <t>MTF size water system</t>
  </si>
  <si>
    <t>beam tubes</t>
  </si>
  <si>
    <t>$25/foot for tube,$25/foot insulation</t>
  </si>
  <si>
    <t>$50/foot with insulation and connections</t>
  </si>
  <si>
    <t>Michael Lamm</t>
  </si>
  <si>
    <t>In house design</t>
  </si>
  <si>
    <t>Construction</t>
  </si>
  <si>
    <t>Power Leads</t>
  </si>
  <si>
    <t>Power Supply LBQ</t>
  </si>
  <si>
    <t>Power Supply Conventional</t>
  </si>
  <si>
    <t>Power Supply Corrector</t>
  </si>
  <si>
    <t>Installation</t>
  </si>
  <si>
    <t>Cabling</t>
  </si>
  <si>
    <t>Quench Protection</t>
  </si>
  <si>
    <t>Heater Firing Units</t>
  </si>
  <si>
    <t>Cabling and Installation</t>
  </si>
  <si>
    <t>Cryognics</t>
  </si>
  <si>
    <t>Transfer line to Refrigerator</t>
  </si>
  <si>
    <t>TAS</t>
  </si>
  <si>
    <t>TAN</t>
  </si>
  <si>
    <t>LCW</t>
  </si>
  <si>
    <t>Power Infrastucture</t>
  </si>
  <si>
    <t>Inner Triplet Quads</t>
  </si>
  <si>
    <t>Magnet Parts</t>
  </si>
  <si>
    <t>Conductor</t>
  </si>
  <si>
    <t>Heaters</t>
  </si>
  <si>
    <t xml:space="preserve"> Outer triplet 2 gradient quads</t>
  </si>
  <si>
    <t xml:space="preserve"> Orbit correctors</t>
  </si>
  <si>
    <t>IR separation dipoles</t>
  </si>
  <si>
    <t>System for PS and TAN/TAS</t>
  </si>
  <si>
    <t>Doug Fisher +LHC notes</t>
  </si>
  <si>
    <t>HFM  from Sasha Zlobin</t>
  </si>
  <si>
    <t>Costed Elsewhere</t>
  </si>
  <si>
    <t>WAG</t>
  </si>
  <si>
    <t>Tom Peterson</t>
  </si>
  <si>
    <t>CERN experience</t>
  </si>
  <si>
    <t xml:space="preserve">MTF </t>
  </si>
  <si>
    <t>CERN and MTF 4.2 K feedbox</t>
  </si>
  <si>
    <t>Kg</t>
  </si>
  <si>
    <t>Heater</t>
  </si>
  <si>
    <t>pair</t>
  </si>
  <si>
    <t>meter</t>
  </si>
  <si>
    <t>Piping</t>
  </si>
  <si>
    <t>system</t>
  </si>
  <si>
    <t>Interaction Regions</t>
  </si>
  <si>
    <t>Cost in FY01$ in Thousands</t>
  </si>
  <si>
    <t>Hope to decrease by factor of 4-5</t>
  </si>
  <si>
    <t>How much in a magnet</t>
  </si>
  <si>
    <t>meter^2</t>
  </si>
  <si>
    <t>turns</t>
  </si>
  <si>
    <t>8 octants</t>
  </si>
  <si>
    <t>mag length + end</t>
  </si>
  <si>
    <t>cable length in meters</t>
  </si>
  <si>
    <t>cable volume m^3</t>
  </si>
  <si>
    <t>packing factor</t>
  </si>
  <si>
    <t>cable density KG/m^3</t>
  </si>
  <si>
    <t>wt(kg)</t>
  </si>
  <si>
    <t>cost/kg</t>
  </si>
  <si>
    <t>cost/magnet</t>
  </si>
  <si>
    <t>HGQ prototype</t>
  </si>
  <si>
    <t>length inner</t>
  </si>
  <si>
    <t>length outer</t>
  </si>
  <si>
    <t>total in feet</t>
  </si>
  <si>
    <t>meters</t>
  </si>
  <si>
    <t>length if 11.5 meter</t>
  </si>
  <si>
    <t>volume/length</t>
  </si>
  <si>
    <t>weight/length</t>
  </si>
  <si>
    <t>density</t>
  </si>
  <si>
    <t>in k dollars</t>
  </si>
  <si>
    <t>km</t>
  </si>
  <si>
    <t>dollars for mtf including small feed box and connections</t>
  </si>
  <si>
    <t>feet</t>
  </si>
  <si>
    <t>$$/foot</t>
  </si>
  <si>
    <t>$$/meter</t>
  </si>
  <si>
    <t>o.k… It's March  22, 2001 or abouts</t>
  </si>
  <si>
    <t>Tom Peterson and I estimated the cost of building a water system</t>
  </si>
  <si>
    <t>based on MTF</t>
  </si>
  <si>
    <t>The size the MTF system would be comparable to the water requirements for one size of one interaction region</t>
  </si>
  <si>
    <t>Water is need for power supplies, to cool conventional magnets and to cool the TAS and TAN abosrober</t>
  </si>
  <si>
    <t>Estimated cost is $100K with about half of this going into the installation</t>
  </si>
  <si>
    <t>Elements of System</t>
  </si>
  <si>
    <t>Pumps</t>
  </si>
  <si>
    <t>Heat exchanger</t>
  </si>
  <si>
    <t>de-ionizing water system</t>
  </si>
  <si>
    <t>copper piping</t>
  </si>
  <si>
    <t>Misc. valves, flow meters</t>
  </si>
  <si>
    <t>LHC Costs for VLHC Study (Direct Costs, No Overheads or G&amp;A)</t>
  </si>
  <si>
    <t>(Materials and Assembly Labor Only, No EDIA)</t>
  </si>
  <si>
    <t>(FY01$ in Thousands)</t>
  </si>
  <si>
    <t>Units</t>
  </si>
  <si>
    <t>LHC
Total Cost</t>
  </si>
  <si>
    <t>LHC
Unit Cost</t>
  </si>
  <si>
    <t>VLHC
Multiplier</t>
  </si>
  <si>
    <t>VLHC
Unit Cost</t>
  </si>
  <si>
    <t>IR Quads (Q2s)</t>
  </si>
  <si>
    <t>Cold Masses
(2/Q2, no SC cable)</t>
  </si>
  <si>
    <t>Parts</t>
  </si>
  <si>
    <t>Assembly</t>
  </si>
  <si>
    <t>Cryostats</t>
  </si>
  <si>
    <t>Test</t>
  </si>
  <si>
    <t>Absorbers</t>
  </si>
  <si>
    <t>Neutral Absorber</t>
  </si>
  <si>
    <t>Quad Absorber</t>
  </si>
  <si>
    <t>Feedboxes</t>
  </si>
  <si>
    <t>From Doug Fisher 3/22/01</t>
  </si>
  <si>
    <t>Other notes</t>
  </si>
  <si>
    <t>Conductor estimates</t>
  </si>
  <si>
    <t>Sasha says $800/ kg</t>
  </si>
  <si>
    <t>unit</t>
  </si>
  <si>
    <t>magnet</t>
  </si>
  <si>
    <t>project</t>
  </si>
  <si>
    <t>box</t>
  </si>
  <si>
    <t>High current</t>
  </si>
  <si>
    <t>High voltage</t>
  </si>
  <si>
    <t>Low I, V</t>
  </si>
  <si>
    <t>VLHC IQ QUAD Cable dimension</t>
  </si>
  <si>
    <t>Use Estimate from VMTF (old + proposed upgrade)</t>
  </si>
  <si>
    <t>Insiginficant compared to other power supplies</t>
  </si>
  <si>
    <t>Will be parasitic</t>
  </si>
  <si>
    <t>Doug Fisher +LHC notes see "IR Quad Sheet"</t>
  </si>
  <si>
    <t>HFM  from Sasha Zlobin "See IR quad sheet"</t>
  </si>
  <si>
    <t>Heaters are about $2K based on conversation with Felix</t>
  </si>
  <si>
    <t>CERN experience, converation with Felix Rodriques-Mateos</t>
  </si>
  <si>
    <t>CERN (Doug Fisher LBNL) and MTF 4.2 K feedbox (BteV feed box)</t>
  </si>
  <si>
    <t xml:space="preserve">MTF (estimates for new 25 kA supplies) </t>
  </si>
  <si>
    <t>CERN experience (convsation with Reiner Denz at CERN)</t>
  </si>
  <si>
    <t>Tom Peterson (cryo line estimate based on MTF and other experience)</t>
  </si>
  <si>
    <t>Guess based on MTF system (if someone costs this for the accelerator as a whole use their estimate)</t>
  </si>
  <si>
    <t>Costed Elsewhere (for example Iouri T.includes all resistive magnets in his estimates)</t>
  </si>
  <si>
    <t>Using Bill Turner's notes as a guide</t>
  </si>
  <si>
    <t>Scale the parts for magnet by weight</t>
  </si>
  <si>
    <t>Total cost hours</t>
  </si>
  <si>
    <t>FTE's</t>
  </si>
  <si>
    <t>Per unit hours</t>
  </si>
  <si>
    <t>FTE's per unit</t>
  </si>
  <si>
    <t>I didn't use the 1.5 scale here</t>
  </si>
  <si>
    <t>april, 16,2001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</si>
</sst>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;"/>
    <numFmt numFmtId="165" formatCode="0.0"/>
    <numFmt numFmtId="166" formatCode="&quot;$&quot;#,##0.00"/>
    <numFmt numFmtId="167" formatCode="&quot;$&quot;#,##0"/>
    <numFmt numFmtId="168" formatCode="#,##0.0"/>
    <numFmt numFmtId="169" formatCode="0.000"/>
  </numFmts>
  <fonts count="3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</fills>
  <borders count="5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Continuous"/>
      <protection/>
    </xf>
    <xf numFmtId="0" fontId="1" fillId="2" borderId="2" xfId="0" applyFont="1" applyFill="1" applyBorder="1" applyAlignment="1" applyProtection="1">
      <alignment horizontal="centerContinuous"/>
      <protection/>
    </xf>
    <xf numFmtId="0" fontId="1" fillId="2" borderId="3" xfId="0" applyFont="1" applyFill="1" applyBorder="1" applyAlignment="1" applyProtection="1">
      <alignment horizontal="centerContinuous"/>
      <protection/>
    </xf>
    <xf numFmtId="0" fontId="2" fillId="2" borderId="4" xfId="0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 horizontal="centerContinuous"/>
      <protection/>
    </xf>
    <xf numFmtId="0" fontId="1" fillId="2" borderId="5" xfId="0" applyFont="1" applyFill="1" applyBorder="1" applyAlignment="1" applyProtection="1">
      <alignment horizontal="centerContinuous"/>
      <protection/>
    </xf>
    <xf numFmtId="0" fontId="2" fillId="2" borderId="6" xfId="0" applyFont="1" applyFill="1" applyBorder="1" applyAlignment="1" applyProtection="1">
      <alignment horizontal="centerContinuous"/>
      <protection/>
    </xf>
    <xf numFmtId="0" fontId="2" fillId="2" borderId="7" xfId="0" applyFont="1" applyFill="1" applyBorder="1" applyAlignment="1" applyProtection="1">
      <alignment horizontal="centerContinuous"/>
      <protection/>
    </xf>
    <xf numFmtId="0" fontId="1" fillId="2" borderId="8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Continuous"/>
      <protection/>
    </xf>
    <xf numFmtId="0" fontId="1" fillId="2" borderId="14" xfId="0" applyFont="1" applyFill="1" applyBorder="1" applyAlignment="1" applyProtection="1">
      <alignment horizontal="centerContinuous"/>
      <protection/>
    </xf>
    <xf numFmtId="0" fontId="1" fillId="2" borderId="15" xfId="0" applyFont="1" applyFill="1" applyBorder="1" applyAlignment="1" applyProtection="1">
      <alignment horizontal="centerContinuous"/>
      <protection/>
    </xf>
    <xf numFmtId="0" fontId="1" fillId="2" borderId="16" xfId="0" applyFont="1" applyFill="1" applyBorder="1" applyAlignment="1" applyProtection="1">
      <alignment/>
      <protection/>
    </xf>
    <xf numFmtId="0" fontId="1" fillId="2" borderId="17" xfId="0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18" xfId="0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center"/>
      <protection/>
    </xf>
    <xf numFmtId="0" fontId="1" fillId="2" borderId="20" xfId="0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24" xfId="0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 applyProtection="1">
      <alignment horizontal="center"/>
      <protection/>
    </xf>
    <xf numFmtId="0" fontId="1" fillId="2" borderId="25" xfId="0" applyFont="1" applyFill="1" applyBorder="1" applyAlignment="1" applyProtection="1">
      <alignment horizontal="center"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27" xfId="0" applyFont="1" applyFill="1" applyBorder="1" applyAlignment="1" applyProtection="1">
      <alignment horizontal="center"/>
      <protection/>
    </xf>
    <xf numFmtId="164" fontId="1" fillId="3" borderId="28" xfId="0" applyNumberFormat="1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1" fillId="3" borderId="30" xfId="0" applyFont="1" applyFill="1" applyBorder="1" applyAlignment="1" applyProtection="1">
      <alignment horizontal="center"/>
      <protection/>
    </xf>
    <xf numFmtId="42" fontId="1" fillId="3" borderId="28" xfId="0" applyNumberFormat="1" applyFont="1" applyFill="1" applyBorder="1" applyAlignment="1" applyProtection="1">
      <alignment horizontal="right"/>
      <protection/>
    </xf>
    <xf numFmtId="42" fontId="1" fillId="3" borderId="31" xfId="0" applyNumberFormat="1" applyFont="1" applyFill="1" applyBorder="1" applyAlignment="1" applyProtection="1">
      <alignment horizontal="right"/>
      <protection/>
    </xf>
    <xf numFmtId="0" fontId="1" fillId="3" borderId="30" xfId="0" applyFont="1" applyFill="1" applyBorder="1" applyAlignment="1" applyProtection="1">
      <alignment horizontal="right"/>
      <protection/>
    </xf>
    <xf numFmtId="165" fontId="1" fillId="3" borderId="28" xfId="0" applyNumberFormat="1" applyFont="1" applyFill="1" applyBorder="1" applyAlignment="1" applyProtection="1">
      <alignment horizontal="right"/>
      <protection/>
    </xf>
    <xf numFmtId="42" fontId="1" fillId="3" borderId="32" xfId="0" applyNumberFormat="1" applyFont="1" applyFill="1" applyBorder="1" applyAlignment="1" applyProtection="1">
      <alignment horizontal="right"/>
      <protection/>
    </xf>
    <xf numFmtId="164" fontId="1" fillId="0" borderId="24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42" fontId="1" fillId="0" borderId="35" xfId="0" applyNumberFormat="1" applyFont="1" applyFill="1" applyBorder="1" applyAlignment="1" applyProtection="1">
      <alignment horizontal="right"/>
      <protection/>
    </xf>
    <xf numFmtId="42" fontId="1" fillId="3" borderId="36" xfId="0" applyNumberFormat="1" applyFont="1" applyFill="1" applyBorder="1" applyAlignment="1" applyProtection="1">
      <alignment horizontal="right"/>
      <protection/>
    </xf>
    <xf numFmtId="165" fontId="1" fillId="0" borderId="35" xfId="0" applyNumberFormat="1" applyFont="1" applyFill="1" applyBorder="1" applyAlignment="1" applyProtection="1">
      <alignment horizontal="center"/>
      <protection/>
    </xf>
    <xf numFmtId="42" fontId="1" fillId="3" borderId="35" xfId="0" applyNumberFormat="1" applyFont="1" applyFill="1" applyBorder="1" applyAlignment="1" applyProtection="1">
      <alignment horizontal="right"/>
      <protection/>
    </xf>
    <xf numFmtId="42" fontId="1" fillId="3" borderId="37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/>
    </xf>
    <xf numFmtId="9" fontId="1" fillId="0" borderId="0" xfId="0" applyNumberFormat="1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0" xfId="0" applyAlignment="1">
      <alignment wrapText="1" shrinkToFi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14" xfId="0" applyNumberFormat="1" applyBorder="1" applyAlignment="1">
      <alignment horizontal="center" wrapText="1"/>
    </xf>
    <xf numFmtId="168" fontId="0" fillId="0" borderId="41" xfId="0" applyNumberFormat="1" applyBorder="1" applyAlignment="1">
      <alignment horizontal="center" wrapText="1"/>
    </xf>
    <xf numFmtId="2" fontId="0" fillId="0" borderId="35" xfId="0" applyNumberFormat="1" applyBorder="1" applyAlignment="1">
      <alignment horizontal="center" wrapText="1"/>
    </xf>
    <xf numFmtId="168" fontId="0" fillId="0" borderId="35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168" fontId="0" fillId="0" borderId="38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8" fontId="0" fillId="0" borderId="39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/>
    </xf>
    <xf numFmtId="0" fontId="0" fillId="0" borderId="9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9" xfId="0" applyNumberFormat="1" applyBorder="1" applyAlignment="1">
      <alignment/>
    </xf>
    <xf numFmtId="168" fontId="0" fillId="0" borderId="40" xfId="0" applyNumberFormat="1" applyBorder="1" applyAlignment="1">
      <alignment/>
    </xf>
    <xf numFmtId="2" fontId="0" fillId="0" borderId="24" xfId="0" applyNumberFormat="1" applyBorder="1" applyAlignment="1">
      <alignment horizontal="center"/>
    </xf>
    <xf numFmtId="168" fontId="0" fillId="0" borderId="24" xfId="0" applyNumberFormat="1" applyBorder="1" applyAlignment="1">
      <alignment/>
    </xf>
    <xf numFmtId="3" fontId="0" fillId="0" borderId="12" xfId="0" applyNumberFormat="1" applyBorder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1" fillId="0" borderId="33" xfId="0" applyNumberFormat="1" applyFont="1" applyFill="1" applyBorder="1" applyAlignment="1" applyProtection="1">
      <alignment horizontal="center"/>
      <protection/>
    </xf>
    <xf numFmtId="2" fontId="1" fillId="0" borderId="35" xfId="0" applyNumberFormat="1" applyFont="1" applyFill="1" applyBorder="1" applyAlignment="1" applyProtection="1">
      <alignment horizontal="center"/>
      <protection/>
    </xf>
    <xf numFmtId="168" fontId="0" fillId="0" borderId="33" xfId="0" applyNumberForma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168" fontId="0" fillId="0" borderId="10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46" xfId="0" applyBorder="1" applyAlignment="1">
      <alignment/>
    </xf>
    <xf numFmtId="168" fontId="0" fillId="0" borderId="17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165" fontId="0" fillId="0" borderId="40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0" xfId="0" applyNumberFormat="1" applyBorder="1" applyAlignment="1">
      <alignment/>
    </xf>
    <xf numFmtId="168" fontId="0" fillId="0" borderId="23" xfId="0" applyNumberFormat="1" applyBorder="1" applyAlignment="1">
      <alignment/>
    </xf>
    <xf numFmtId="165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65" fontId="0" fillId="0" borderId="51" xfId="0" applyNumberFormat="1" applyBorder="1" applyAlignment="1">
      <alignment/>
    </xf>
    <xf numFmtId="15" fontId="1" fillId="0" borderId="9" xfId="0" applyNumberFormat="1" applyFont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 wrapText="1"/>
    </xf>
    <xf numFmtId="0" fontId="0" fillId="0" borderId="3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75" zoomScaleNormal="75" workbookViewId="0" topLeftCell="D1">
      <selection activeCell="F5" sqref="F5"/>
    </sheetView>
  </sheetViews>
  <sheetFormatPr defaultColWidth="9.140625" defaultRowHeight="12.75"/>
  <cols>
    <col min="1" max="3" width="3.8515625" style="0" customWidth="1"/>
    <col min="4" max="4" width="40.7109375" style="0" customWidth="1"/>
    <col min="5" max="5" width="7.7109375" style="0" customWidth="1"/>
    <col min="6" max="14" width="14.7109375" style="0" customWidth="1"/>
  </cols>
  <sheetData>
    <row r="1" spans="1:14" ht="16.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6.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6.5" thickTop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0" t="s">
        <v>1</v>
      </c>
      <c r="B5" s="10"/>
      <c r="C5" s="10"/>
      <c r="D5" s="71" t="s">
        <v>109</v>
      </c>
      <c r="E5" s="10"/>
      <c r="F5" s="10"/>
      <c r="G5" s="10"/>
      <c r="H5" s="10"/>
      <c r="I5" s="10"/>
      <c r="J5" s="10"/>
      <c r="K5" s="10" t="s">
        <v>2</v>
      </c>
      <c r="L5" s="10"/>
      <c r="M5" s="11" t="s">
        <v>69</v>
      </c>
      <c r="N5" s="12"/>
    </row>
    <row r="6" spans="1:14" ht="15.75">
      <c r="A6" s="10"/>
      <c r="B6" s="10"/>
      <c r="C6" s="10"/>
      <c r="D6" s="10"/>
      <c r="E6" s="10"/>
      <c r="F6" s="10"/>
      <c r="G6" s="10"/>
      <c r="H6" s="10"/>
      <c r="I6" s="14"/>
      <c r="J6" s="15"/>
      <c r="K6" s="10" t="s">
        <v>3</v>
      </c>
      <c r="L6" s="10"/>
      <c r="M6" s="137">
        <v>36997</v>
      </c>
      <c r="N6" s="12"/>
    </row>
    <row r="7" spans="1:14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>
      <c r="A8" s="16"/>
      <c r="B8" s="17"/>
      <c r="C8" s="17"/>
      <c r="D8" s="18"/>
      <c r="E8" s="19"/>
      <c r="F8" s="138" t="s">
        <v>4</v>
      </c>
      <c r="G8" s="139"/>
      <c r="H8" s="139"/>
      <c r="I8" s="140"/>
      <c r="J8" s="20" t="s">
        <v>5</v>
      </c>
      <c r="K8" s="21"/>
      <c r="L8" s="21"/>
      <c r="M8" s="22"/>
      <c r="N8" s="23"/>
    </row>
    <row r="9" spans="1:14" ht="15.75">
      <c r="A9" s="24"/>
      <c r="B9" s="25" t="s">
        <v>6</v>
      </c>
      <c r="C9" s="5"/>
      <c r="D9" s="26" t="s">
        <v>7</v>
      </c>
      <c r="E9" s="27"/>
      <c r="F9" s="28"/>
      <c r="G9" s="27" t="s">
        <v>8</v>
      </c>
      <c r="H9" s="26" t="s">
        <v>9</v>
      </c>
      <c r="I9" s="29" t="s">
        <v>10</v>
      </c>
      <c r="J9" s="30" t="s">
        <v>11</v>
      </c>
      <c r="K9" s="18" t="s">
        <v>12</v>
      </c>
      <c r="L9" s="18" t="s">
        <v>13</v>
      </c>
      <c r="M9" s="18" t="s">
        <v>10</v>
      </c>
      <c r="N9" s="31" t="s">
        <v>10</v>
      </c>
    </row>
    <row r="10" spans="1:14" ht="15.75">
      <c r="A10" s="32"/>
      <c r="B10" s="33"/>
      <c r="C10" s="33"/>
      <c r="D10" s="34"/>
      <c r="E10" s="35" t="s">
        <v>14</v>
      </c>
      <c r="F10" s="36" t="s">
        <v>15</v>
      </c>
      <c r="G10" s="35" t="s">
        <v>16</v>
      </c>
      <c r="H10" s="34" t="s">
        <v>17</v>
      </c>
      <c r="I10" s="37" t="s">
        <v>18</v>
      </c>
      <c r="J10" s="36" t="s">
        <v>19</v>
      </c>
      <c r="K10" s="34" t="s">
        <v>20</v>
      </c>
      <c r="L10" s="34" t="s">
        <v>21</v>
      </c>
      <c r="M10" s="34" t="s">
        <v>22</v>
      </c>
      <c r="N10" s="38"/>
    </row>
    <row r="11" spans="1:14" ht="16.5" thickBot="1">
      <c r="A11" s="39"/>
      <c r="B11" s="39"/>
      <c r="C11" s="39"/>
      <c r="D11" s="40" t="s">
        <v>23</v>
      </c>
      <c r="E11" s="41"/>
      <c r="F11" s="42"/>
      <c r="G11" s="41"/>
      <c r="H11" s="43"/>
      <c r="I11" s="44">
        <f>SUM(I12:I59)</f>
        <v>14585227.3792</v>
      </c>
      <c r="J11" s="45"/>
      <c r="K11" s="46"/>
      <c r="L11" s="43"/>
      <c r="M11" s="43">
        <f>SUM(M12:M59)</f>
        <v>5746071.36369863</v>
      </c>
      <c r="N11" s="47">
        <f>SUM(N12:N59)</f>
        <v>20331298.742898628</v>
      </c>
    </row>
    <row r="12" spans="1:14" ht="16.5" thickTop="1">
      <c r="A12" s="48">
        <f>outline!B2</f>
        <v>1</v>
      </c>
      <c r="B12" s="48">
        <f>outline!C2</f>
        <v>0</v>
      </c>
      <c r="C12" s="48">
        <f>outline!D2</f>
        <v>0</v>
      </c>
      <c r="D12" s="48" t="str">
        <f>outline!E2</f>
        <v>IR Magnet + Cryostat</v>
      </c>
      <c r="E12" s="49"/>
      <c r="F12" s="50"/>
      <c r="G12" s="49"/>
      <c r="H12" s="51"/>
      <c r="I12" s="52">
        <f aca="true" t="shared" si="0" ref="I12:I54">IF(H12="","",G12*H12)</f>
      </c>
      <c r="J12" s="50"/>
      <c r="K12" s="53"/>
      <c r="L12" s="54"/>
      <c r="M12" s="54">
        <f aca="true" t="shared" si="1" ref="M12:M59">IF(L12="","",L12*K12*G12)</f>
      </c>
      <c r="N12" s="55">
        <f aca="true" t="shared" si="2" ref="N12:N59">SUM(I12,M12)</f>
        <v>0</v>
      </c>
    </row>
    <row r="13" spans="1:14" ht="15.75">
      <c r="A13" s="48">
        <f>outline!B3</f>
        <v>1</v>
      </c>
      <c r="B13" s="48">
        <f>outline!C3</f>
        <v>1</v>
      </c>
      <c r="C13" s="48">
        <f>outline!D3</f>
        <v>0</v>
      </c>
      <c r="D13" s="48" t="str">
        <f>outline!E3</f>
        <v>Inner Triplet Quads</v>
      </c>
      <c r="E13" s="49"/>
      <c r="F13" s="50"/>
      <c r="G13" s="49"/>
      <c r="H13" s="51"/>
      <c r="I13" s="52">
        <f t="shared" si="0"/>
      </c>
      <c r="J13" s="50"/>
      <c r="K13" s="53"/>
      <c r="L13" s="54"/>
      <c r="M13" s="54">
        <f t="shared" si="1"/>
      </c>
      <c r="N13" s="55">
        <f t="shared" si="2"/>
        <v>0</v>
      </c>
    </row>
    <row r="14" spans="1:14" ht="15.75">
      <c r="A14" s="48">
        <f>outline!B4</f>
        <v>1</v>
      </c>
      <c r="B14" s="48">
        <f>outline!C4</f>
        <v>1</v>
      </c>
      <c r="C14" s="48">
        <f>outline!D4</f>
        <v>1</v>
      </c>
      <c r="D14" s="48" t="str">
        <f>outline!E4</f>
        <v>Magnet Parts</v>
      </c>
      <c r="E14" s="49">
        <v>1</v>
      </c>
      <c r="F14" s="50" t="s">
        <v>174</v>
      </c>
      <c r="G14" s="49">
        <v>17</v>
      </c>
      <c r="H14" s="51">
        <v>223600</v>
      </c>
      <c r="I14" s="52">
        <f t="shared" si="0"/>
        <v>3801200</v>
      </c>
      <c r="J14" s="50"/>
      <c r="K14" s="53">
        <v>1.67</v>
      </c>
      <c r="L14" s="54">
        <f>34.73*1750</f>
        <v>60777.49999999999</v>
      </c>
      <c r="M14" s="54">
        <f t="shared" si="1"/>
        <v>1725473.2249999999</v>
      </c>
      <c r="N14" s="55">
        <f t="shared" si="2"/>
        <v>5526673.225</v>
      </c>
    </row>
    <row r="15" spans="1:14" ht="15.75">
      <c r="A15" s="48">
        <f>outline!B5</f>
        <v>1</v>
      </c>
      <c r="B15" s="48">
        <f>outline!C5</f>
        <v>1</v>
      </c>
      <c r="C15" s="48">
        <f>outline!D5</f>
        <v>2</v>
      </c>
      <c r="D15" s="48" t="str">
        <f>outline!E5</f>
        <v>Conductor</v>
      </c>
      <c r="E15" s="49">
        <v>2</v>
      </c>
      <c r="F15" s="50" t="s">
        <v>103</v>
      </c>
      <c r="G15" s="110">
        <f>'IR Quads'!K54*17</f>
        <v>6555.136896000001</v>
      </c>
      <c r="H15" s="51">
        <f>800/4</f>
        <v>200</v>
      </c>
      <c r="I15" s="52">
        <f t="shared" si="0"/>
        <v>1311027.3792</v>
      </c>
      <c r="J15" s="50"/>
      <c r="K15" s="53"/>
      <c r="L15" s="54"/>
      <c r="M15" s="54">
        <f t="shared" si="1"/>
      </c>
      <c r="N15" s="55">
        <f t="shared" si="2"/>
        <v>1311027.3792</v>
      </c>
    </row>
    <row r="16" spans="1:14" ht="15.75">
      <c r="A16" s="48">
        <f>outline!B6</f>
        <v>1</v>
      </c>
      <c r="B16" s="48">
        <f>outline!C6</f>
        <v>1</v>
      </c>
      <c r="C16" s="48">
        <f>outline!D6</f>
        <v>3</v>
      </c>
      <c r="D16" s="48" t="str">
        <f>outline!E6</f>
        <v>Heaters</v>
      </c>
      <c r="E16" s="49">
        <v>3</v>
      </c>
      <c r="F16" s="50" t="s">
        <v>90</v>
      </c>
      <c r="G16" s="49">
        <v>170</v>
      </c>
      <c r="H16" s="51">
        <v>2000</v>
      </c>
      <c r="I16" s="52">
        <f t="shared" si="0"/>
        <v>340000</v>
      </c>
      <c r="J16" s="50"/>
      <c r="K16" s="53"/>
      <c r="L16" s="54"/>
      <c r="M16" s="54">
        <f t="shared" si="1"/>
      </c>
      <c r="N16" s="55">
        <f t="shared" si="2"/>
        <v>340000</v>
      </c>
    </row>
    <row r="17" spans="1:14" ht="15.75">
      <c r="A17" s="48">
        <f>outline!B7</f>
        <v>1</v>
      </c>
      <c r="B17" s="48">
        <f>outline!C7</f>
        <v>1</v>
      </c>
      <c r="C17" s="48">
        <f>outline!D7</f>
        <v>4</v>
      </c>
      <c r="D17" s="48" t="str">
        <f>outline!E7</f>
        <v>Cryostat</v>
      </c>
      <c r="E17" s="49">
        <v>1</v>
      </c>
      <c r="F17" s="50" t="s">
        <v>173</v>
      </c>
      <c r="G17" s="49">
        <v>17</v>
      </c>
      <c r="H17" s="51">
        <v>99000</v>
      </c>
      <c r="I17" s="52">
        <f t="shared" si="0"/>
        <v>1683000</v>
      </c>
      <c r="J17" s="50"/>
      <c r="K17" s="53">
        <v>0.69</v>
      </c>
      <c r="L17" s="54">
        <f>34.73*1750</f>
        <v>60777.49999999999</v>
      </c>
      <c r="M17" s="54">
        <f t="shared" si="1"/>
        <v>712920.0749999998</v>
      </c>
      <c r="N17" s="55">
        <f t="shared" si="2"/>
        <v>2395920.0749999997</v>
      </c>
    </row>
    <row r="18" spans="1:14" ht="15.75">
      <c r="A18" s="48">
        <f>outline!B8</f>
        <v>1</v>
      </c>
      <c r="B18" s="48">
        <f>outline!C8</f>
        <v>1</v>
      </c>
      <c r="C18" s="48">
        <f>outline!D8</f>
        <v>5</v>
      </c>
      <c r="D18" s="48" t="str">
        <f>outline!E8</f>
        <v>Testing</v>
      </c>
      <c r="E18" s="49">
        <v>1</v>
      </c>
      <c r="F18" s="50" t="s">
        <v>173</v>
      </c>
      <c r="G18" s="49">
        <v>17</v>
      </c>
      <c r="H18" s="51">
        <v>56000</v>
      </c>
      <c r="I18" s="52">
        <f t="shared" si="0"/>
        <v>952000</v>
      </c>
      <c r="J18" s="50"/>
      <c r="K18" s="53">
        <v>0.62</v>
      </c>
      <c r="L18" s="54">
        <f>34.73*1750</f>
        <v>60777.49999999999</v>
      </c>
      <c r="M18" s="54">
        <f t="shared" si="1"/>
        <v>640594.85</v>
      </c>
      <c r="N18" s="55">
        <f t="shared" si="2"/>
        <v>1592594.85</v>
      </c>
    </row>
    <row r="19" spans="1:14" ht="15.75">
      <c r="A19" s="48">
        <f>outline!B9</f>
        <v>1</v>
      </c>
      <c r="B19" s="48">
        <f>outline!C9</f>
        <v>2</v>
      </c>
      <c r="C19" s="48">
        <f>outline!D9</f>
        <v>0</v>
      </c>
      <c r="D19" s="48" t="str">
        <f>outline!E9</f>
        <v>IR separation dipoles</v>
      </c>
      <c r="E19" s="49">
        <v>99</v>
      </c>
      <c r="F19" s="50"/>
      <c r="G19" s="49"/>
      <c r="H19" s="51"/>
      <c r="I19" s="52">
        <f t="shared" si="0"/>
      </c>
      <c r="J19" s="50"/>
      <c r="K19" s="53"/>
      <c r="L19" s="54"/>
      <c r="M19" s="54">
        <f t="shared" si="1"/>
      </c>
      <c r="N19" s="55">
        <f t="shared" si="2"/>
        <v>0</v>
      </c>
    </row>
    <row r="20" spans="1:14" ht="15.75">
      <c r="A20" s="48">
        <f>outline!B10</f>
        <v>1</v>
      </c>
      <c r="B20" s="48">
        <f>outline!C10</f>
        <v>3</v>
      </c>
      <c r="C20" s="48">
        <f>outline!D10</f>
        <v>0</v>
      </c>
      <c r="D20" s="48" t="str">
        <f>outline!E10</f>
        <v> Outer triplet 2 gradient quads</v>
      </c>
      <c r="E20" s="49">
        <v>99</v>
      </c>
      <c r="F20" s="50"/>
      <c r="G20" s="49"/>
      <c r="H20" s="51"/>
      <c r="I20" s="52">
        <f t="shared" si="0"/>
      </c>
      <c r="J20" s="50"/>
      <c r="K20" s="53"/>
      <c r="L20" s="54"/>
      <c r="M20" s="54">
        <f t="shared" si="1"/>
      </c>
      <c r="N20" s="55">
        <f t="shared" si="2"/>
        <v>0</v>
      </c>
    </row>
    <row r="21" spans="1:14" ht="15.75">
      <c r="A21" s="48">
        <f>outline!B11</f>
        <v>1</v>
      </c>
      <c r="B21" s="48">
        <f>outline!C11</f>
        <v>4</v>
      </c>
      <c r="C21" s="48">
        <f>outline!D11</f>
        <v>0</v>
      </c>
      <c r="D21" s="48" t="str">
        <f>outline!E11</f>
        <v> Orbit correctors</v>
      </c>
      <c r="E21" s="49">
        <v>99</v>
      </c>
      <c r="F21" s="50"/>
      <c r="G21" s="49"/>
      <c r="H21" s="51"/>
      <c r="I21" s="52">
        <f t="shared" si="0"/>
      </c>
      <c r="J21" s="50"/>
      <c r="K21" s="53"/>
      <c r="L21" s="54"/>
      <c r="M21" s="54">
        <f t="shared" si="1"/>
      </c>
      <c r="N21" s="55">
        <f t="shared" si="2"/>
        <v>0</v>
      </c>
    </row>
    <row r="22" spans="1:14" ht="15.75">
      <c r="A22" s="48">
        <f>outline!B12</f>
        <v>0</v>
      </c>
      <c r="B22" s="48">
        <f>outline!C12</f>
        <v>0</v>
      </c>
      <c r="C22" s="48">
        <f>outline!D12</f>
        <v>0</v>
      </c>
      <c r="D22" s="48">
        <f>outline!E12</f>
        <v>0</v>
      </c>
      <c r="E22" s="49"/>
      <c r="F22" s="50"/>
      <c r="G22" s="49"/>
      <c r="H22" s="51"/>
      <c r="I22" s="52">
        <f t="shared" si="0"/>
      </c>
      <c r="J22" s="50"/>
      <c r="K22" s="53"/>
      <c r="L22" s="54"/>
      <c r="M22" s="54">
        <f t="shared" si="1"/>
      </c>
      <c r="N22" s="55">
        <f t="shared" si="2"/>
        <v>0</v>
      </c>
    </row>
    <row r="23" spans="1:14" ht="15.75">
      <c r="A23" s="48">
        <f>outline!B13</f>
        <v>2</v>
      </c>
      <c r="B23" s="48">
        <f>outline!C13</f>
        <v>0</v>
      </c>
      <c r="C23" s="48">
        <f>outline!D13</f>
        <v>0</v>
      </c>
      <c r="D23" s="48" t="str">
        <f>outline!E13</f>
        <v>Inner Triplet Feedbox</v>
      </c>
      <c r="E23" s="49">
        <v>1</v>
      </c>
      <c r="F23" s="50"/>
      <c r="G23" s="49"/>
      <c r="H23" s="51"/>
      <c r="I23" s="52">
        <f t="shared" si="0"/>
      </c>
      <c r="J23" s="50"/>
      <c r="K23" s="53"/>
      <c r="L23" s="54"/>
      <c r="M23" s="54">
        <f t="shared" si="1"/>
      </c>
      <c r="N23" s="55">
        <f t="shared" si="2"/>
        <v>0</v>
      </c>
    </row>
    <row r="24" spans="1:14" ht="15.75">
      <c r="A24" s="48">
        <f>outline!B14</f>
        <v>2</v>
      </c>
      <c r="B24" s="48">
        <f>outline!C14</f>
        <v>1</v>
      </c>
      <c r="C24" s="48">
        <f>outline!D14</f>
        <v>0</v>
      </c>
      <c r="D24" s="48" t="str">
        <f>outline!E14</f>
        <v>In house design</v>
      </c>
      <c r="E24" s="49"/>
      <c r="F24" s="50" t="s">
        <v>175</v>
      </c>
      <c r="G24" s="49">
        <v>1</v>
      </c>
      <c r="H24" s="51">
        <v>500000</v>
      </c>
      <c r="I24" s="52">
        <f t="shared" si="0"/>
        <v>500000</v>
      </c>
      <c r="J24" s="50"/>
      <c r="K24" s="53"/>
      <c r="L24" s="54"/>
      <c r="M24" s="54">
        <f t="shared" si="1"/>
      </c>
      <c r="N24" s="55">
        <f t="shared" si="2"/>
        <v>500000</v>
      </c>
    </row>
    <row r="25" spans="1:14" ht="15.75">
      <c r="A25" s="48">
        <f>outline!B15</f>
        <v>2</v>
      </c>
      <c r="B25" s="48">
        <f>outline!C15</f>
        <v>2</v>
      </c>
      <c r="C25" s="48">
        <f>outline!D15</f>
        <v>0</v>
      </c>
      <c r="D25" s="48" t="str">
        <f>outline!E15</f>
        <v>Construction</v>
      </c>
      <c r="E25" s="49"/>
      <c r="F25" s="50" t="s">
        <v>176</v>
      </c>
      <c r="G25" s="49">
        <v>4</v>
      </c>
      <c r="H25" s="51">
        <v>349000</v>
      </c>
      <c r="I25" s="52">
        <f t="shared" si="0"/>
        <v>1396000</v>
      </c>
      <c r="J25" s="50"/>
      <c r="K25" s="53">
        <v>3.5</v>
      </c>
      <c r="L25" s="54">
        <f>34.73*1750</f>
        <v>60777.49999999999</v>
      </c>
      <c r="M25" s="54">
        <f t="shared" si="1"/>
        <v>850884.9999999999</v>
      </c>
      <c r="N25" s="55">
        <f t="shared" si="2"/>
        <v>2246885</v>
      </c>
    </row>
    <row r="26" spans="1:14" ht="15.75">
      <c r="A26" s="48">
        <f>outline!B16</f>
        <v>2</v>
      </c>
      <c r="B26" s="48">
        <f>outline!C16</f>
        <v>3</v>
      </c>
      <c r="C26" s="48">
        <f>outline!D16</f>
        <v>0</v>
      </c>
      <c r="D26" s="48" t="str">
        <f>outline!E16</f>
        <v>Power Leads</v>
      </c>
      <c r="E26" s="49"/>
      <c r="F26" s="50" t="s">
        <v>105</v>
      </c>
      <c r="G26" s="49">
        <v>5</v>
      </c>
      <c r="H26" s="51">
        <v>80000</v>
      </c>
      <c r="I26" s="52">
        <f t="shared" si="0"/>
        <v>400000</v>
      </c>
      <c r="J26" s="50"/>
      <c r="K26" s="53"/>
      <c r="L26" s="54"/>
      <c r="M26" s="54">
        <f t="shared" si="1"/>
      </c>
      <c r="N26" s="55">
        <f t="shared" si="2"/>
        <v>400000</v>
      </c>
    </row>
    <row r="27" spans="1:14" ht="15.75">
      <c r="A27" s="48">
        <f>outline!B17</f>
        <v>0</v>
      </c>
      <c r="B27" s="48">
        <f>outline!C17</f>
        <v>0</v>
      </c>
      <c r="C27" s="48">
        <f>outline!D17</f>
        <v>0</v>
      </c>
      <c r="D27" s="48">
        <f>outline!E17</f>
        <v>0</v>
      </c>
      <c r="E27" s="49"/>
      <c r="F27" s="50"/>
      <c r="G27" s="49"/>
      <c r="H27" s="51"/>
      <c r="I27" s="52">
        <f t="shared" si="0"/>
      </c>
      <c r="J27" s="50"/>
      <c r="K27" s="53"/>
      <c r="L27" s="54"/>
      <c r="M27" s="54">
        <f t="shared" si="1"/>
      </c>
      <c r="N27" s="55">
        <f t="shared" si="2"/>
        <v>0</v>
      </c>
    </row>
    <row r="28" spans="1:14" ht="15.75">
      <c r="A28" s="48">
        <f>outline!B18</f>
        <v>3</v>
      </c>
      <c r="B28" s="48">
        <f>outline!C18</f>
        <v>0</v>
      </c>
      <c r="C28" s="48">
        <f>outline!D18</f>
        <v>0</v>
      </c>
      <c r="D28" s="48" t="str">
        <f>outline!E18</f>
        <v>IR Power Supply</v>
      </c>
      <c r="E28" s="49">
        <v>5</v>
      </c>
      <c r="F28" s="50"/>
      <c r="G28" s="49"/>
      <c r="H28" s="51"/>
      <c r="I28" s="52">
        <f t="shared" si="0"/>
      </c>
      <c r="J28" s="50"/>
      <c r="K28" s="53"/>
      <c r="L28" s="54"/>
      <c r="M28" s="54">
        <f t="shared" si="1"/>
      </c>
      <c r="N28" s="55">
        <f t="shared" si="2"/>
        <v>0</v>
      </c>
    </row>
    <row r="29" spans="1:14" ht="15.75">
      <c r="A29" s="48">
        <f>outline!B19</f>
        <v>3</v>
      </c>
      <c r="B29" s="48">
        <f>outline!C19</f>
        <v>1</v>
      </c>
      <c r="C29" s="48">
        <f>outline!D19</f>
        <v>0</v>
      </c>
      <c r="D29" s="48" t="str">
        <f>outline!E19</f>
        <v>Power Supply LBQ</v>
      </c>
      <c r="E29" s="49"/>
      <c r="F29" s="50" t="s">
        <v>177</v>
      </c>
      <c r="G29" s="49">
        <v>4</v>
      </c>
      <c r="H29" s="51">
        <v>250000</v>
      </c>
      <c r="I29" s="52">
        <f t="shared" si="0"/>
        <v>1000000</v>
      </c>
      <c r="J29" s="50"/>
      <c r="K29" s="53">
        <f>2/12</f>
        <v>0.16666666666666666</v>
      </c>
      <c r="L29" s="54">
        <f>34.73*1750</f>
        <v>60777.49999999999</v>
      </c>
      <c r="M29" s="54">
        <f t="shared" si="1"/>
        <v>40518.33333333333</v>
      </c>
      <c r="N29" s="55">
        <f t="shared" si="2"/>
        <v>1040518.3333333334</v>
      </c>
    </row>
    <row r="30" spans="1:14" ht="15.75">
      <c r="A30" s="48">
        <f>outline!B20</f>
        <v>3</v>
      </c>
      <c r="B30" s="48">
        <f>outline!C20</f>
        <v>2</v>
      </c>
      <c r="C30" s="48">
        <f>outline!D20</f>
        <v>0</v>
      </c>
      <c r="D30" s="48" t="str">
        <f>outline!E20</f>
        <v>Power Supply Conventional</v>
      </c>
      <c r="E30" s="49"/>
      <c r="F30" s="50" t="s">
        <v>178</v>
      </c>
      <c r="G30" s="49">
        <v>12</v>
      </c>
      <c r="H30" s="51">
        <v>100000</v>
      </c>
      <c r="I30" s="52">
        <f t="shared" si="0"/>
        <v>1200000</v>
      </c>
      <c r="J30" s="50"/>
      <c r="K30" s="53">
        <v>0.2</v>
      </c>
      <c r="L30" s="54">
        <f>34.73*1750</f>
        <v>60777.49999999999</v>
      </c>
      <c r="M30" s="54">
        <f t="shared" si="1"/>
        <v>145866</v>
      </c>
      <c r="N30" s="55">
        <f t="shared" si="2"/>
        <v>1345866</v>
      </c>
    </row>
    <row r="31" spans="1:14" ht="15.75">
      <c r="A31" s="48">
        <f>outline!B21</f>
        <v>3</v>
      </c>
      <c r="B31" s="48">
        <f>outline!C21</f>
        <v>3</v>
      </c>
      <c r="C31" s="48">
        <f>outline!D21</f>
        <v>0</v>
      </c>
      <c r="D31" s="48" t="str">
        <f>outline!E21</f>
        <v>Power Supply Corrector</v>
      </c>
      <c r="E31" s="49"/>
      <c r="F31" s="50" t="s">
        <v>179</v>
      </c>
      <c r="G31" s="49">
        <v>20</v>
      </c>
      <c r="H31" s="51">
        <v>10000</v>
      </c>
      <c r="I31" s="52">
        <f t="shared" si="0"/>
        <v>200000</v>
      </c>
      <c r="J31" s="50"/>
      <c r="K31" s="111">
        <f>2/12/10</f>
        <v>0.016666666666666666</v>
      </c>
      <c r="L31" s="54">
        <f>34.73*1750</f>
        <v>60777.49999999999</v>
      </c>
      <c r="M31" s="54">
        <f t="shared" si="1"/>
        <v>20259.166666666664</v>
      </c>
      <c r="N31" s="55">
        <f t="shared" si="2"/>
        <v>220259.16666666666</v>
      </c>
    </row>
    <row r="32" spans="1:14" ht="15.75">
      <c r="A32" s="48">
        <f>outline!B22</f>
        <v>3</v>
      </c>
      <c r="B32" s="48">
        <f>outline!C22</f>
        <v>4</v>
      </c>
      <c r="C32" s="48">
        <f>outline!D22</f>
        <v>0</v>
      </c>
      <c r="D32" s="48" t="str">
        <f>outline!E22</f>
        <v>Power Infrastucture</v>
      </c>
      <c r="E32" s="49"/>
      <c r="F32" s="50"/>
      <c r="G32" s="49"/>
      <c r="H32" s="51"/>
      <c r="I32" s="52">
        <f t="shared" si="0"/>
      </c>
      <c r="J32" s="50"/>
      <c r="K32" s="53"/>
      <c r="L32" s="54"/>
      <c r="M32" s="54">
        <f t="shared" si="1"/>
      </c>
      <c r="N32" s="55">
        <f t="shared" si="2"/>
        <v>0</v>
      </c>
    </row>
    <row r="33" spans="1:14" ht="15.75">
      <c r="A33" s="48">
        <f>outline!B23</f>
        <v>3</v>
      </c>
      <c r="B33" s="48">
        <f>outline!C23</f>
        <v>4</v>
      </c>
      <c r="C33" s="48">
        <f>outline!D23</f>
        <v>0</v>
      </c>
      <c r="D33" s="48" t="str">
        <f>outline!E23</f>
        <v>Installation</v>
      </c>
      <c r="E33" s="49"/>
      <c r="F33" s="50"/>
      <c r="G33" s="49"/>
      <c r="H33" s="51"/>
      <c r="I33" s="52">
        <f t="shared" si="0"/>
      </c>
      <c r="J33" s="50"/>
      <c r="K33" s="53"/>
      <c r="L33" s="54"/>
      <c r="M33" s="54">
        <f t="shared" si="1"/>
      </c>
      <c r="N33" s="55">
        <f t="shared" si="2"/>
        <v>0</v>
      </c>
    </row>
    <row r="34" spans="1:14" ht="15.75">
      <c r="A34" s="48">
        <f>outline!B24</f>
        <v>3</v>
      </c>
      <c r="B34" s="48">
        <f>outline!C24</f>
        <v>5</v>
      </c>
      <c r="C34" s="48">
        <f>outline!D24</f>
        <v>0</v>
      </c>
      <c r="D34" s="48" t="str">
        <f>outline!E24</f>
        <v>Cabling</v>
      </c>
      <c r="E34" s="49"/>
      <c r="F34" s="50" t="s">
        <v>106</v>
      </c>
      <c r="G34" s="49">
        <v>1000</v>
      </c>
      <c r="H34" s="51">
        <v>10</v>
      </c>
      <c r="I34" s="52">
        <f t="shared" si="0"/>
        <v>10000</v>
      </c>
      <c r="J34" s="50"/>
      <c r="K34" s="53"/>
      <c r="L34" s="54"/>
      <c r="M34" s="54">
        <f t="shared" si="1"/>
      </c>
      <c r="N34" s="55">
        <f t="shared" si="2"/>
        <v>10000</v>
      </c>
    </row>
    <row r="35" spans="1:14" ht="15.75">
      <c r="A35" s="48">
        <f>outline!B25</f>
        <v>0</v>
      </c>
      <c r="B35" s="48">
        <f>outline!C25</f>
        <v>0</v>
      </c>
      <c r="C35" s="48">
        <f>outline!D25</f>
        <v>0</v>
      </c>
      <c r="D35" s="48">
        <f>outline!E25</f>
        <v>0</v>
      </c>
      <c r="E35" s="49"/>
      <c r="F35" s="50"/>
      <c r="G35" s="49"/>
      <c r="H35" s="51"/>
      <c r="I35" s="52">
        <f t="shared" si="0"/>
      </c>
      <c r="J35" s="50"/>
      <c r="K35" s="53"/>
      <c r="L35" s="54"/>
      <c r="M35" s="54">
        <f t="shared" si="1"/>
      </c>
      <c r="N35" s="55">
        <f t="shared" si="2"/>
        <v>0</v>
      </c>
    </row>
    <row r="36" spans="1:14" ht="15.75">
      <c r="A36" s="48">
        <f>outline!B26</f>
        <v>4</v>
      </c>
      <c r="B36" s="48">
        <f>outline!C26</f>
        <v>0</v>
      </c>
      <c r="C36" s="48">
        <f>outline!D26</f>
        <v>0</v>
      </c>
      <c r="D36" s="48" t="str">
        <f>outline!E26</f>
        <v>Quench Protection</v>
      </c>
      <c r="E36" s="49">
        <v>6</v>
      </c>
      <c r="F36" s="50"/>
      <c r="G36" s="49"/>
      <c r="H36" s="51"/>
      <c r="I36" s="52">
        <f t="shared" si="0"/>
      </c>
      <c r="J36" s="50"/>
      <c r="K36" s="53"/>
      <c r="L36" s="54"/>
      <c r="M36" s="54">
        <f t="shared" si="1"/>
      </c>
      <c r="N36" s="55">
        <f t="shared" si="2"/>
        <v>0</v>
      </c>
    </row>
    <row r="37" spans="1:14" ht="15.75">
      <c r="A37" s="48">
        <f>outline!B27</f>
        <v>4</v>
      </c>
      <c r="B37" s="48">
        <f>outline!C27</f>
        <v>1</v>
      </c>
      <c r="C37" s="48">
        <f>outline!D27</f>
        <v>0</v>
      </c>
      <c r="D37" s="48" t="str">
        <f>outline!E27</f>
        <v>Heater Firing Units</v>
      </c>
      <c r="E37" s="49"/>
      <c r="F37" s="50"/>
      <c r="G37" s="49">
        <v>128</v>
      </c>
      <c r="H37" s="51">
        <v>5000</v>
      </c>
      <c r="I37" s="52">
        <f t="shared" si="0"/>
        <v>640000</v>
      </c>
      <c r="J37" s="50"/>
      <c r="K37" s="111">
        <f>4/365</f>
        <v>0.010958904109589041</v>
      </c>
      <c r="L37" s="54">
        <f>34.73*1750</f>
        <v>60777.49999999999</v>
      </c>
      <c r="M37" s="54">
        <f t="shared" si="1"/>
        <v>85255.01369863012</v>
      </c>
      <c r="N37" s="55">
        <f t="shared" si="2"/>
        <v>725255.0136986302</v>
      </c>
    </row>
    <row r="38" spans="1:14" ht="15.75">
      <c r="A38" s="48">
        <f>outline!B28</f>
        <v>4</v>
      </c>
      <c r="B38" s="48">
        <f>outline!C28</f>
        <v>2</v>
      </c>
      <c r="C38" s="48">
        <f>outline!D28</f>
        <v>0</v>
      </c>
      <c r="D38" s="48" t="str">
        <f>outline!E28</f>
        <v>Cabling and Installation</v>
      </c>
      <c r="E38" s="49"/>
      <c r="F38" s="50" t="s">
        <v>106</v>
      </c>
      <c r="G38" s="49">
        <v>1000</v>
      </c>
      <c r="H38" s="51">
        <v>10</v>
      </c>
      <c r="I38" s="52">
        <f t="shared" si="0"/>
        <v>10000</v>
      </c>
      <c r="J38" s="50"/>
      <c r="K38" s="53"/>
      <c r="L38" s="54"/>
      <c r="M38" s="54">
        <f t="shared" si="1"/>
      </c>
      <c r="N38" s="55">
        <f t="shared" si="2"/>
        <v>10000</v>
      </c>
    </row>
    <row r="39" spans="1:14" ht="15.75">
      <c r="A39" s="48">
        <f>outline!B29</f>
        <v>0</v>
      </c>
      <c r="B39" s="48">
        <f>outline!C29</f>
        <v>0</v>
      </c>
      <c r="C39" s="48">
        <f>outline!D29</f>
        <v>0</v>
      </c>
      <c r="D39" s="48">
        <f>outline!E29</f>
        <v>0</v>
      </c>
      <c r="E39" s="49"/>
      <c r="F39" s="50"/>
      <c r="G39" s="49"/>
      <c r="H39" s="51"/>
      <c r="I39" s="52">
        <f t="shared" si="0"/>
      </c>
      <c r="J39" s="50"/>
      <c r="K39" s="53"/>
      <c r="L39" s="54"/>
      <c r="M39" s="54">
        <f t="shared" si="1"/>
      </c>
      <c r="N39" s="55">
        <f t="shared" si="2"/>
        <v>0</v>
      </c>
    </row>
    <row r="40" spans="1:14" ht="15.75">
      <c r="A40" s="48">
        <f>outline!B30</f>
        <v>5</v>
      </c>
      <c r="B40" s="48">
        <f>outline!C30</f>
        <v>0</v>
      </c>
      <c r="C40" s="48">
        <f>outline!D30</f>
        <v>0</v>
      </c>
      <c r="D40" s="48" t="str">
        <f>outline!E30</f>
        <v>Cryognics</v>
      </c>
      <c r="E40" s="49">
        <v>7</v>
      </c>
      <c r="F40" s="50"/>
      <c r="G40" s="49"/>
      <c r="H40" s="51"/>
      <c r="I40" s="52">
        <f t="shared" si="0"/>
      </c>
      <c r="J40" s="50"/>
      <c r="K40" s="53"/>
      <c r="L40" s="54"/>
      <c r="M40" s="54">
        <f t="shared" si="1"/>
      </c>
      <c r="N40" s="55">
        <f t="shared" si="2"/>
        <v>0</v>
      </c>
    </row>
    <row r="41" spans="1:14" ht="15.75">
      <c r="A41" s="48">
        <f>outline!B31</f>
        <v>5</v>
      </c>
      <c r="B41" s="48">
        <f>outline!C31</f>
        <v>1</v>
      </c>
      <c r="C41" s="48">
        <f>outline!D31</f>
        <v>0</v>
      </c>
      <c r="D41" s="48" t="str">
        <f>outline!E31</f>
        <v>Transfer line to Refrigerator</v>
      </c>
      <c r="E41" s="49"/>
      <c r="F41" s="50" t="s">
        <v>134</v>
      </c>
      <c r="G41" s="49">
        <v>2</v>
      </c>
      <c r="H41" s="51">
        <v>37000</v>
      </c>
      <c r="I41" s="52">
        <f t="shared" si="0"/>
        <v>74000</v>
      </c>
      <c r="J41" s="50"/>
      <c r="K41" s="53"/>
      <c r="L41" s="54"/>
      <c r="M41" s="54">
        <f t="shared" si="1"/>
      </c>
      <c r="N41" s="55">
        <f t="shared" si="2"/>
        <v>74000</v>
      </c>
    </row>
    <row r="42" spans="1:14" ht="15.75">
      <c r="A42" s="48">
        <f>outline!B32</f>
        <v>0</v>
      </c>
      <c r="B42" s="48">
        <f>outline!C32</f>
        <v>0</v>
      </c>
      <c r="C42" s="48">
        <f>outline!D32</f>
        <v>0</v>
      </c>
      <c r="D42" s="48">
        <f>outline!E32</f>
        <v>0</v>
      </c>
      <c r="E42" s="49"/>
      <c r="F42" s="50"/>
      <c r="G42" s="49"/>
      <c r="H42" s="51"/>
      <c r="I42" s="52">
        <f t="shared" si="0"/>
      </c>
      <c r="J42" s="50"/>
      <c r="K42" s="53"/>
      <c r="L42" s="54"/>
      <c r="M42" s="54">
        <f t="shared" si="1"/>
      </c>
      <c r="N42" s="55">
        <f t="shared" si="2"/>
        <v>0</v>
      </c>
    </row>
    <row r="43" spans="1:14" ht="15.75">
      <c r="A43" s="48">
        <f>outline!B33</f>
        <v>6</v>
      </c>
      <c r="B43" s="48">
        <f>outline!C33</f>
        <v>0</v>
      </c>
      <c r="C43" s="48">
        <f>outline!D33</f>
        <v>0</v>
      </c>
      <c r="D43" s="48" t="str">
        <f>outline!E33</f>
        <v>IR Absorbers</v>
      </c>
      <c r="E43" s="49">
        <v>1</v>
      </c>
      <c r="F43" s="50"/>
      <c r="G43" s="49"/>
      <c r="H43" s="51"/>
      <c r="I43" s="52">
        <f t="shared" si="0"/>
      </c>
      <c r="J43" s="50"/>
      <c r="K43" s="53"/>
      <c r="L43" s="54"/>
      <c r="M43" s="54">
        <f t="shared" si="1"/>
      </c>
      <c r="N43" s="55">
        <f t="shared" si="2"/>
        <v>0</v>
      </c>
    </row>
    <row r="44" spans="1:14" ht="15.75">
      <c r="A44" s="48">
        <f>outline!B34</f>
        <v>6</v>
      </c>
      <c r="B44" s="48">
        <f>outline!C34</f>
        <v>1</v>
      </c>
      <c r="C44" s="48">
        <f>outline!D34</f>
        <v>0</v>
      </c>
      <c r="D44" s="48" t="str">
        <f>outline!E34</f>
        <v>TAS</v>
      </c>
      <c r="E44" s="49"/>
      <c r="F44" s="50"/>
      <c r="G44" s="49">
        <v>4</v>
      </c>
      <c r="H44" s="51">
        <v>92000</v>
      </c>
      <c r="I44" s="52">
        <f t="shared" si="0"/>
        <v>368000</v>
      </c>
      <c r="J44" s="50"/>
      <c r="K44" s="53">
        <v>1.78</v>
      </c>
      <c r="L44" s="54">
        <f>34.73*1750</f>
        <v>60777.49999999999</v>
      </c>
      <c r="M44" s="54">
        <f t="shared" si="1"/>
        <v>432735.79999999993</v>
      </c>
      <c r="N44" s="55">
        <f t="shared" si="2"/>
        <v>800735.7999999999</v>
      </c>
    </row>
    <row r="45" spans="1:14" ht="15.75">
      <c r="A45" s="48">
        <f>outline!B35</f>
        <v>6</v>
      </c>
      <c r="B45" s="48">
        <f>outline!C35</f>
        <v>2</v>
      </c>
      <c r="C45" s="48">
        <f>outline!D35</f>
        <v>0</v>
      </c>
      <c r="D45" s="48" t="str">
        <f>outline!E35</f>
        <v>TAN</v>
      </c>
      <c r="E45" s="49"/>
      <c r="F45" s="50"/>
      <c r="G45" s="49">
        <v>4</v>
      </c>
      <c r="H45" s="51">
        <v>125000</v>
      </c>
      <c r="I45" s="52">
        <f t="shared" si="0"/>
        <v>500000</v>
      </c>
      <c r="J45" s="50"/>
      <c r="K45" s="53">
        <v>3.49</v>
      </c>
      <c r="L45" s="54">
        <f>34.73*1750</f>
        <v>60777.49999999999</v>
      </c>
      <c r="M45" s="54">
        <f t="shared" si="1"/>
        <v>848453.8999999999</v>
      </c>
      <c r="N45" s="55">
        <f t="shared" si="2"/>
        <v>1348453.9</v>
      </c>
    </row>
    <row r="46" spans="1:14" ht="15.75">
      <c r="A46" s="48">
        <f>outline!B36</f>
        <v>0</v>
      </c>
      <c r="B46" s="48">
        <f>outline!C36</f>
        <v>0</v>
      </c>
      <c r="C46" s="48">
        <f>outline!D36</f>
        <v>0</v>
      </c>
      <c r="D46" s="48">
        <f>outline!E36</f>
        <v>0</v>
      </c>
      <c r="E46" s="49"/>
      <c r="F46" s="50"/>
      <c r="G46" s="49"/>
      <c r="H46" s="51"/>
      <c r="I46" s="52">
        <f t="shared" si="0"/>
      </c>
      <c r="J46" s="50"/>
      <c r="K46" s="53"/>
      <c r="L46" s="54"/>
      <c r="M46" s="54">
        <f t="shared" si="1"/>
      </c>
      <c r="N46" s="55">
        <f t="shared" si="2"/>
        <v>0</v>
      </c>
    </row>
    <row r="47" spans="1:14" ht="15.75">
      <c r="A47" s="48">
        <f>outline!B37</f>
        <v>7</v>
      </c>
      <c r="B47" s="48">
        <f>outline!C37</f>
        <v>0</v>
      </c>
      <c r="C47" s="48">
        <f>outline!D37</f>
        <v>0</v>
      </c>
      <c r="D47" s="48" t="str">
        <f>outline!E37</f>
        <v>LCW</v>
      </c>
      <c r="E47" s="49">
        <v>8</v>
      </c>
      <c r="F47" s="50" t="s">
        <v>108</v>
      </c>
      <c r="G47" s="49"/>
      <c r="H47" s="51"/>
      <c r="I47" s="52">
        <f t="shared" si="0"/>
      </c>
      <c r="J47" s="50"/>
      <c r="K47" s="53"/>
      <c r="L47" s="54"/>
      <c r="M47" s="54">
        <f t="shared" si="1"/>
      </c>
      <c r="N47" s="55">
        <f t="shared" si="2"/>
        <v>0</v>
      </c>
    </row>
    <row r="48" spans="1:14" ht="15.75">
      <c r="A48" s="48">
        <f>outline!B38</f>
        <v>7</v>
      </c>
      <c r="B48" s="48">
        <f>outline!C38</f>
        <v>1</v>
      </c>
      <c r="C48" s="48">
        <f>outline!D38</f>
        <v>0</v>
      </c>
      <c r="D48" s="48" t="str">
        <f>outline!E38</f>
        <v>System for PS and TAN/TAS</v>
      </c>
      <c r="E48" s="49"/>
      <c r="F48" s="50" t="s">
        <v>108</v>
      </c>
      <c r="G48" s="49">
        <v>4</v>
      </c>
      <c r="H48" s="51">
        <v>50000</v>
      </c>
      <c r="I48" s="52">
        <f t="shared" si="0"/>
        <v>200000</v>
      </c>
      <c r="J48" s="50"/>
      <c r="K48" s="53">
        <v>1</v>
      </c>
      <c r="L48" s="54">
        <f>34.73*1750</f>
        <v>60777.49999999999</v>
      </c>
      <c r="M48" s="54">
        <f t="shared" si="1"/>
        <v>243109.99999999997</v>
      </c>
      <c r="N48" s="55">
        <f t="shared" si="2"/>
        <v>443110</v>
      </c>
    </row>
    <row r="49" spans="1:14" ht="15.75">
      <c r="A49" s="48">
        <f>outline!B39</f>
        <v>7</v>
      </c>
      <c r="B49" s="48">
        <f>outline!C39</f>
        <v>2</v>
      </c>
      <c r="C49" s="48">
        <f>outline!D39</f>
        <v>0</v>
      </c>
      <c r="D49" s="48" t="str">
        <f>outline!E39</f>
        <v>Piping</v>
      </c>
      <c r="E49" s="49">
        <v>99</v>
      </c>
      <c r="F49" s="50" t="s">
        <v>134</v>
      </c>
      <c r="G49" s="49"/>
      <c r="H49" s="51"/>
      <c r="I49" s="52">
        <f t="shared" si="0"/>
      </c>
      <c r="J49" s="50"/>
      <c r="K49" s="53"/>
      <c r="L49" s="54"/>
      <c r="M49" s="54">
        <f t="shared" si="1"/>
      </c>
      <c r="N49" s="55">
        <f t="shared" si="2"/>
        <v>0</v>
      </c>
    </row>
    <row r="50" spans="1:14" ht="15.75">
      <c r="A50" s="48">
        <f>outline!B40</f>
        <v>0</v>
      </c>
      <c r="B50" s="48">
        <f>outline!C40</f>
        <v>0</v>
      </c>
      <c r="C50" s="48">
        <f>outline!D40</f>
        <v>0</v>
      </c>
      <c r="D50" s="48">
        <f>outline!E40</f>
        <v>0</v>
      </c>
      <c r="E50" s="49"/>
      <c r="F50" s="50"/>
      <c r="G50" s="49"/>
      <c r="H50" s="51"/>
      <c r="I50" s="52">
        <f t="shared" si="0"/>
      </c>
      <c r="J50" s="50"/>
      <c r="K50" s="53"/>
      <c r="L50" s="54"/>
      <c r="M50" s="54">
        <f t="shared" si="1"/>
      </c>
      <c r="N50" s="55">
        <f t="shared" si="2"/>
        <v>0</v>
      </c>
    </row>
    <row r="51" spans="1:14" ht="15.75">
      <c r="A51" s="48">
        <f>outline!B41</f>
        <v>0</v>
      </c>
      <c r="B51" s="48">
        <f>outline!C41</f>
        <v>0</v>
      </c>
      <c r="C51" s="48">
        <f>outline!D41</f>
        <v>0</v>
      </c>
      <c r="D51" s="48">
        <f>outline!E41</f>
        <v>0</v>
      </c>
      <c r="E51" s="49"/>
      <c r="F51" s="50"/>
      <c r="G51" s="49"/>
      <c r="H51" s="51"/>
      <c r="I51" s="52">
        <f t="shared" si="0"/>
      </c>
      <c r="J51" s="50"/>
      <c r="K51" s="53"/>
      <c r="L51" s="54"/>
      <c r="M51" s="54">
        <f t="shared" si="1"/>
      </c>
      <c r="N51" s="55">
        <f t="shared" si="2"/>
        <v>0</v>
      </c>
    </row>
    <row r="52" spans="1:14" ht="15.75">
      <c r="A52" s="48">
        <f>outline!B42</f>
        <v>0</v>
      </c>
      <c r="B52" s="48">
        <f>outline!C42</f>
        <v>0</v>
      </c>
      <c r="C52" s="48">
        <f>outline!D42</f>
        <v>0</v>
      </c>
      <c r="D52" s="48">
        <f>outline!E42</f>
        <v>0</v>
      </c>
      <c r="E52" s="49"/>
      <c r="F52" s="50"/>
      <c r="G52" s="49"/>
      <c r="H52" s="51"/>
      <c r="I52" s="52">
        <f t="shared" si="0"/>
      </c>
      <c r="J52" s="50"/>
      <c r="K52" s="53"/>
      <c r="L52" s="54"/>
      <c r="M52" s="54">
        <f t="shared" si="1"/>
      </c>
      <c r="N52" s="55">
        <f t="shared" si="2"/>
        <v>0</v>
      </c>
    </row>
    <row r="53" spans="1:14" ht="15.75">
      <c r="A53" s="48">
        <f>outline!B43</f>
        <v>0</v>
      </c>
      <c r="B53" s="48">
        <f>outline!C43</f>
        <v>0</v>
      </c>
      <c r="C53" s="48">
        <f>outline!D43</f>
        <v>0</v>
      </c>
      <c r="D53" s="48">
        <f>outline!E43</f>
        <v>0</v>
      </c>
      <c r="E53" s="49"/>
      <c r="F53" s="50"/>
      <c r="G53" s="49"/>
      <c r="H53" s="51"/>
      <c r="I53" s="52">
        <f t="shared" si="0"/>
      </c>
      <c r="J53" s="50"/>
      <c r="K53" s="53"/>
      <c r="L53" s="54"/>
      <c r="M53" s="54">
        <f t="shared" si="1"/>
      </c>
      <c r="N53" s="55">
        <f t="shared" si="2"/>
        <v>0</v>
      </c>
    </row>
    <row r="54" spans="1:14" ht="15.75">
      <c r="A54" s="48">
        <f>outline!B44</f>
        <v>0</v>
      </c>
      <c r="B54" s="48">
        <f>outline!C44</f>
        <v>0</v>
      </c>
      <c r="C54" s="48">
        <f>outline!D44</f>
        <v>0</v>
      </c>
      <c r="D54" s="48">
        <f>outline!E44</f>
        <v>0</v>
      </c>
      <c r="E54" s="49"/>
      <c r="F54" s="50"/>
      <c r="G54" s="49"/>
      <c r="H54" s="51"/>
      <c r="I54" s="52">
        <f t="shared" si="0"/>
      </c>
      <c r="J54" s="50"/>
      <c r="K54" s="53"/>
      <c r="L54" s="54"/>
      <c r="M54" s="54">
        <f t="shared" si="1"/>
      </c>
      <c r="N54" s="55">
        <f t="shared" si="2"/>
        <v>0</v>
      </c>
    </row>
    <row r="55" spans="1:14" ht="15.75">
      <c r="A55" s="48">
        <f>outline!B45</f>
        <v>0</v>
      </c>
      <c r="B55" s="48">
        <f>outline!C45</f>
        <v>0</v>
      </c>
      <c r="C55" s="48">
        <f>outline!D45</f>
        <v>0</v>
      </c>
      <c r="D55" s="48">
        <f>outline!E45</f>
        <v>0</v>
      </c>
      <c r="E55" s="49"/>
      <c r="F55" s="50"/>
      <c r="G55" s="49"/>
      <c r="H55" s="51"/>
      <c r="I55" s="52"/>
      <c r="J55" s="50"/>
      <c r="K55" s="53"/>
      <c r="L55" s="54"/>
      <c r="M55" s="54">
        <f t="shared" si="1"/>
      </c>
      <c r="N55" s="55">
        <f t="shared" si="2"/>
        <v>0</v>
      </c>
    </row>
    <row r="56" spans="1:14" ht="15.75">
      <c r="A56" s="48">
        <f>outline!B46</f>
        <v>0</v>
      </c>
      <c r="B56" s="48">
        <f>outline!C46</f>
        <v>0</v>
      </c>
      <c r="C56" s="48">
        <f>outline!D46</f>
        <v>0</v>
      </c>
      <c r="D56" s="48">
        <f>outline!E46</f>
        <v>0</v>
      </c>
      <c r="E56" s="49"/>
      <c r="F56" s="50"/>
      <c r="G56" s="49"/>
      <c r="H56" s="51"/>
      <c r="I56" s="52"/>
      <c r="J56" s="50"/>
      <c r="K56" s="53"/>
      <c r="L56" s="54"/>
      <c r="M56" s="54">
        <f t="shared" si="1"/>
      </c>
      <c r="N56" s="55">
        <f t="shared" si="2"/>
        <v>0</v>
      </c>
    </row>
    <row r="57" spans="1:14" ht="15.75">
      <c r="A57" s="48">
        <f>outline!B47</f>
        <v>0</v>
      </c>
      <c r="B57" s="48">
        <f>outline!C47</f>
        <v>0</v>
      </c>
      <c r="C57" s="48">
        <f>outline!D47</f>
        <v>0</v>
      </c>
      <c r="D57" s="48">
        <f>outline!E47</f>
        <v>0</v>
      </c>
      <c r="E57" s="49"/>
      <c r="F57" s="50"/>
      <c r="G57" s="49"/>
      <c r="H57" s="51"/>
      <c r="I57" s="52"/>
      <c r="J57" s="50"/>
      <c r="K57" s="53"/>
      <c r="L57" s="54"/>
      <c r="M57" s="54">
        <f t="shared" si="1"/>
      </c>
      <c r="N57" s="55">
        <f t="shared" si="2"/>
        <v>0</v>
      </c>
    </row>
    <row r="58" spans="1:14" ht="15.75">
      <c r="A58" s="48">
        <f>outline!B48</f>
        <v>0</v>
      </c>
      <c r="B58" s="48">
        <f>outline!C48</f>
        <v>0</v>
      </c>
      <c r="C58" s="48">
        <f>outline!D48</f>
        <v>0</v>
      </c>
      <c r="D58" s="48">
        <f>outline!E48</f>
        <v>0</v>
      </c>
      <c r="E58" s="49"/>
      <c r="F58" s="50"/>
      <c r="G58" s="49"/>
      <c r="H58" s="51"/>
      <c r="I58" s="52">
        <f>IF(H58="","",G58*H58)</f>
      </c>
      <c r="J58" s="50"/>
      <c r="K58" s="53"/>
      <c r="L58" s="54"/>
      <c r="M58" s="54">
        <f t="shared" si="1"/>
      </c>
      <c r="N58" s="55">
        <f t="shared" si="2"/>
        <v>0</v>
      </c>
    </row>
    <row r="59" spans="1:14" ht="15.75">
      <c r="A59" s="48">
        <f>outline!B49</f>
        <v>0</v>
      </c>
      <c r="B59" s="48">
        <f>outline!C49</f>
        <v>0</v>
      </c>
      <c r="C59" s="48">
        <f>outline!D49</f>
        <v>0</v>
      </c>
      <c r="D59" s="48">
        <f>outline!E49</f>
        <v>0</v>
      </c>
      <c r="E59" s="49"/>
      <c r="F59" s="50"/>
      <c r="G59" s="49"/>
      <c r="H59" s="51"/>
      <c r="I59" s="52">
        <f>IF(H59="","",G59*H59)</f>
      </c>
      <c r="J59" s="50"/>
      <c r="K59" s="53"/>
      <c r="L59" s="54"/>
      <c r="M59" s="54">
        <f t="shared" si="1"/>
      </c>
      <c r="N59" s="55">
        <f t="shared" si="2"/>
        <v>0</v>
      </c>
    </row>
    <row r="60" spans="1:14" ht="15.75">
      <c r="A60" s="56"/>
      <c r="B60" s="56"/>
      <c r="C60" s="56"/>
      <c r="D60" s="56"/>
      <c r="E60" s="56"/>
      <c r="F60" s="56"/>
      <c r="G60" s="15"/>
      <c r="H60" s="57"/>
      <c r="I60" s="56"/>
      <c r="J60" s="15"/>
      <c r="K60" s="15"/>
      <c r="L60" s="58"/>
      <c r="M60" s="57"/>
      <c r="N60" s="56"/>
    </row>
    <row r="61" spans="1:14" ht="15.75">
      <c r="A61" s="59" t="s">
        <v>24</v>
      </c>
      <c r="B61" s="60"/>
      <c r="C61" s="60"/>
      <c r="D61" s="60"/>
      <c r="E61" s="60"/>
      <c r="F61" s="60"/>
      <c r="G61" s="60"/>
      <c r="H61" s="61"/>
      <c r="I61" s="60"/>
      <c r="J61" s="60"/>
      <c r="K61" s="60"/>
      <c r="L61" s="60"/>
      <c r="M61" s="60"/>
      <c r="N61" s="62"/>
    </row>
    <row r="62" spans="1:14" ht="15.75">
      <c r="A62" s="63"/>
      <c r="B62" s="64"/>
      <c r="C62" s="64">
        <v>1</v>
      </c>
      <c r="D62" s="64" t="s">
        <v>184</v>
      </c>
      <c r="E62" s="64"/>
      <c r="F62" s="64"/>
      <c r="G62" s="64"/>
      <c r="H62" s="56"/>
      <c r="I62" s="64"/>
      <c r="J62" s="64"/>
      <c r="K62" s="64"/>
      <c r="L62" s="64"/>
      <c r="M62" s="64"/>
      <c r="N62" s="65"/>
    </row>
    <row r="63" spans="1:14" ht="15.75">
      <c r="A63" s="63"/>
      <c r="B63" s="64"/>
      <c r="C63" s="64">
        <v>2</v>
      </c>
      <c r="D63" s="64" t="s">
        <v>185</v>
      </c>
      <c r="E63" s="64"/>
      <c r="F63" s="64"/>
      <c r="G63" s="64"/>
      <c r="H63" s="56"/>
      <c r="I63" s="64"/>
      <c r="J63" s="64"/>
      <c r="K63" s="64"/>
      <c r="L63" s="64"/>
      <c r="M63" s="64"/>
      <c r="N63" s="65"/>
    </row>
    <row r="64" spans="1:14" ht="15.75">
      <c r="A64" s="63"/>
      <c r="B64" s="64"/>
      <c r="C64" s="64">
        <v>3</v>
      </c>
      <c r="D64" s="64" t="s">
        <v>187</v>
      </c>
      <c r="E64" s="64"/>
      <c r="F64" s="64"/>
      <c r="G64" s="64"/>
      <c r="H64" s="56"/>
      <c r="I64" s="64"/>
      <c r="J64" s="64"/>
      <c r="K64" s="64"/>
      <c r="L64" s="64"/>
      <c r="M64" s="64"/>
      <c r="N64" s="65"/>
    </row>
    <row r="65" spans="1:14" ht="15.75">
      <c r="A65" s="63"/>
      <c r="B65" s="64"/>
      <c r="C65" s="64">
        <v>4</v>
      </c>
      <c r="D65" s="64" t="s">
        <v>188</v>
      </c>
      <c r="E65" s="64"/>
      <c r="F65" s="64"/>
      <c r="G65" s="64"/>
      <c r="H65" s="56"/>
      <c r="I65" s="64"/>
      <c r="J65" s="64"/>
      <c r="K65" s="64"/>
      <c r="L65" s="64"/>
      <c r="M65" s="64"/>
      <c r="N65" s="65"/>
    </row>
    <row r="66" spans="1:14" ht="15.75">
      <c r="A66" s="63"/>
      <c r="B66" s="64"/>
      <c r="C66" s="64">
        <v>5</v>
      </c>
      <c r="D66" s="64" t="s">
        <v>189</v>
      </c>
      <c r="E66" s="64"/>
      <c r="F66" s="64"/>
      <c r="G66" s="64"/>
      <c r="H66" s="56"/>
      <c r="I66" s="64"/>
      <c r="J66" s="64"/>
      <c r="K66" s="64"/>
      <c r="L66" s="64"/>
      <c r="M66" s="64"/>
      <c r="N66" s="65"/>
    </row>
    <row r="67" spans="1:14" ht="15.75">
      <c r="A67" s="63"/>
      <c r="B67" s="64"/>
      <c r="C67" s="64">
        <v>6</v>
      </c>
      <c r="D67" s="64" t="s">
        <v>190</v>
      </c>
      <c r="E67" s="64"/>
      <c r="F67" s="64"/>
      <c r="G67" s="64"/>
      <c r="H67" s="56"/>
      <c r="I67" s="64"/>
      <c r="J67" s="64"/>
      <c r="K67" s="64"/>
      <c r="L67" s="64"/>
      <c r="M67" s="64"/>
      <c r="N67" s="65"/>
    </row>
    <row r="68" spans="1:14" ht="15.75">
      <c r="A68" s="63"/>
      <c r="B68" s="64"/>
      <c r="C68" s="64">
        <v>7</v>
      </c>
      <c r="D68" s="64" t="s">
        <v>191</v>
      </c>
      <c r="E68" s="64"/>
      <c r="F68" s="64"/>
      <c r="G68" s="64"/>
      <c r="H68" s="56"/>
      <c r="I68" s="64"/>
      <c r="J68" s="64"/>
      <c r="K68" s="64"/>
      <c r="L68" s="64"/>
      <c r="M68" s="64"/>
      <c r="N68" s="65"/>
    </row>
    <row r="69" spans="1:14" ht="15.75">
      <c r="A69" s="66"/>
      <c r="B69" s="13"/>
      <c r="C69" s="56">
        <v>8</v>
      </c>
      <c r="D69" s="64" t="s">
        <v>192</v>
      </c>
      <c r="E69" s="64"/>
      <c r="F69" s="67"/>
      <c r="G69" s="64"/>
      <c r="H69" s="56"/>
      <c r="I69" s="64"/>
      <c r="J69" s="64"/>
      <c r="K69" s="64"/>
      <c r="L69" s="64"/>
      <c r="M69" s="64"/>
      <c r="N69" s="65"/>
    </row>
    <row r="70" spans="1:14" ht="15.75">
      <c r="A70" s="68"/>
      <c r="B70" s="69"/>
      <c r="C70" s="69">
        <v>99</v>
      </c>
      <c r="D70" s="69" t="s">
        <v>193</v>
      </c>
      <c r="E70" s="69"/>
      <c r="F70" s="69"/>
      <c r="G70" s="69"/>
      <c r="H70" s="11"/>
      <c r="I70" s="69"/>
      <c r="J70" s="69"/>
      <c r="K70" s="69"/>
      <c r="L70" s="69"/>
      <c r="M70" s="69"/>
      <c r="N70" s="70"/>
    </row>
  </sheetData>
  <mergeCells count="1">
    <mergeCell ref="F8:I8"/>
  </mergeCells>
  <printOptions/>
  <pageMargins left="0.66" right="0.37" top="0.86" bottom="0.62" header="0.5" footer="0.41"/>
  <pageSetup fitToWidth="3" fitToHeight="1" horizontalDpi="600" verticalDpi="600" orientation="landscape" scale="47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2">
      <selection activeCell="G6" sqref="G6"/>
    </sheetView>
  </sheetViews>
  <sheetFormatPr defaultColWidth="9.140625" defaultRowHeight="12.75"/>
  <sheetData>
    <row r="1" ht="12.75">
      <c r="A1" t="s">
        <v>194</v>
      </c>
    </row>
    <row r="3" ht="12.75">
      <c r="A3" t="s">
        <v>50</v>
      </c>
    </row>
    <row r="5" ht="12.75">
      <c r="A5" t="s">
        <v>51</v>
      </c>
    </row>
    <row r="7" ht="12.75">
      <c r="A7" t="s">
        <v>52</v>
      </c>
    </row>
    <row r="8" ht="12.75">
      <c r="A8" t="s">
        <v>53</v>
      </c>
    </row>
    <row r="10" spans="1:3" ht="12.75">
      <c r="A10" t="s">
        <v>54</v>
      </c>
      <c r="B10">
        <v>0.01</v>
      </c>
      <c r="C10" t="s">
        <v>55</v>
      </c>
    </row>
    <row r="11" ht="12.75">
      <c r="B11">
        <f>B10*60/3.6</f>
        <v>0.16666666666666666</v>
      </c>
    </row>
    <row r="13" ht="12.75">
      <c r="A13" t="s">
        <v>182</v>
      </c>
    </row>
    <row r="15" ht="12.75">
      <c r="A15" t="s">
        <v>183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75" zoomScaleNormal="75" workbookViewId="0" topLeftCell="E1">
      <selection activeCell="M7" sqref="M7"/>
    </sheetView>
  </sheetViews>
  <sheetFormatPr defaultColWidth="9.140625" defaultRowHeight="12.75"/>
  <cols>
    <col min="1" max="3" width="3.8515625" style="0" customWidth="1"/>
    <col min="4" max="4" width="40.7109375" style="0" customWidth="1"/>
    <col min="5" max="5" width="7.7109375" style="0" customWidth="1"/>
    <col min="6" max="14" width="14.7109375" style="0" customWidth="1"/>
  </cols>
  <sheetData>
    <row r="1" spans="1:14" ht="16.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6.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6.5" thickTop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0" t="s">
        <v>1</v>
      </c>
      <c r="B5" s="10"/>
      <c r="C5" s="10"/>
      <c r="D5" s="71" t="s">
        <v>109</v>
      </c>
      <c r="E5" s="10"/>
      <c r="F5" s="10"/>
      <c r="G5" s="10"/>
      <c r="H5" s="10"/>
      <c r="I5" s="10"/>
      <c r="J5" s="10"/>
      <c r="K5" s="10" t="s">
        <v>2</v>
      </c>
      <c r="L5" s="10"/>
      <c r="M5" s="11" t="s">
        <v>69</v>
      </c>
      <c r="N5" s="12"/>
    </row>
    <row r="6" spans="1:14" ht="15.75">
      <c r="A6" s="10"/>
      <c r="B6" s="10"/>
      <c r="C6" s="10"/>
      <c r="D6" s="10"/>
      <c r="E6" s="10"/>
      <c r="F6" s="10"/>
      <c r="G6" s="10"/>
      <c r="H6" s="10"/>
      <c r="I6" s="14"/>
      <c r="J6" s="15"/>
      <c r="K6" s="10" t="s">
        <v>3</v>
      </c>
      <c r="L6" s="10"/>
      <c r="M6" s="11" t="s">
        <v>201</v>
      </c>
      <c r="N6" s="12"/>
    </row>
    <row r="7" spans="1:14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>
      <c r="A8" s="16"/>
      <c r="B8" s="17"/>
      <c r="C8" s="17"/>
      <c r="D8" s="18"/>
      <c r="E8" s="19"/>
      <c r="F8" s="138" t="s">
        <v>4</v>
      </c>
      <c r="G8" s="139"/>
      <c r="H8" s="139"/>
      <c r="I8" s="140"/>
      <c r="J8" s="20" t="s">
        <v>5</v>
      </c>
      <c r="K8" s="21"/>
      <c r="L8" s="21"/>
      <c r="M8" s="22"/>
      <c r="N8" s="23"/>
    </row>
    <row r="9" spans="1:14" ht="15.75">
      <c r="A9" s="24"/>
      <c r="B9" s="25" t="s">
        <v>6</v>
      </c>
      <c r="C9" s="5"/>
      <c r="D9" s="26" t="s">
        <v>7</v>
      </c>
      <c r="E9" s="27"/>
      <c r="F9" s="28"/>
      <c r="G9" s="27" t="s">
        <v>8</v>
      </c>
      <c r="H9" s="26" t="s">
        <v>9</v>
      </c>
      <c r="I9" s="29" t="s">
        <v>10</v>
      </c>
      <c r="J9" s="30" t="s">
        <v>11</v>
      </c>
      <c r="K9" s="18" t="s">
        <v>12</v>
      </c>
      <c r="L9" s="18" t="s">
        <v>13</v>
      </c>
      <c r="M9" s="18" t="s">
        <v>10</v>
      </c>
      <c r="N9" s="31" t="s">
        <v>10</v>
      </c>
    </row>
    <row r="10" spans="1:14" ht="15.75">
      <c r="A10" s="32"/>
      <c r="B10" s="33"/>
      <c r="C10" s="33"/>
      <c r="D10" s="34"/>
      <c r="E10" s="35" t="s">
        <v>14</v>
      </c>
      <c r="F10" s="36" t="s">
        <v>15</v>
      </c>
      <c r="G10" s="35" t="s">
        <v>16</v>
      </c>
      <c r="H10" s="34" t="s">
        <v>17</v>
      </c>
      <c r="I10" s="37" t="s">
        <v>18</v>
      </c>
      <c r="J10" s="36" t="s">
        <v>19</v>
      </c>
      <c r="K10" s="34" t="s">
        <v>20</v>
      </c>
      <c r="L10" s="34" t="s">
        <v>21</v>
      </c>
      <c r="M10" s="34" t="s">
        <v>22</v>
      </c>
      <c r="N10" s="38"/>
    </row>
    <row r="11" spans="1:14" ht="16.5" thickBot="1">
      <c r="A11" s="39"/>
      <c r="B11" s="39"/>
      <c r="C11" s="39"/>
      <c r="D11" s="40" t="s">
        <v>23</v>
      </c>
      <c r="E11" s="41"/>
      <c r="F11" s="42"/>
      <c r="G11" s="41"/>
      <c r="H11" s="43"/>
      <c r="I11" s="44">
        <f>SUM(I12:I59)</f>
        <v>20278309.5168</v>
      </c>
      <c r="J11" s="45"/>
      <c r="K11" s="46"/>
      <c r="L11" s="43"/>
      <c r="M11" s="43">
        <f>SUM(M12:M59)</f>
        <v>5746071.36369863</v>
      </c>
      <c r="N11" s="47">
        <f>SUM(N12:N59)</f>
        <v>26024380.88049863</v>
      </c>
    </row>
    <row r="12" spans="1:14" ht="16.5" thickTop="1">
      <c r="A12" s="48">
        <f>outline!B2</f>
        <v>1</v>
      </c>
      <c r="B12" s="48">
        <f>outline!C2</f>
        <v>0</v>
      </c>
      <c r="C12" s="48">
        <f>outline!D2</f>
        <v>0</v>
      </c>
      <c r="D12" s="48" t="str">
        <f>outline!E2</f>
        <v>IR Magnet + Cryostat</v>
      </c>
      <c r="E12" s="49"/>
      <c r="F12" s="50"/>
      <c r="G12" s="49"/>
      <c r="H12" s="51"/>
      <c r="I12" s="52">
        <f aca="true" t="shared" si="0" ref="I12:I59">IF(H12="","",G12*H12)</f>
      </c>
      <c r="J12" s="50"/>
      <c r="K12" s="53"/>
      <c r="L12" s="54"/>
      <c r="M12" s="54">
        <f>IF(L12="","",L12*K12*G12)</f>
      </c>
      <c r="N12" s="55">
        <f aca="true" t="shared" si="1" ref="N12:N59">SUM(I12,M12)</f>
        <v>0</v>
      </c>
    </row>
    <row r="13" spans="1:14" ht="15.75">
      <c r="A13" s="48">
        <f>outline!B3</f>
        <v>1</v>
      </c>
      <c r="B13" s="48">
        <f>outline!C3</f>
        <v>1</v>
      </c>
      <c r="C13" s="48">
        <f>outline!D3</f>
        <v>0</v>
      </c>
      <c r="D13" s="48" t="str">
        <f>outline!E3</f>
        <v>Inner Triplet Quads</v>
      </c>
      <c r="E13" s="49"/>
      <c r="F13" s="50"/>
      <c r="G13" s="49"/>
      <c r="H13" s="51"/>
      <c r="I13" s="52">
        <f t="shared" si="0"/>
      </c>
      <c r="J13" s="50"/>
      <c r="K13" s="53"/>
      <c r="L13" s="54"/>
      <c r="M13" s="54">
        <f>IF(L13="","",L13*K13*G13)</f>
      </c>
      <c r="N13" s="55">
        <f t="shared" si="1"/>
        <v>0</v>
      </c>
    </row>
    <row r="14" spans="1:14" ht="15.75">
      <c r="A14" s="48">
        <f>outline!B4</f>
        <v>1</v>
      </c>
      <c r="B14" s="48">
        <f>outline!C4</f>
        <v>1</v>
      </c>
      <c r="C14" s="48">
        <f>outline!D4</f>
        <v>1</v>
      </c>
      <c r="D14" s="48" t="str">
        <f>outline!E4</f>
        <v>Magnet Parts</v>
      </c>
      <c r="E14" s="49">
        <v>1</v>
      </c>
      <c r="F14" s="50" t="s">
        <v>174</v>
      </c>
      <c r="G14" s="49">
        <v>17</v>
      </c>
      <c r="H14" s="51">
        <v>223600</v>
      </c>
      <c r="I14" s="52">
        <f t="shared" si="0"/>
        <v>3801200</v>
      </c>
      <c r="J14" s="50"/>
      <c r="K14" s="53">
        <v>1.67</v>
      </c>
      <c r="L14" s="54">
        <f>34.73*1750</f>
        <v>60777.49999999999</v>
      </c>
      <c r="M14" s="54">
        <f>IF(L14="","",L14*K14*G14)</f>
        <v>1725473.2249999999</v>
      </c>
      <c r="N14" s="55">
        <f t="shared" si="1"/>
        <v>5526673.225</v>
      </c>
    </row>
    <row r="15" spans="1:14" ht="15.75">
      <c r="A15" s="48">
        <f>outline!B5</f>
        <v>1</v>
      </c>
      <c r="B15" s="48">
        <f>outline!C5</f>
        <v>1</v>
      </c>
      <c r="C15" s="48">
        <f>outline!D5</f>
        <v>2</v>
      </c>
      <c r="D15" s="48" t="str">
        <f>outline!E5</f>
        <v>Conductor</v>
      </c>
      <c r="E15" s="49">
        <v>2</v>
      </c>
      <c r="F15" s="50" t="s">
        <v>103</v>
      </c>
      <c r="G15" s="110">
        <f>'IR Quads'!K54*17</f>
        <v>6555.136896000001</v>
      </c>
      <c r="H15" s="51">
        <v>800</v>
      </c>
      <c r="I15" s="52">
        <f t="shared" si="0"/>
        <v>5244109.5168</v>
      </c>
      <c r="J15" s="50"/>
      <c r="K15" s="53"/>
      <c r="L15" s="54"/>
      <c r="M15" s="54">
        <f aca="true" t="shared" si="2" ref="M15:M59">IF(L15="","",L15*K15*G15)</f>
      </c>
      <c r="N15" s="55">
        <f t="shared" si="1"/>
        <v>5244109.5168</v>
      </c>
    </row>
    <row r="16" spans="1:14" ht="15.75">
      <c r="A16" s="48">
        <f>outline!B6</f>
        <v>1</v>
      </c>
      <c r="B16" s="48">
        <f>outline!C6</f>
        <v>1</v>
      </c>
      <c r="C16" s="48">
        <f>outline!D6</f>
        <v>3</v>
      </c>
      <c r="D16" s="48" t="str">
        <f>outline!E6</f>
        <v>Heaters</v>
      </c>
      <c r="E16" s="49">
        <v>3</v>
      </c>
      <c r="F16" s="50" t="s">
        <v>90</v>
      </c>
      <c r="G16" s="49">
        <v>170</v>
      </c>
      <c r="H16" s="51">
        <v>10000</v>
      </c>
      <c r="I16" s="52">
        <f t="shared" si="0"/>
        <v>1700000</v>
      </c>
      <c r="J16" s="50"/>
      <c r="K16" s="53"/>
      <c r="L16" s="54"/>
      <c r="M16" s="54">
        <f t="shared" si="2"/>
      </c>
      <c r="N16" s="55">
        <f t="shared" si="1"/>
        <v>1700000</v>
      </c>
    </row>
    <row r="17" spans="1:14" ht="15.75">
      <c r="A17" s="48">
        <f>outline!B7</f>
        <v>1</v>
      </c>
      <c r="B17" s="48">
        <f>outline!C7</f>
        <v>1</v>
      </c>
      <c r="C17" s="48">
        <f>outline!D7</f>
        <v>4</v>
      </c>
      <c r="D17" s="48" t="str">
        <f>outline!E7</f>
        <v>Cryostat</v>
      </c>
      <c r="E17" s="49">
        <v>1</v>
      </c>
      <c r="F17" s="50" t="s">
        <v>173</v>
      </c>
      <c r="G17" s="49">
        <v>17</v>
      </c>
      <c r="H17" s="51">
        <v>99000</v>
      </c>
      <c r="I17" s="52">
        <f t="shared" si="0"/>
        <v>1683000</v>
      </c>
      <c r="J17" s="50"/>
      <c r="K17" s="53">
        <v>0.69</v>
      </c>
      <c r="L17" s="54">
        <f>34.73*1750</f>
        <v>60777.49999999999</v>
      </c>
      <c r="M17" s="54">
        <f t="shared" si="2"/>
        <v>712920.0749999998</v>
      </c>
      <c r="N17" s="55">
        <f t="shared" si="1"/>
        <v>2395920.0749999997</v>
      </c>
    </row>
    <row r="18" spans="1:14" ht="15.75">
      <c r="A18" s="48">
        <f>outline!B8</f>
        <v>1</v>
      </c>
      <c r="B18" s="48">
        <f>outline!C8</f>
        <v>1</v>
      </c>
      <c r="C18" s="48">
        <f>outline!D8</f>
        <v>5</v>
      </c>
      <c r="D18" s="48" t="str">
        <f>outline!E8</f>
        <v>Testing</v>
      </c>
      <c r="E18" s="49">
        <v>1</v>
      </c>
      <c r="F18" s="50" t="s">
        <v>173</v>
      </c>
      <c r="G18" s="49">
        <v>17</v>
      </c>
      <c r="H18" s="51">
        <v>56000</v>
      </c>
      <c r="I18" s="52">
        <f t="shared" si="0"/>
        <v>952000</v>
      </c>
      <c r="J18" s="50"/>
      <c r="K18" s="53">
        <v>0.62</v>
      </c>
      <c r="L18" s="54">
        <f>34.73*1750</f>
        <v>60777.49999999999</v>
      </c>
      <c r="M18" s="54">
        <f t="shared" si="2"/>
        <v>640594.85</v>
      </c>
      <c r="N18" s="55">
        <f t="shared" si="1"/>
        <v>1592594.85</v>
      </c>
    </row>
    <row r="19" spans="1:14" ht="15.75">
      <c r="A19" s="48">
        <f>outline!B9</f>
        <v>1</v>
      </c>
      <c r="B19" s="48">
        <f>outline!C9</f>
        <v>2</v>
      </c>
      <c r="C19" s="48">
        <f>outline!D9</f>
        <v>0</v>
      </c>
      <c r="D19" s="48" t="str">
        <f>outline!E9</f>
        <v>IR separation dipoles</v>
      </c>
      <c r="E19" s="49">
        <v>99</v>
      </c>
      <c r="F19" s="50"/>
      <c r="G19" s="49"/>
      <c r="H19" s="51"/>
      <c r="I19" s="52">
        <f t="shared" si="0"/>
      </c>
      <c r="J19" s="50"/>
      <c r="K19" s="53"/>
      <c r="L19" s="54"/>
      <c r="M19" s="54">
        <f t="shared" si="2"/>
      </c>
      <c r="N19" s="55">
        <f t="shared" si="1"/>
        <v>0</v>
      </c>
    </row>
    <row r="20" spans="1:14" ht="15.75">
      <c r="A20" s="48">
        <f>outline!B10</f>
        <v>1</v>
      </c>
      <c r="B20" s="48">
        <f>outline!C10</f>
        <v>3</v>
      </c>
      <c r="C20" s="48">
        <f>outline!D10</f>
        <v>0</v>
      </c>
      <c r="D20" s="48" t="str">
        <f>outline!E10</f>
        <v> Outer triplet 2 gradient quads</v>
      </c>
      <c r="E20" s="49">
        <v>99</v>
      </c>
      <c r="F20" s="50"/>
      <c r="G20" s="49"/>
      <c r="H20" s="51"/>
      <c r="I20" s="52">
        <f t="shared" si="0"/>
      </c>
      <c r="J20" s="50"/>
      <c r="K20" s="53"/>
      <c r="L20" s="54"/>
      <c r="M20" s="54">
        <f t="shared" si="2"/>
      </c>
      <c r="N20" s="55">
        <f t="shared" si="1"/>
        <v>0</v>
      </c>
    </row>
    <row r="21" spans="1:14" ht="15.75">
      <c r="A21" s="48">
        <f>outline!B11</f>
        <v>1</v>
      </c>
      <c r="B21" s="48">
        <f>outline!C11</f>
        <v>4</v>
      </c>
      <c r="C21" s="48">
        <f>outline!D11</f>
        <v>0</v>
      </c>
      <c r="D21" s="48" t="str">
        <f>outline!E11</f>
        <v> Orbit correctors</v>
      </c>
      <c r="E21" s="49">
        <v>99</v>
      </c>
      <c r="F21" s="50"/>
      <c r="G21" s="49"/>
      <c r="H21" s="51"/>
      <c r="I21" s="52">
        <f t="shared" si="0"/>
      </c>
      <c r="J21" s="50"/>
      <c r="K21" s="53"/>
      <c r="L21" s="54"/>
      <c r="M21" s="54">
        <f t="shared" si="2"/>
      </c>
      <c r="N21" s="55">
        <f t="shared" si="1"/>
        <v>0</v>
      </c>
    </row>
    <row r="22" spans="1:14" ht="15.75">
      <c r="A22" s="48">
        <f>outline!B12</f>
        <v>0</v>
      </c>
      <c r="B22" s="48">
        <f>outline!C12</f>
        <v>0</v>
      </c>
      <c r="C22" s="48">
        <f>outline!D12</f>
        <v>0</v>
      </c>
      <c r="D22" s="48">
        <f>outline!E12</f>
        <v>0</v>
      </c>
      <c r="E22" s="49"/>
      <c r="F22" s="50"/>
      <c r="G22" s="49"/>
      <c r="H22" s="51"/>
      <c r="I22" s="52">
        <f t="shared" si="0"/>
      </c>
      <c r="J22" s="50"/>
      <c r="K22" s="53"/>
      <c r="L22" s="54"/>
      <c r="M22" s="54">
        <f t="shared" si="2"/>
      </c>
      <c r="N22" s="55">
        <f t="shared" si="1"/>
        <v>0</v>
      </c>
    </row>
    <row r="23" spans="1:14" ht="15.75">
      <c r="A23" s="48">
        <f>outline!B13</f>
        <v>2</v>
      </c>
      <c r="B23" s="48">
        <f>outline!C13</f>
        <v>0</v>
      </c>
      <c r="C23" s="48">
        <f>outline!D13</f>
        <v>0</v>
      </c>
      <c r="D23" s="48" t="str">
        <f>outline!E13</f>
        <v>Inner Triplet Feedbox</v>
      </c>
      <c r="E23" s="49">
        <v>1</v>
      </c>
      <c r="F23" s="50"/>
      <c r="G23" s="49"/>
      <c r="H23" s="51"/>
      <c r="I23" s="52">
        <f t="shared" si="0"/>
      </c>
      <c r="J23" s="50"/>
      <c r="K23" s="53"/>
      <c r="L23" s="54"/>
      <c r="M23" s="54">
        <f t="shared" si="2"/>
      </c>
      <c r="N23" s="55">
        <f t="shared" si="1"/>
        <v>0</v>
      </c>
    </row>
    <row r="24" spans="1:14" ht="15.75">
      <c r="A24" s="48">
        <f>outline!B14</f>
        <v>2</v>
      </c>
      <c r="B24" s="48">
        <f>outline!C14</f>
        <v>1</v>
      </c>
      <c r="C24" s="48">
        <f>outline!D14</f>
        <v>0</v>
      </c>
      <c r="D24" s="48" t="str">
        <f>outline!E14</f>
        <v>In house design</v>
      </c>
      <c r="E24" s="49"/>
      <c r="F24" s="50" t="s">
        <v>175</v>
      </c>
      <c r="G24" s="49">
        <v>1</v>
      </c>
      <c r="H24" s="51">
        <v>500000</v>
      </c>
      <c r="I24" s="52">
        <f t="shared" si="0"/>
        <v>500000</v>
      </c>
      <c r="J24" s="50"/>
      <c r="K24" s="53"/>
      <c r="L24" s="54"/>
      <c r="M24" s="54">
        <f t="shared" si="2"/>
      </c>
      <c r="N24" s="55">
        <f t="shared" si="1"/>
        <v>500000</v>
      </c>
    </row>
    <row r="25" spans="1:14" ht="15.75">
      <c r="A25" s="48">
        <f>outline!B15</f>
        <v>2</v>
      </c>
      <c r="B25" s="48">
        <f>outline!C15</f>
        <v>2</v>
      </c>
      <c r="C25" s="48">
        <f>outline!D15</f>
        <v>0</v>
      </c>
      <c r="D25" s="48" t="str">
        <f>outline!E15</f>
        <v>Construction</v>
      </c>
      <c r="E25" s="49"/>
      <c r="F25" s="50" t="s">
        <v>176</v>
      </c>
      <c r="G25" s="49">
        <v>4</v>
      </c>
      <c r="H25" s="51">
        <v>349000</v>
      </c>
      <c r="I25" s="52">
        <f t="shared" si="0"/>
        <v>1396000</v>
      </c>
      <c r="J25" s="50"/>
      <c r="K25" s="53">
        <v>3.5</v>
      </c>
      <c r="L25" s="54">
        <f>34.73*1750</f>
        <v>60777.49999999999</v>
      </c>
      <c r="M25" s="54">
        <f t="shared" si="2"/>
        <v>850884.9999999999</v>
      </c>
      <c r="N25" s="55">
        <f t="shared" si="1"/>
        <v>2246885</v>
      </c>
    </row>
    <row r="26" spans="1:14" ht="15.75">
      <c r="A26" s="48">
        <f>outline!B16</f>
        <v>2</v>
      </c>
      <c r="B26" s="48">
        <f>outline!C16</f>
        <v>3</v>
      </c>
      <c r="C26" s="48">
        <f>outline!D16</f>
        <v>0</v>
      </c>
      <c r="D26" s="48" t="str">
        <f>outline!E16</f>
        <v>Power Leads</v>
      </c>
      <c r="E26" s="49"/>
      <c r="F26" s="50" t="s">
        <v>105</v>
      </c>
      <c r="G26" s="49">
        <v>5</v>
      </c>
      <c r="H26" s="51">
        <v>160000</v>
      </c>
      <c r="I26" s="52">
        <f t="shared" si="0"/>
        <v>800000</v>
      </c>
      <c r="J26" s="50"/>
      <c r="K26" s="53"/>
      <c r="L26" s="54"/>
      <c r="M26" s="54">
        <f t="shared" si="2"/>
      </c>
      <c r="N26" s="55">
        <f t="shared" si="1"/>
        <v>800000</v>
      </c>
    </row>
    <row r="27" spans="1:14" ht="15.75">
      <c r="A27" s="48">
        <f>outline!B17</f>
        <v>0</v>
      </c>
      <c r="B27" s="48">
        <f>outline!C17</f>
        <v>0</v>
      </c>
      <c r="C27" s="48">
        <f>outline!D17</f>
        <v>0</v>
      </c>
      <c r="D27" s="48">
        <f>outline!E17</f>
        <v>0</v>
      </c>
      <c r="E27" s="49"/>
      <c r="F27" s="50"/>
      <c r="G27" s="49"/>
      <c r="H27" s="51"/>
      <c r="I27" s="52">
        <f t="shared" si="0"/>
      </c>
      <c r="J27" s="50"/>
      <c r="K27" s="53"/>
      <c r="L27" s="54"/>
      <c r="M27" s="54">
        <f t="shared" si="2"/>
      </c>
      <c r="N27" s="55">
        <f t="shared" si="1"/>
        <v>0</v>
      </c>
    </row>
    <row r="28" spans="1:14" ht="15.75">
      <c r="A28" s="48">
        <f>outline!B18</f>
        <v>3</v>
      </c>
      <c r="B28" s="48">
        <f>outline!C18</f>
        <v>0</v>
      </c>
      <c r="C28" s="48">
        <f>outline!D18</f>
        <v>0</v>
      </c>
      <c r="D28" s="48" t="str">
        <f>outline!E18</f>
        <v>IR Power Supply</v>
      </c>
      <c r="E28" s="49">
        <v>5</v>
      </c>
      <c r="F28" s="50"/>
      <c r="G28" s="49"/>
      <c r="H28" s="51"/>
      <c r="I28" s="52">
        <f t="shared" si="0"/>
      </c>
      <c r="J28" s="50"/>
      <c r="K28" s="53"/>
      <c r="L28" s="54"/>
      <c r="M28" s="54">
        <f t="shared" si="2"/>
      </c>
      <c r="N28" s="55">
        <f t="shared" si="1"/>
        <v>0</v>
      </c>
    </row>
    <row r="29" spans="1:14" ht="15.75">
      <c r="A29" s="48">
        <f>outline!B19</f>
        <v>3</v>
      </c>
      <c r="B29" s="48">
        <f>outline!C19</f>
        <v>1</v>
      </c>
      <c r="C29" s="48">
        <f>outline!D19</f>
        <v>0</v>
      </c>
      <c r="D29" s="48" t="str">
        <f>outline!E19</f>
        <v>Power Supply LBQ</v>
      </c>
      <c r="E29" s="49"/>
      <c r="F29" s="50" t="s">
        <v>177</v>
      </c>
      <c r="G29" s="49">
        <v>4</v>
      </c>
      <c r="H29" s="51">
        <v>250000</v>
      </c>
      <c r="I29" s="52">
        <f t="shared" si="0"/>
        <v>1000000</v>
      </c>
      <c r="J29" s="50"/>
      <c r="K29" s="53">
        <f>2/12</f>
        <v>0.16666666666666666</v>
      </c>
      <c r="L29" s="54">
        <f>34.73*1750</f>
        <v>60777.49999999999</v>
      </c>
      <c r="M29" s="54">
        <f t="shared" si="2"/>
        <v>40518.33333333333</v>
      </c>
      <c r="N29" s="55">
        <f t="shared" si="1"/>
        <v>1040518.3333333334</v>
      </c>
    </row>
    <row r="30" spans="1:14" ht="15.75">
      <c r="A30" s="48">
        <f>outline!B20</f>
        <v>3</v>
      </c>
      <c r="B30" s="48">
        <f>outline!C20</f>
        <v>2</v>
      </c>
      <c r="C30" s="48">
        <f>outline!D20</f>
        <v>0</v>
      </c>
      <c r="D30" s="48" t="str">
        <f>outline!E20</f>
        <v>Power Supply Conventional</v>
      </c>
      <c r="E30" s="49"/>
      <c r="F30" s="50" t="s">
        <v>178</v>
      </c>
      <c r="G30" s="49">
        <v>12</v>
      </c>
      <c r="H30" s="51">
        <v>100000</v>
      </c>
      <c r="I30" s="52">
        <f t="shared" si="0"/>
        <v>1200000</v>
      </c>
      <c r="J30" s="50"/>
      <c r="K30" s="53">
        <v>0.2</v>
      </c>
      <c r="L30" s="54">
        <f>34.73*1750</f>
        <v>60777.49999999999</v>
      </c>
      <c r="M30" s="54">
        <f t="shared" si="2"/>
        <v>145866</v>
      </c>
      <c r="N30" s="55">
        <f t="shared" si="1"/>
        <v>1345866</v>
      </c>
    </row>
    <row r="31" spans="1:14" ht="15.75">
      <c r="A31" s="48">
        <f>outline!B21</f>
        <v>3</v>
      </c>
      <c r="B31" s="48">
        <f>outline!C21</f>
        <v>3</v>
      </c>
      <c r="C31" s="48">
        <f>outline!D21</f>
        <v>0</v>
      </c>
      <c r="D31" s="48" t="str">
        <f>outline!E21</f>
        <v>Power Supply Corrector</v>
      </c>
      <c r="E31" s="49"/>
      <c r="F31" s="50" t="s">
        <v>179</v>
      </c>
      <c r="G31" s="49">
        <v>20</v>
      </c>
      <c r="H31" s="51">
        <v>10000</v>
      </c>
      <c r="I31" s="52">
        <f t="shared" si="0"/>
        <v>200000</v>
      </c>
      <c r="J31" s="50"/>
      <c r="K31" s="111">
        <f>2/12/10</f>
        <v>0.016666666666666666</v>
      </c>
      <c r="L31" s="54">
        <f>34.73*1750</f>
        <v>60777.49999999999</v>
      </c>
      <c r="M31" s="54">
        <f t="shared" si="2"/>
        <v>20259.166666666664</v>
      </c>
      <c r="N31" s="55">
        <f t="shared" si="1"/>
        <v>220259.16666666666</v>
      </c>
    </row>
    <row r="32" spans="1:14" ht="15.75">
      <c r="A32" s="48">
        <f>outline!B22</f>
        <v>3</v>
      </c>
      <c r="B32" s="48">
        <f>outline!C22</f>
        <v>4</v>
      </c>
      <c r="C32" s="48">
        <f>outline!D22</f>
        <v>0</v>
      </c>
      <c r="D32" s="48" t="str">
        <f>outline!E22</f>
        <v>Power Infrastucture</v>
      </c>
      <c r="E32" s="49"/>
      <c r="F32" s="50"/>
      <c r="G32" s="49"/>
      <c r="H32" s="51"/>
      <c r="I32" s="52">
        <f t="shared" si="0"/>
      </c>
      <c r="J32" s="50"/>
      <c r="K32" s="53"/>
      <c r="L32" s="54"/>
      <c r="M32" s="54">
        <f t="shared" si="2"/>
      </c>
      <c r="N32" s="55">
        <f t="shared" si="1"/>
        <v>0</v>
      </c>
    </row>
    <row r="33" spans="1:14" ht="15.75">
      <c r="A33" s="48">
        <f>outline!B23</f>
        <v>3</v>
      </c>
      <c r="B33" s="48">
        <f>outline!C23</f>
        <v>4</v>
      </c>
      <c r="C33" s="48">
        <f>outline!D23</f>
        <v>0</v>
      </c>
      <c r="D33" s="48" t="str">
        <f>outline!E23</f>
        <v>Installation</v>
      </c>
      <c r="E33" s="49"/>
      <c r="F33" s="50"/>
      <c r="G33" s="49"/>
      <c r="H33" s="51"/>
      <c r="I33" s="52">
        <f t="shared" si="0"/>
      </c>
      <c r="J33" s="50"/>
      <c r="K33" s="53"/>
      <c r="L33" s="54"/>
      <c r="M33" s="54">
        <f t="shared" si="2"/>
      </c>
      <c r="N33" s="55">
        <f t="shared" si="1"/>
        <v>0</v>
      </c>
    </row>
    <row r="34" spans="1:14" ht="15.75">
      <c r="A34" s="48">
        <f>outline!B24</f>
        <v>3</v>
      </c>
      <c r="B34" s="48">
        <f>outline!C24</f>
        <v>5</v>
      </c>
      <c r="C34" s="48">
        <f>outline!D24</f>
        <v>0</v>
      </c>
      <c r="D34" s="48" t="str">
        <f>outline!E24</f>
        <v>Cabling</v>
      </c>
      <c r="E34" s="49"/>
      <c r="F34" s="50" t="s">
        <v>106</v>
      </c>
      <c r="G34" s="49">
        <v>1000</v>
      </c>
      <c r="H34" s="51">
        <v>10</v>
      </c>
      <c r="I34" s="52">
        <f t="shared" si="0"/>
        <v>10000</v>
      </c>
      <c r="J34" s="50"/>
      <c r="K34" s="53"/>
      <c r="L34" s="54"/>
      <c r="M34" s="54">
        <f t="shared" si="2"/>
      </c>
      <c r="N34" s="55">
        <f t="shared" si="1"/>
        <v>10000</v>
      </c>
    </row>
    <row r="35" spans="1:14" ht="15.75">
      <c r="A35" s="48">
        <f>outline!B25</f>
        <v>0</v>
      </c>
      <c r="B35" s="48">
        <f>outline!C25</f>
        <v>0</v>
      </c>
      <c r="C35" s="48">
        <f>outline!D25</f>
        <v>0</v>
      </c>
      <c r="D35" s="48">
        <f>outline!E25</f>
        <v>0</v>
      </c>
      <c r="E35" s="49"/>
      <c r="F35" s="50"/>
      <c r="G35" s="49"/>
      <c r="H35" s="51"/>
      <c r="I35" s="52">
        <f t="shared" si="0"/>
      </c>
      <c r="J35" s="50"/>
      <c r="K35" s="53"/>
      <c r="L35" s="54"/>
      <c r="M35" s="54">
        <f t="shared" si="2"/>
      </c>
      <c r="N35" s="55">
        <f t="shared" si="1"/>
        <v>0</v>
      </c>
    </row>
    <row r="36" spans="1:14" ht="15.75">
      <c r="A36" s="48">
        <f>outline!B26</f>
        <v>4</v>
      </c>
      <c r="B36" s="48">
        <f>outline!C26</f>
        <v>0</v>
      </c>
      <c r="C36" s="48">
        <f>outline!D26</f>
        <v>0</v>
      </c>
      <c r="D36" s="48" t="str">
        <f>outline!E26</f>
        <v>Quench Protection</v>
      </c>
      <c r="E36" s="49">
        <v>6</v>
      </c>
      <c r="F36" s="50"/>
      <c r="G36" s="49"/>
      <c r="H36" s="51"/>
      <c r="I36" s="52">
        <f t="shared" si="0"/>
      </c>
      <c r="J36" s="50"/>
      <c r="K36" s="53"/>
      <c r="L36" s="54"/>
      <c r="M36" s="54">
        <f t="shared" si="2"/>
      </c>
      <c r="N36" s="55">
        <f t="shared" si="1"/>
        <v>0</v>
      </c>
    </row>
    <row r="37" spans="1:14" ht="15.75">
      <c r="A37" s="48">
        <f>outline!B27</f>
        <v>4</v>
      </c>
      <c r="B37" s="48">
        <f>outline!C27</f>
        <v>1</v>
      </c>
      <c r="C37" s="48">
        <f>outline!D27</f>
        <v>0</v>
      </c>
      <c r="D37" s="48" t="str">
        <f>outline!E27</f>
        <v>Heater Firing Units</v>
      </c>
      <c r="E37" s="49"/>
      <c r="F37" s="50"/>
      <c r="G37" s="49">
        <v>128</v>
      </c>
      <c r="H37" s="51">
        <v>5000</v>
      </c>
      <c r="I37" s="52">
        <f t="shared" si="0"/>
        <v>640000</v>
      </c>
      <c r="J37" s="50"/>
      <c r="K37" s="111">
        <f>4/365</f>
        <v>0.010958904109589041</v>
      </c>
      <c r="L37" s="54">
        <f>34.73*1750</f>
        <v>60777.49999999999</v>
      </c>
      <c r="M37" s="54">
        <f t="shared" si="2"/>
        <v>85255.01369863012</v>
      </c>
      <c r="N37" s="55">
        <f t="shared" si="1"/>
        <v>725255.0136986302</v>
      </c>
    </row>
    <row r="38" spans="1:14" ht="15.75">
      <c r="A38" s="48">
        <f>outline!B28</f>
        <v>4</v>
      </c>
      <c r="B38" s="48">
        <f>outline!C28</f>
        <v>2</v>
      </c>
      <c r="C38" s="48">
        <f>outline!D28</f>
        <v>0</v>
      </c>
      <c r="D38" s="48" t="str">
        <f>outline!E28</f>
        <v>Cabling and Installation</v>
      </c>
      <c r="E38" s="49"/>
      <c r="F38" s="50" t="s">
        <v>106</v>
      </c>
      <c r="G38" s="49">
        <v>1000</v>
      </c>
      <c r="H38" s="51">
        <v>10</v>
      </c>
      <c r="I38" s="52">
        <f t="shared" si="0"/>
        <v>10000</v>
      </c>
      <c r="J38" s="50"/>
      <c r="K38" s="53"/>
      <c r="L38" s="54"/>
      <c r="M38" s="54">
        <f t="shared" si="2"/>
      </c>
      <c r="N38" s="55">
        <f t="shared" si="1"/>
        <v>10000</v>
      </c>
    </row>
    <row r="39" spans="1:14" ht="15.75">
      <c r="A39" s="48">
        <f>outline!B29</f>
        <v>0</v>
      </c>
      <c r="B39" s="48">
        <f>outline!C29</f>
        <v>0</v>
      </c>
      <c r="C39" s="48">
        <f>outline!D29</f>
        <v>0</v>
      </c>
      <c r="D39" s="48">
        <f>outline!E29</f>
        <v>0</v>
      </c>
      <c r="E39" s="49"/>
      <c r="F39" s="50"/>
      <c r="G39" s="49"/>
      <c r="H39" s="51"/>
      <c r="I39" s="52">
        <f t="shared" si="0"/>
      </c>
      <c r="J39" s="50"/>
      <c r="K39" s="53"/>
      <c r="L39" s="54"/>
      <c r="M39" s="54">
        <f t="shared" si="2"/>
      </c>
      <c r="N39" s="55">
        <f t="shared" si="1"/>
        <v>0</v>
      </c>
    </row>
    <row r="40" spans="1:14" ht="15.75">
      <c r="A40" s="48">
        <f>outline!B30</f>
        <v>5</v>
      </c>
      <c r="B40" s="48">
        <f>outline!C30</f>
        <v>0</v>
      </c>
      <c r="C40" s="48">
        <f>outline!D30</f>
        <v>0</v>
      </c>
      <c r="D40" s="48" t="str">
        <f>outline!E30</f>
        <v>Cryognics</v>
      </c>
      <c r="E40" s="49">
        <v>7</v>
      </c>
      <c r="F40" s="50"/>
      <c r="G40" s="49"/>
      <c r="H40" s="51"/>
      <c r="I40" s="52">
        <f t="shared" si="0"/>
      </c>
      <c r="J40" s="50"/>
      <c r="K40" s="53"/>
      <c r="L40" s="54"/>
      <c r="M40" s="54">
        <f t="shared" si="2"/>
      </c>
      <c r="N40" s="55">
        <f t="shared" si="1"/>
        <v>0</v>
      </c>
    </row>
    <row r="41" spans="1:14" ht="15.75">
      <c r="A41" s="48">
        <f>outline!B31</f>
        <v>5</v>
      </c>
      <c r="B41" s="48">
        <f>outline!C31</f>
        <v>1</v>
      </c>
      <c r="C41" s="48">
        <f>outline!D31</f>
        <v>0</v>
      </c>
      <c r="D41" s="48" t="str">
        <f>outline!E31</f>
        <v>Transfer line to Refrigerator</v>
      </c>
      <c r="E41" s="49"/>
      <c r="F41" s="50" t="s">
        <v>134</v>
      </c>
      <c r="G41" s="49">
        <v>2</v>
      </c>
      <c r="H41" s="51">
        <v>37000</v>
      </c>
      <c r="I41" s="52">
        <f t="shared" si="0"/>
        <v>74000</v>
      </c>
      <c r="J41" s="50"/>
      <c r="K41" s="53"/>
      <c r="L41" s="54"/>
      <c r="M41" s="54">
        <f t="shared" si="2"/>
      </c>
      <c r="N41" s="55">
        <f t="shared" si="1"/>
        <v>74000</v>
      </c>
    </row>
    <row r="42" spans="1:14" ht="15.75">
      <c r="A42" s="48">
        <f>outline!B32</f>
        <v>0</v>
      </c>
      <c r="B42" s="48">
        <f>outline!C32</f>
        <v>0</v>
      </c>
      <c r="C42" s="48">
        <f>outline!D32</f>
        <v>0</v>
      </c>
      <c r="D42" s="48">
        <f>outline!E32</f>
        <v>0</v>
      </c>
      <c r="E42" s="49"/>
      <c r="F42" s="50"/>
      <c r="G42" s="49"/>
      <c r="H42" s="51"/>
      <c r="I42" s="52">
        <f t="shared" si="0"/>
      </c>
      <c r="J42" s="50"/>
      <c r="K42" s="53"/>
      <c r="L42" s="54"/>
      <c r="M42" s="54">
        <f t="shared" si="2"/>
      </c>
      <c r="N42" s="55">
        <f t="shared" si="1"/>
        <v>0</v>
      </c>
    </row>
    <row r="43" spans="1:14" ht="15.75">
      <c r="A43" s="48">
        <f>outline!B33</f>
        <v>6</v>
      </c>
      <c r="B43" s="48">
        <f>outline!C33</f>
        <v>0</v>
      </c>
      <c r="C43" s="48">
        <f>outline!D33</f>
        <v>0</v>
      </c>
      <c r="D43" s="48" t="str">
        <f>outline!E33</f>
        <v>IR Absorbers</v>
      </c>
      <c r="E43" s="49">
        <v>1</v>
      </c>
      <c r="F43" s="50"/>
      <c r="G43" s="49"/>
      <c r="H43" s="51"/>
      <c r="I43" s="52">
        <f t="shared" si="0"/>
      </c>
      <c r="J43" s="50"/>
      <c r="K43" s="53"/>
      <c r="L43" s="54"/>
      <c r="M43" s="54">
        <f t="shared" si="2"/>
      </c>
      <c r="N43" s="55">
        <f t="shared" si="1"/>
        <v>0</v>
      </c>
    </row>
    <row r="44" spans="1:14" ht="15.75">
      <c r="A44" s="48">
        <f>outline!B34</f>
        <v>6</v>
      </c>
      <c r="B44" s="48">
        <f>outline!C34</f>
        <v>1</v>
      </c>
      <c r="C44" s="48">
        <f>outline!D34</f>
        <v>0</v>
      </c>
      <c r="D44" s="48" t="str">
        <f>outline!E34</f>
        <v>TAS</v>
      </c>
      <c r="E44" s="49"/>
      <c r="F44" s="50"/>
      <c r="G44" s="49">
        <v>4</v>
      </c>
      <c r="H44" s="51">
        <v>92000</v>
      </c>
      <c r="I44" s="52">
        <f t="shared" si="0"/>
        <v>368000</v>
      </c>
      <c r="J44" s="50"/>
      <c r="K44" s="53">
        <v>1.78</v>
      </c>
      <c r="L44" s="54">
        <f>34.73*1750</f>
        <v>60777.49999999999</v>
      </c>
      <c r="M44" s="54">
        <f t="shared" si="2"/>
        <v>432735.79999999993</v>
      </c>
      <c r="N44" s="55">
        <f t="shared" si="1"/>
        <v>800735.7999999999</v>
      </c>
    </row>
    <row r="45" spans="1:14" ht="15.75">
      <c r="A45" s="48">
        <f>outline!B35</f>
        <v>6</v>
      </c>
      <c r="B45" s="48">
        <f>outline!C35</f>
        <v>2</v>
      </c>
      <c r="C45" s="48">
        <f>outline!D35</f>
        <v>0</v>
      </c>
      <c r="D45" s="48" t="str">
        <f>outline!E35</f>
        <v>TAN</v>
      </c>
      <c r="E45" s="49"/>
      <c r="F45" s="50"/>
      <c r="G45" s="49">
        <v>4</v>
      </c>
      <c r="H45" s="51">
        <v>125000</v>
      </c>
      <c r="I45" s="52">
        <f t="shared" si="0"/>
        <v>500000</v>
      </c>
      <c r="J45" s="50"/>
      <c r="K45" s="53">
        <v>3.49</v>
      </c>
      <c r="L45" s="54">
        <f>34.73*1750</f>
        <v>60777.49999999999</v>
      </c>
      <c r="M45" s="54">
        <f t="shared" si="2"/>
        <v>848453.8999999999</v>
      </c>
      <c r="N45" s="55">
        <f t="shared" si="1"/>
        <v>1348453.9</v>
      </c>
    </row>
    <row r="46" spans="1:14" ht="15.75">
      <c r="A46" s="48">
        <f>outline!B36</f>
        <v>0</v>
      </c>
      <c r="B46" s="48">
        <f>outline!C36</f>
        <v>0</v>
      </c>
      <c r="C46" s="48">
        <f>outline!D36</f>
        <v>0</v>
      </c>
      <c r="D46" s="48">
        <f>outline!E36</f>
        <v>0</v>
      </c>
      <c r="E46" s="49"/>
      <c r="F46" s="50"/>
      <c r="G46" s="49"/>
      <c r="H46" s="51"/>
      <c r="I46" s="52">
        <f t="shared" si="0"/>
      </c>
      <c r="J46" s="50"/>
      <c r="K46" s="53"/>
      <c r="L46" s="54"/>
      <c r="M46" s="54">
        <f t="shared" si="2"/>
      </c>
      <c r="N46" s="55">
        <f t="shared" si="1"/>
        <v>0</v>
      </c>
    </row>
    <row r="47" spans="1:14" ht="15.75">
      <c r="A47" s="48">
        <f>outline!B37</f>
        <v>7</v>
      </c>
      <c r="B47" s="48">
        <f>outline!C37</f>
        <v>0</v>
      </c>
      <c r="C47" s="48">
        <f>outline!D37</f>
        <v>0</v>
      </c>
      <c r="D47" s="48" t="str">
        <f>outline!E37</f>
        <v>LCW</v>
      </c>
      <c r="E47" s="49">
        <v>8</v>
      </c>
      <c r="F47" s="50" t="s">
        <v>108</v>
      </c>
      <c r="G47" s="49"/>
      <c r="H47" s="51"/>
      <c r="I47" s="52">
        <f t="shared" si="0"/>
      </c>
      <c r="J47" s="50"/>
      <c r="K47" s="53"/>
      <c r="L47" s="54"/>
      <c r="M47" s="54">
        <f t="shared" si="2"/>
      </c>
      <c r="N47" s="55">
        <f t="shared" si="1"/>
        <v>0</v>
      </c>
    </row>
    <row r="48" spans="1:14" ht="15.75">
      <c r="A48" s="48">
        <f>outline!B38</f>
        <v>7</v>
      </c>
      <c r="B48" s="48">
        <f>outline!C38</f>
        <v>1</v>
      </c>
      <c r="C48" s="48">
        <f>outline!D38</f>
        <v>0</v>
      </c>
      <c r="D48" s="48" t="str">
        <f>outline!E38</f>
        <v>System for PS and TAN/TAS</v>
      </c>
      <c r="E48" s="49"/>
      <c r="F48" s="50" t="s">
        <v>108</v>
      </c>
      <c r="G48" s="49">
        <v>4</v>
      </c>
      <c r="H48" s="51">
        <v>50000</v>
      </c>
      <c r="I48" s="52">
        <f t="shared" si="0"/>
        <v>200000</v>
      </c>
      <c r="J48" s="50"/>
      <c r="K48" s="53">
        <v>1</v>
      </c>
      <c r="L48" s="54">
        <f>34.73*1750</f>
        <v>60777.49999999999</v>
      </c>
      <c r="M48" s="54">
        <f t="shared" si="2"/>
        <v>243109.99999999997</v>
      </c>
      <c r="N48" s="55">
        <f t="shared" si="1"/>
        <v>443110</v>
      </c>
    </row>
    <row r="49" spans="1:14" ht="15.75">
      <c r="A49" s="48">
        <f>outline!B39</f>
        <v>7</v>
      </c>
      <c r="B49" s="48">
        <f>outline!C39</f>
        <v>2</v>
      </c>
      <c r="C49" s="48">
        <f>outline!D39</f>
        <v>0</v>
      </c>
      <c r="D49" s="48" t="str">
        <f>outline!E39</f>
        <v>Piping</v>
      </c>
      <c r="E49" s="49">
        <v>99</v>
      </c>
      <c r="F49" s="50" t="s">
        <v>134</v>
      </c>
      <c r="G49" s="49"/>
      <c r="H49" s="51"/>
      <c r="I49" s="52">
        <f t="shared" si="0"/>
      </c>
      <c r="J49" s="50"/>
      <c r="K49" s="53"/>
      <c r="L49" s="54"/>
      <c r="M49" s="54">
        <f t="shared" si="2"/>
      </c>
      <c r="N49" s="55">
        <f t="shared" si="1"/>
        <v>0</v>
      </c>
    </row>
    <row r="50" spans="1:14" ht="15.75">
      <c r="A50" s="48">
        <f>outline!B40</f>
        <v>0</v>
      </c>
      <c r="B50" s="48">
        <f>outline!C40</f>
        <v>0</v>
      </c>
      <c r="C50" s="48">
        <f>outline!D40</f>
        <v>0</v>
      </c>
      <c r="D50" s="48">
        <f>outline!E40</f>
        <v>0</v>
      </c>
      <c r="E50" s="49"/>
      <c r="F50" s="50"/>
      <c r="G50" s="49"/>
      <c r="H50" s="51"/>
      <c r="I50" s="52">
        <f t="shared" si="0"/>
      </c>
      <c r="J50" s="50"/>
      <c r="K50" s="53"/>
      <c r="L50" s="54"/>
      <c r="M50" s="54">
        <f t="shared" si="2"/>
      </c>
      <c r="N50" s="55">
        <f t="shared" si="1"/>
        <v>0</v>
      </c>
    </row>
    <row r="51" spans="1:14" ht="15.75">
      <c r="A51" s="48">
        <f>outline!B41</f>
        <v>0</v>
      </c>
      <c r="B51" s="48">
        <f>outline!C41</f>
        <v>0</v>
      </c>
      <c r="C51" s="48">
        <f>outline!D41</f>
        <v>0</v>
      </c>
      <c r="D51" s="48">
        <f>outline!E41</f>
        <v>0</v>
      </c>
      <c r="E51" s="49"/>
      <c r="F51" s="50"/>
      <c r="G51" s="49"/>
      <c r="H51" s="51"/>
      <c r="I51" s="52">
        <f t="shared" si="0"/>
      </c>
      <c r="J51" s="50"/>
      <c r="K51" s="53"/>
      <c r="L51" s="54"/>
      <c r="M51" s="54">
        <f t="shared" si="2"/>
      </c>
      <c r="N51" s="55">
        <f t="shared" si="1"/>
        <v>0</v>
      </c>
    </row>
    <row r="52" spans="1:14" ht="15.75">
      <c r="A52" s="48">
        <f>outline!B42</f>
        <v>0</v>
      </c>
      <c r="B52" s="48">
        <f>outline!C42</f>
        <v>0</v>
      </c>
      <c r="C52" s="48">
        <f>outline!D42</f>
        <v>0</v>
      </c>
      <c r="D52" s="48">
        <f>outline!E42</f>
        <v>0</v>
      </c>
      <c r="E52" s="49"/>
      <c r="F52" s="50"/>
      <c r="G52" s="49"/>
      <c r="H52" s="51"/>
      <c r="I52" s="52">
        <f t="shared" si="0"/>
      </c>
      <c r="J52" s="50"/>
      <c r="K52" s="53"/>
      <c r="L52" s="54"/>
      <c r="M52" s="54">
        <f t="shared" si="2"/>
      </c>
      <c r="N52" s="55">
        <f t="shared" si="1"/>
        <v>0</v>
      </c>
    </row>
    <row r="53" spans="1:14" ht="15.75">
      <c r="A53" s="48">
        <f>outline!B43</f>
        <v>0</v>
      </c>
      <c r="B53" s="48">
        <f>outline!C43</f>
        <v>0</v>
      </c>
      <c r="C53" s="48">
        <f>outline!D43</f>
        <v>0</v>
      </c>
      <c r="D53" s="48">
        <f>outline!E43</f>
        <v>0</v>
      </c>
      <c r="E53" s="49"/>
      <c r="F53" s="50"/>
      <c r="G53" s="49"/>
      <c r="H53" s="51"/>
      <c r="I53" s="52">
        <f t="shared" si="0"/>
      </c>
      <c r="J53" s="50"/>
      <c r="K53" s="53"/>
      <c r="L53" s="54"/>
      <c r="M53" s="54">
        <f t="shared" si="2"/>
      </c>
      <c r="N53" s="55">
        <f t="shared" si="1"/>
        <v>0</v>
      </c>
    </row>
    <row r="54" spans="1:14" ht="15.75">
      <c r="A54" s="48">
        <f>outline!B44</f>
        <v>0</v>
      </c>
      <c r="B54" s="48">
        <f>outline!C44</f>
        <v>0</v>
      </c>
      <c r="C54" s="48">
        <f>outline!D44</f>
        <v>0</v>
      </c>
      <c r="D54" s="48">
        <f>outline!E44</f>
        <v>0</v>
      </c>
      <c r="E54" s="49"/>
      <c r="F54" s="50"/>
      <c r="G54" s="49"/>
      <c r="H54" s="51"/>
      <c r="I54" s="52">
        <f t="shared" si="0"/>
      </c>
      <c r="J54" s="50"/>
      <c r="K54" s="53"/>
      <c r="L54" s="54"/>
      <c r="M54" s="54">
        <f t="shared" si="2"/>
      </c>
      <c r="N54" s="55">
        <f t="shared" si="1"/>
        <v>0</v>
      </c>
    </row>
    <row r="55" spans="1:14" ht="15.75">
      <c r="A55" s="48">
        <f>outline!B45</f>
        <v>0</v>
      </c>
      <c r="B55" s="48">
        <f>outline!C45</f>
        <v>0</v>
      </c>
      <c r="C55" s="48">
        <f>outline!D45</f>
        <v>0</v>
      </c>
      <c r="D55" s="48">
        <f>outline!E45</f>
        <v>0</v>
      </c>
      <c r="E55" s="49"/>
      <c r="F55" s="50"/>
      <c r="G55" s="49"/>
      <c r="H55" s="51"/>
      <c r="I55" s="52"/>
      <c r="J55" s="50"/>
      <c r="K55" s="53"/>
      <c r="L55" s="54"/>
      <c r="M55" s="54">
        <f t="shared" si="2"/>
      </c>
      <c r="N55" s="55">
        <f t="shared" si="1"/>
        <v>0</v>
      </c>
    </row>
    <row r="56" spans="1:14" ht="15.75">
      <c r="A56" s="48">
        <f>outline!B46</f>
        <v>0</v>
      </c>
      <c r="B56" s="48">
        <f>outline!C46</f>
        <v>0</v>
      </c>
      <c r="C56" s="48">
        <f>outline!D46</f>
        <v>0</v>
      </c>
      <c r="D56" s="48">
        <f>outline!E46</f>
        <v>0</v>
      </c>
      <c r="E56" s="49"/>
      <c r="F56" s="50"/>
      <c r="G56" s="49"/>
      <c r="H56" s="51"/>
      <c r="I56" s="52"/>
      <c r="J56" s="50"/>
      <c r="K56" s="53"/>
      <c r="L56" s="54"/>
      <c r="M56" s="54">
        <f t="shared" si="2"/>
      </c>
      <c r="N56" s="55">
        <f t="shared" si="1"/>
        <v>0</v>
      </c>
    </row>
    <row r="57" spans="1:14" ht="15.75">
      <c r="A57" s="48">
        <f>outline!B47</f>
        <v>0</v>
      </c>
      <c r="B57" s="48">
        <f>outline!C47</f>
        <v>0</v>
      </c>
      <c r="C57" s="48">
        <f>outline!D47</f>
        <v>0</v>
      </c>
      <c r="D57" s="48">
        <f>outline!E47</f>
        <v>0</v>
      </c>
      <c r="E57" s="49"/>
      <c r="F57" s="50"/>
      <c r="G57" s="49"/>
      <c r="H57" s="51"/>
      <c r="I57" s="52"/>
      <c r="J57" s="50"/>
      <c r="K57" s="53"/>
      <c r="L57" s="54"/>
      <c r="M57" s="54">
        <f t="shared" si="2"/>
      </c>
      <c r="N57" s="55">
        <f t="shared" si="1"/>
        <v>0</v>
      </c>
    </row>
    <row r="58" spans="1:14" ht="15.75">
      <c r="A58" s="48">
        <f>outline!B48</f>
        <v>0</v>
      </c>
      <c r="B58" s="48">
        <f>outline!C48</f>
        <v>0</v>
      </c>
      <c r="C58" s="48">
        <f>outline!D48</f>
        <v>0</v>
      </c>
      <c r="D58" s="48">
        <f>outline!E48</f>
        <v>0</v>
      </c>
      <c r="E58" s="49"/>
      <c r="F58" s="50"/>
      <c r="G58" s="49"/>
      <c r="H58" s="51"/>
      <c r="I58" s="52">
        <f t="shared" si="0"/>
      </c>
      <c r="J58" s="50"/>
      <c r="K58" s="53"/>
      <c r="L58" s="54"/>
      <c r="M58" s="54">
        <f t="shared" si="2"/>
      </c>
      <c r="N58" s="55">
        <f t="shared" si="1"/>
        <v>0</v>
      </c>
    </row>
    <row r="59" spans="1:14" ht="15.75">
      <c r="A59" s="48">
        <f>outline!B49</f>
        <v>0</v>
      </c>
      <c r="B59" s="48">
        <f>outline!C49</f>
        <v>0</v>
      </c>
      <c r="C59" s="48">
        <f>outline!D49</f>
        <v>0</v>
      </c>
      <c r="D59" s="48">
        <f>outline!E49</f>
        <v>0</v>
      </c>
      <c r="E59" s="49"/>
      <c r="F59" s="50"/>
      <c r="G59" s="49"/>
      <c r="H59" s="51"/>
      <c r="I59" s="52">
        <f t="shared" si="0"/>
      </c>
      <c r="J59" s="50"/>
      <c r="K59" s="53"/>
      <c r="L59" s="54"/>
      <c r="M59" s="54">
        <f t="shared" si="2"/>
      </c>
      <c r="N59" s="55">
        <f t="shared" si="1"/>
        <v>0</v>
      </c>
    </row>
    <row r="60" spans="1:14" ht="15.75">
      <c r="A60" s="56"/>
      <c r="B60" s="56"/>
      <c r="C60" s="56"/>
      <c r="D60" s="56"/>
      <c r="E60" s="56"/>
      <c r="F60" s="56"/>
      <c r="G60" s="15"/>
      <c r="H60" s="57"/>
      <c r="I60" s="56"/>
      <c r="J60" s="15"/>
      <c r="K60" s="15"/>
      <c r="L60" s="58"/>
      <c r="M60" s="57"/>
      <c r="N60" s="56"/>
    </row>
    <row r="61" spans="1:14" ht="15.75">
      <c r="A61" s="59" t="s">
        <v>24</v>
      </c>
      <c r="B61" s="60"/>
      <c r="C61" s="60"/>
      <c r="D61" s="60"/>
      <c r="E61" s="60"/>
      <c r="F61" s="60"/>
      <c r="G61" s="60"/>
      <c r="H61" s="61"/>
      <c r="I61" s="60"/>
      <c r="J61" s="60"/>
      <c r="K61" s="60"/>
      <c r="L61" s="60"/>
      <c r="M61" s="60"/>
      <c r="N61" s="62"/>
    </row>
    <row r="62" spans="1:14" ht="15.75">
      <c r="A62" s="63"/>
      <c r="B62" s="64"/>
      <c r="C62" s="64">
        <v>1</v>
      </c>
      <c r="D62" s="64" t="s">
        <v>184</v>
      </c>
      <c r="E62" s="64"/>
      <c r="F62" s="64"/>
      <c r="G62" s="64"/>
      <c r="H62" s="56"/>
      <c r="I62" s="64"/>
      <c r="J62" s="64"/>
      <c r="K62" s="64"/>
      <c r="L62" s="64"/>
      <c r="M62" s="64"/>
      <c r="N62" s="65"/>
    </row>
    <row r="63" spans="1:14" ht="15.75">
      <c r="A63" s="63"/>
      <c r="B63" s="64"/>
      <c r="C63" s="64">
        <v>2</v>
      </c>
      <c r="D63" s="64" t="s">
        <v>185</v>
      </c>
      <c r="E63" s="64"/>
      <c r="F63" s="64"/>
      <c r="G63" s="64"/>
      <c r="H63" s="56"/>
      <c r="I63" s="64"/>
      <c r="J63" s="64"/>
      <c r="K63" s="64"/>
      <c r="L63" s="64"/>
      <c r="M63" s="64"/>
      <c r="N63" s="65"/>
    </row>
    <row r="64" spans="1:14" ht="15.75">
      <c r="A64" s="63"/>
      <c r="B64" s="64"/>
      <c r="C64" s="64">
        <v>3</v>
      </c>
      <c r="D64" s="64" t="s">
        <v>187</v>
      </c>
      <c r="E64" s="64"/>
      <c r="F64" s="64"/>
      <c r="G64" s="64"/>
      <c r="H64" s="56"/>
      <c r="I64" s="64"/>
      <c r="J64" s="64"/>
      <c r="K64" s="64"/>
      <c r="L64" s="64"/>
      <c r="M64" s="64"/>
      <c r="N64" s="65"/>
    </row>
    <row r="65" spans="1:14" ht="15.75">
      <c r="A65" s="63"/>
      <c r="B65" s="64"/>
      <c r="C65" s="64">
        <v>4</v>
      </c>
      <c r="D65" s="64" t="s">
        <v>188</v>
      </c>
      <c r="E65" s="64"/>
      <c r="F65" s="64"/>
      <c r="G65" s="64"/>
      <c r="H65" s="56"/>
      <c r="I65" s="64"/>
      <c r="J65" s="64"/>
      <c r="K65" s="64"/>
      <c r="L65" s="64"/>
      <c r="M65" s="64"/>
      <c r="N65" s="65"/>
    </row>
    <row r="66" spans="1:14" ht="15.75">
      <c r="A66" s="63"/>
      <c r="B66" s="64"/>
      <c r="C66" s="64">
        <v>5</v>
      </c>
      <c r="D66" s="64" t="s">
        <v>189</v>
      </c>
      <c r="E66" s="64"/>
      <c r="F66" s="64"/>
      <c r="G66" s="64"/>
      <c r="H66" s="56"/>
      <c r="I66" s="64"/>
      <c r="J66" s="64"/>
      <c r="K66" s="64"/>
      <c r="L66" s="64"/>
      <c r="M66" s="64"/>
      <c r="N66" s="65"/>
    </row>
    <row r="67" spans="1:14" ht="15.75">
      <c r="A67" s="63"/>
      <c r="B67" s="64"/>
      <c r="C67" s="64">
        <v>6</v>
      </c>
      <c r="D67" s="64" t="s">
        <v>190</v>
      </c>
      <c r="E67" s="64"/>
      <c r="F67" s="64"/>
      <c r="G67" s="64"/>
      <c r="H67" s="56"/>
      <c r="I67" s="64"/>
      <c r="J67" s="64"/>
      <c r="K67" s="64"/>
      <c r="L67" s="64"/>
      <c r="M67" s="64"/>
      <c r="N67" s="65"/>
    </row>
    <row r="68" spans="1:14" ht="15.75">
      <c r="A68" s="63"/>
      <c r="B68" s="64"/>
      <c r="C68" s="64">
        <v>7</v>
      </c>
      <c r="D68" s="64" t="s">
        <v>191</v>
      </c>
      <c r="E68" s="64"/>
      <c r="F68" s="64"/>
      <c r="G68" s="64"/>
      <c r="H68" s="56"/>
      <c r="I68" s="64"/>
      <c r="J68" s="64"/>
      <c r="K68" s="64"/>
      <c r="L68" s="64"/>
      <c r="M68" s="64"/>
      <c r="N68" s="65"/>
    </row>
    <row r="69" spans="1:14" ht="15.75">
      <c r="A69" s="66"/>
      <c r="B69" s="13"/>
      <c r="C69" s="56">
        <v>8</v>
      </c>
      <c r="D69" s="64" t="s">
        <v>192</v>
      </c>
      <c r="E69" s="64"/>
      <c r="F69" s="67"/>
      <c r="G69" s="64"/>
      <c r="H69" s="56"/>
      <c r="I69" s="64"/>
      <c r="J69" s="64"/>
      <c r="K69" s="64"/>
      <c r="L69" s="64"/>
      <c r="M69" s="64"/>
      <c r="N69" s="65"/>
    </row>
    <row r="70" spans="1:14" ht="15.75">
      <c r="A70" s="68"/>
      <c r="B70" s="69"/>
      <c r="C70" s="69">
        <v>99</v>
      </c>
      <c r="D70" s="69" t="s">
        <v>193</v>
      </c>
      <c r="E70" s="69"/>
      <c r="F70" s="69"/>
      <c r="G70" s="69"/>
      <c r="H70" s="11"/>
      <c r="I70" s="69"/>
      <c r="J70" s="69"/>
      <c r="K70" s="69"/>
      <c r="L70" s="69"/>
      <c r="M70" s="69"/>
      <c r="N70" s="70"/>
    </row>
  </sheetData>
  <mergeCells count="1">
    <mergeCell ref="F8:I8"/>
  </mergeCells>
  <printOptions/>
  <pageMargins left="0.66" right="0.37" top="0.86" bottom="0.62" header="0.5" footer="0.41"/>
  <pageSetup fitToWidth="3" fitToHeight="1" horizontalDpi="600" verticalDpi="600" orientation="landscape" scale="4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75" zoomScaleNormal="75" workbookViewId="0" topLeftCell="A1">
      <selection activeCell="L14" sqref="L14"/>
    </sheetView>
  </sheetViews>
  <sheetFormatPr defaultColWidth="9.140625" defaultRowHeight="12.75"/>
  <cols>
    <col min="1" max="3" width="3.8515625" style="0" customWidth="1"/>
    <col min="4" max="4" width="40.7109375" style="0" customWidth="1"/>
    <col min="5" max="5" width="7.7109375" style="0" customWidth="1"/>
    <col min="6" max="14" width="14.7109375" style="0" customWidth="1"/>
  </cols>
  <sheetData>
    <row r="1" spans="1:14" ht="16.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6.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6.5" thickTop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0" t="s">
        <v>1</v>
      </c>
      <c r="B5" s="10"/>
      <c r="C5" s="10"/>
      <c r="D5" s="71" t="s">
        <v>109</v>
      </c>
      <c r="E5" s="10"/>
      <c r="F5" s="10" t="s">
        <v>110</v>
      </c>
      <c r="G5" s="10"/>
      <c r="H5" s="10"/>
      <c r="I5" s="10"/>
      <c r="J5" s="10"/>
      <c r="K5" s="10" t="s">
        <v>2</v>
      </c>
      <c r="L5" s="10"/>
      <c r="M5" s="11" t="s">
        <v>69</v>
      </c>
      <c r="N5" s="12"/>
    </row>
    <row r="6" spans="1:14" ht="15.75">
      <c r="A6" s="10"/>
      <c r="B6" s="10"/>
      <c r="C6" s="10"/>
      <c r="D6" s="10"/>
      <c r="E6" s="10"/>
      <c r="F6" s="10"/>
      <c r="G6" s="10"/>
      <c r="H6" s="10"/>
      <c r="I6" s="14"/>
      <c r="J6" s="15"/>
      <c r="K6" s="10" t="s">
        <v>3</v>
      </c>
      <c r="L6" s="10"/>
      <c r="M6" s="11" t="s">
        <v>139</v>
      </c>
      <c r="N6" s="12"/>
    </row>
    <row r="7" spans="1:14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>
      <c r="A8" s="16"/>
      <c r="B8" s="17"/>
      <c r="C8" s="17"/>
      <c r="D8" s="18"/>
      <c r="E8" s="19"/>
      <c r="F8" s="138" t="s">
        <v>4</v>
      </c>
      <c r="G8" s="139"/>
      <c r="H8" s="139"/>
      <c r="I8" s="140"/>
      <c r="J8" s="20" t="s">
        <v>5</v>
      </c>
      <c r="K8" s="21"/>
      <c r="L8" s="21"/>
      <c r="M8" s="22"/>
      <c r="N8" s="23"/>
    </row>
    <row r="9" spans="1:14" ht="15.75">
      <c r="A9" s="24"/>
      <c r="B9" s="25" t="s">
        <v>6</v>
      </c>
      <c r="C9" s="5"/>
      <c r="D9" s="26" t="s">
        <v>7</v>
      </c>
      <c r="E9" s="27"/>
      <c r="F9" s="28"/>
      <c r="G9" s="27" t="s">
        <v>8</v>
      </c>
      <c r="H9" s="26" t="s">
        <v>9</v>
      </c>
      <c r="I9" s="29" t="s">
        <v>10</v>
      </c>
      <c r="J9" s="30" t="s">
        <v>11</v>
      </c>
      <c r="K9" s="18" t="s">
        <v>12</v>
      </c>
      <c r="L9" s="18" t="s">
        <v>13</v>
      </c>
      <c r="M9" s="18" t="s">
        <v>10</v>
      </c>
      <c r="N9" s="31" t="s">
        <v>10</v>
      </c>
    </row>
    <row r="10" spans="1:14" ht="15.75">
      <c r="A10" s="32"/>
      <c r="B10" s="33"/>
      <c r="C10" s="33"/>
      <c r="D10" s="34"/>
      <c r="E10" s="35" t="s">
        <v>14</v>
      </c>
      <c r="F10" s="36" t="s">
        <v>15</v>
      </c>
      <c r="G10" s="35" t="s">
        <v>16</v>
      </c>
      <c r="H10" s="34" t="s">
        <v>17</v>
      </c>
      <c r="I10" s="37" t="s">
        <v>18</v>
      </c>
      <c r="J10" s="36" t="s">
        <v>19</v>
      </c>
      <c r="K10" s="34" t="s">
        <v>20</v>
      </c>
      <c r="L10" s="34" t="s">
        <v>21</v>
      </c>
      <c r="M10" s="34" t="s">
        <v>22</v>
      </c>
      <c r="N10" s="38"/>
    </row>
    <row r="11" spans="1:14" ht="16.5" thickBot="1">
      <c r="A11" s="39"/>
      <c r="B11" s="39"/>
      <c r="C11" s="39"/>
      <c r="D11" s="40" t="s">
        <v>23</v>
      </c>
      <c r="E11" s="41"/>
      <c r="F11" s="42"/>
      <c r="G11" s="41"/>
      <c r="H11" s="43"/>
      <c r="I11" s="44">
        <f>SUM(I12:I59)</f>
        <v>15601027.3792</v>
      </c>
      <c r="J11" s="45"/>
      <c r="K11" s="46"/>
      <c r="L11" s="43"/>
      <c r="M11" s="43">
        <f>SUM(M12:M59)</f>
        <v>4929320</v>
      </c>
      <c r="N11" s="47">
        <f>SUM(N12:N59)</f>
        <v>20530347.3792</v>
      </c>
    </row>
    <row r="12" spans="1:14" ht="16.5" thickTop="1">
      <c r="A12" s="48">
        <f>outline!B2</f>
        <v>1</v>
      </c>
      <c r="B12" s="48">
        <f>outline!C2</f>
        <v>0</v>
      </c>
      <c r="C12" s="48">
        <f>outline!D2</f>
        <v>0</v>
      </c>
      <c r="D12" s="48" t="str">
        <f>outline!E2</f>
        <v>IR Magnet + Cryostat</v>
      </c>
      <c r="E12" s="49"/>
      <c r="F12" s="50"/>
      <c r="G12" s="49"/>
      <c r="H12" s="51"/>
      <c r="I12" s="52">
        <f aca="true" t="shared" si="0" ref="I12:I54">IF(H12="","",G12*H12)</f>
      </c>
      <c r="J12" s="50"/>
      <c r="K12" s="53"/>
      <c r="L12" s="54"/>
      <c r="M12" s="54">
        <f aca="true" t="shared" si="1" ref="M12:M59">IF(L12="","",L12*K12*G12)</f>
      </c>
      <c r="N12" s="55">
        <f aca="true" t="shared" si="2" ref="N12:N59">SUM(I12,M12)</f>
        <v>0</v>
      </c>
    </row>
    <row r="13" spans="1:14" ht="15.75">
      <c r="A13" s="48">
        <f>outline!B3</f>
        <v>1</v>
      </c>
      <c r="B13" s="48">
        <f>outline!C3</f>
        <v>1</v>
      </c>
      <c r="C13" s="48">
        <f>outline!D3</f>
        <v>0</v>
      </c>
      <c r="D13" s="48" t="str">
        <f>outline!E3</f>
        <v>Inner Triplet Quads</v>
      </c>
      <c r="E13" s="49"/>
      <c r="F13" s="50"/>
      <c r="G13" s="49"/>
      <c r="H13" s="51"/>
      <c r="I13" s="52">
        <f t="shared" si="0"/>
      </c>
      <c r="J13" s="50"/>
      <c r="K13" s="53"/>
      <c r="L13" s="54"/>
      <c r="M13" s="54">
        <f t="shared" si="1"/>
      </c>
      <c r="N13" s="55">
        <f t="shared" si="2"/>
        <v>0</v>
      </c>
    </row>
    <row r="14" spans="1:14" ht="15.75">
      <c r="A14" s="48">
        <f>outline!B4</f>
        <v>1</v>
      </c>
      <c r="B14" s="48">
        <f>outline!C4</f>
        <v>1</v>
      </c>
      <c r="C14" s="48">
        <f>outline!D4</f>
        <v>1</v>
      </c>
      <c r="D14" s="48" t="str">
        <f>outline!E4</f>
        <v>Magnet Parts</v>
      </c>
      <c r="E14" s="49">
        <v>1</v>
      </c>
      <c r="F14" s="50"/>
      <c r="G14" s="49">
        <v>17</v>
      </c>
      <c r="H14" s="51">
        <v>169000</v>
      </c>
      <c r="I14" s="52">
        <f t="shared" si="0"/>
        <v>2873000</v>
      </c>
      <c r="J14" s="50"/>
      <c r="K14" s="53">
        <v>1</v>
      </c>
      <c r="L14" s="54">
        <v>102000</v>
      </c>
      <c r="M14" s="54">
        <f t="shared" si="1"/>
        <v>1734000</v>
      </c>
      <c r="N14" s="55">
        <f t="shared" si="2"/>
        <v>4607000</v>
      </c>
    </row>
    <row r="15" spans="1:14" ht="15.75">
      <c r="A15" s="48">
        <f>outline!B5</f>
        <v>1</v>
      </c>
      <c r="B15" s="48">
        <f>outline!C5</f>
        <v>1</v>
      </c>
      <c r="C15" s="48">
        <f>outline!D5</f>
        <v>2</v>
      </c>
      <c r="D15" s="48" t="str">
        <f>outline!E5</f>
        <v>Conductor</v>
      </c>
      <c r="E15" s="49">
        <v>2</v>
      </c>
      <c r="F15" s="50" t="s">
        <v>103</v>
      </c>
      <c r="G15" s="110">
        <f>'IR Quads'!K54*17</f>
        <v>6555.136896000001</v>
      </c>
      <c r="H15" s="51">
        <f>800/4</f>
        <v>200</v>
      </c>
      <c r="I15" s="52">
        <f t="shared" si="0"/>
        <v>1311027.3792</v>
      </c>
      <c r="J15" s="50"/>
      <c r="K15" s="53"/>
      <c r="L15" s="54"/>
      <c r="M15" s="54">
        <f t="shared" si="1"/>
      </c>
      <c r="N15" s="55">
        <f t="shared" si="2"/>
        <v>1311027.3792</v>
      </c>
    </row>
    <row r="16" spans="1:14" ht="15.75">
      <c r="A16" s="48">
        <f>outline!B6</f>
        <v>1</v>
      </c>
      <c r="B16" s="48">
        <f>outline!C6</f>
        <v>1</v>
      </c>
      <c r="C16" s="48">
        <f>outline!D6</f>
        <v>3</v>
      </c>
      <c r="D16" s="48" t="str">
        <f>outline!E6</f>
        <v>Heaters</v>
      </c>
      <c r="E16" s="49">
        <v>3</v>
      </c>
      <c r="F16" s="50" t="s">
        <v>104</v>
      </c>
      <c r="G16" s="49">
        <v>170</v>
      </c>
      <c r="H16" s="51">
        <v>10000</v>
      </c>
      <c r="I16" s="52">
        <f t="shared" si="0"/>
        <v>1700000</v>
      </c>
      <c r="J16" s="50"/>
      <c r="K16" s="53"/>
      <c r="L16" s="54"/>
      <c r="M16" s="54">
        <f t="shared" si="1"/>
      </c>
      <c r="N16" s="55">
        <f t="shared" si="2"/>
        <v>1700000</v>
      </c>
    </row>
    <row r="17" spans="1:14" ht="15.75">
      <c r="A17" s="48">
        <f>outline!B7</f>
        <v>1</v>
      </c>
      <c r="B17" s="48">
        <f>outline!C7</f>
        <v>1</v>
      </c>
      <c r="C17" s="48">
        <f>outline!D7</f>
        <v>4</v>
      </c>
      <c r="D17" s="48" t="str">
        <f>outline!E7</f>
        <v>Cryostat</v>
      </c>
      <c r="E17" s="49">
        <v>1</v>
      </c>
      <c r="F17" s="50"/>
      <c r="G17" s="49">
        <v>17</v>
      </c>
      <c r="H17" s="51">
        <v>99000</v>
      </c>
      <c r="I17" s="52">
        <f t="shared" si="0"/>
        <v>1683000</v>
      </c>
      <c r="J17" s="50"/>
      <c r="K17" s="53">
        <v>1</v>
      </c>
      <c r="L17" s="54">
        <v>42000</v>
      </c>
      <c r="M17" s="54">
        <f t="shared" si="1"/>
        <v>714000</v>
      </c>
      <c r="N17" s="55">
        <f t="shared" si="2"/>
        <v>2397000</v>
      </c>
    </row>
    <row r="18" spans="1:14" ht="15.75">
      <c r="A18" s="48">
        <f>outline!B8</f>
        <v>1</v>
      </c>
      <c r="B18" s="48">
        <f>outline!C8</f>
        <v>1</v>
      </c>
      <c r="C18" s="48">
        <f>outline!D8</f>
        <v>5</v>
      </c>
      <c r="D18" s="48" t="str">
        <f>outline!E8</f>
        <v>Testing</v>
      </c>
      <c r="E18" s="49">
        <v>1</v>
      </c>
      <c r="F18" s="50"/>
      <c r="G18" s="49">
        <v>17</v>
      </c>
      <c r="H18" s="51">
        <v>56000</v>
      </c>
      <c r="I18" s="52">
        <f t="shared" si="0"/>
        <v>952000</v>
      </c>
      <c r="J18" s="50"/>
      <c r="K18" s="53">
        <v>1</v>
      </c>
      <c r="L18" s="54">
        <v>38000</v>
      </c>
      <c r="M18" s="54">
        <f t="shared" si="1"/>
        <v>646000</v>
      </c>
      <c r="N18" s="55">
        <f t="shared" si="2"/>
        <v>1598000</v>
      </c>
    </row>
    <row r="19" spans="1:14" ht="15.75">
      <c r="A19" s="48">
        <f>outline!B9</f>
        <v>1</v>
      </c>
      <c r="B19" s="48">
        <f>outline!C9</f>
        <v>2</v>
      </c>
      <c r="C19" s="48">
        <f>outline!D9</f>
        <v>0</v>
      </c>
      <c r="D19" s="48" t="str">
        <f>outline!E9</f>
        <v>IR separation dipoles</v>
      </c>
      <c r="E19" s="49">
        <v>99</v>
      </c>
      <c r="F19" s="50"/>
      <c r="G19" s="49"/>
      <c r="H19" s="51"/>
      <c r="I19" s="52">
        <f t="shared" si="0"/>
      </c>
      <c r="J19" s="50"/>
      <c r="K19" s="53"/>
      <c r="L19" s="54"/>
      <c r="M19" s="54">
        <f t="shared" si="1"/>
      </c>
      <c r="N19" s="55">
        <f t="shared" si="2"/>
        <v>0</v>
      </c>
    </row>
    <row r="20" spans="1:14" ht="15.75">
      <c r="A20" s="48">
        <f>outline!B10</f>
        <v>1</v>
      </c>
      <c r="B20" s="48">
        <f>outline!C10</f>
        <v>3</v>
      </c>
      <c r="C20" s="48">
        <f>outline!D10</f>
        <v>0</v>
      </c>
      <c r="D20" s="48" t="str">
        <f>outline!E10</f>
        <v> Outer triplet 2 gradient quads</v>
      </c>
      <c r="E20" s="49">
        <v>99</v>
      </c>
      <c r="F20" s="50"/>
      <c r="G20" s="49"/>
      <c r="H20" s="51"/>
      <c r="I20" s="52">
        <f t="shared" si="0"/>
      </c>
      <c r="J20" s="50"/>
      <c r="K20" s="53"/>
      <c r="L20" s="54"/>
      <c r="M20" s="54">
        <f t="shared" si="1"/>
      </c>
      <c r="N20" s="55">
        <f t="shared" si="2"/>
        <v>0</v>
      </c>
    </row>
    <row r="21" spans="1:14" ht="15.75">
      <c r="A21" s="48">
        <f>outline!B11</f>
        <v>1</v>
      </c>
      <c r="B21" s="48">
        <f>outline!C11</f>
        <v>4</v>
      </c>
      <c r="C21" s="48">
        <f>outline!D11</f>
        <v>0</v>
      </c>
      <c r="D21" s="48" t="str">
        <f>outline!E11</f>
        <v> Orbit correctors</v>
      </c>
      <c r="E21" s="49">
        <v>99</v>
      </c>
      <c r="F21" s="50"/>
      <c r="G21" s="49"/>
      <c r="H21" s="51"/>
      <c r="I21" s="52">
        <f t="shared" si="0"/>
      </c>
      <c r="J21" s="50"/>
      <c r="K21" s="53"/>
      <c r="L21" s="54"/>
      <c r="M21" s="54">
        <f t="shared" si="1"/>
      </c>
      <c r="N21" s="55">
        <f t="shared" si="2"/>
        <v>0</v>
      </c>
    </row>
    <row r="22" spans="1:14" ht="15.75">
      <c r="A22" s="48">
        <f>outline!B12</f>
        <v>0</v>
      </c>
      <c r="B22" s="48">
        <f>outline!C12</f>
        <v>0</v>
      </c>
      <c r="C22" s="48">
        <f>outline!D12</f>
        <v>0</v>
      </c>
      <c r="D22" s="48">
        <f>outline!E12</f>
        <v>0</v>
      </c>
      <c r="E22" s="49"/>
      <c r="F22" s="50"/>
      <c r="G22" s="49"/>
      <c r="H22" s="51"/>
      <c r="I22" s="52">
        <f t="shared" si="0"/>
      </c>
      <c r="J22" s="50"/>
      <c r="K22" s="53"/>
      <c r="L22" s="54"/>
      <c r="M22" s="54">
        <f t="shared" si="1"/>
      </c>
      <c r="N22" s="55">
        <f t="shared" si="2"/>
        <v>0</v>
      </c>
    </row>
    <row r="23" spans="1:14" ht="15.75">
      <c r="A23" s="48">
        <f>outline!B13</f>
        <v>2</v>
      </c>
      <c r="B23" s="48">
        <f>outline!C13</f>
        <v>0</v>
      </c>
      <c r="C23" s="48">
        <f>outline!D13</f>
        <v>0</v>
      </c>
      <c r="D23" s="48" t="str">
        <f>outline!E13</f>
        <v>Inner Triplet Feedbox</v>
      </c>
      <c r="E23" s="49">
        <v>1</v>
      </c>
      <c r="F23" s="50"/>
      <c r="G23" s="49"/>
      <c r="H23" s="51"/>
      <c r="I23" s="52">
        <f t="shared" si="0"/>
      </c>
      <c r="J23" s="50"/>
      <c r="K23" s="53"/>
      <c r="L23" s="54"/>
      <c r="M23" s="54">
        <f t="shared" si="1"/>
      </c>
      <c r="N23" s="55">
        <f t="shared" si="2"/>
        <v>0</v>
      </c>
    </row>
    <row r="24" spans="1:14" ht="15.75">
      <c r="A24" s="48">
        <f>outline!B14</f>
        <v>2</v>
      </c>
      <c r="B24" s="48">
        <f>outline!C14</f>
        <v>1</v>
      </c>
      <c r="C24" s="48">
        <f>outline!D14</f>
        <v>0</v>
      </c>
      <c r="D24" s="48" t="str">
        <f>outline!E14</f>
        <v>In house design</v>
      </c>
      <c r="E24" s="49"/>
      <c r="F24" s="50"/>
      <c r="G24" s="49">
        <v>1</v>
      </c>
      <c r="H24" s="51">
        <v>500000</v>
      </c>
      <c r="I24" s="52">
        <f t="shared" si="0"/>
        <v>500000</v>
      </c>
      <c r="J24" s="50"/>
      <c r="K24" s="53"/>
      <c r="L24" s="54"/>
      <c r="M24" s="54">
        <f t="shared" si="1"/>
      </c>
      <c r="N24" s="55">
        <f t="shared" si="2"/>
        <v>500000</v>
      </c>
    </row>
    <row r="25" spans="1:14" ht="15.75">
      <c r="A25" s="48">
        <f>outline!B15</f>
        <v>2</v>
      </c>
      <c r="B25" s="48">
        <f>outline!C15</f>
        <v>2</v>
      </c>
      <c r="C25" s="48">
        <f>outline!D15</f>
        <v>0</v>
      </c>
      <c r="D25" s="48" t="str">
        <f>outline!E15</f>
        <v>Construction</v>
      </c>
      <c r="E25" s="49"/>
      <c r="F25" s="50"/>
      <c r="G25" s="49">
        <v>4</v>
      </c>
      <c r="H25" s="51">
        <v>500000</v>
      </c>
      <c r="I25" s="52">
        <f t="shared" si="0"/>
        <v>2000000</v>
      </c>
      <c r="J25" s="50"/>
      <c r="K25" s="53"/>
      <c r="L25" s="54"/>
      <c r="M25" s="54">
        <f t="shared" si="1"/>
      </c>
      <c r="N25" s="55">
        <f t="shared" si="2"/>
        <v>2000000</v>
      </c>
    </row>
    <row r="26" spans="1:14" ht="15.75">
      <c r="A26" s="48">
        <f>outline!B16</f>
        <v>2</v>
      </c>
      <c r="B26" s="48">
        <f>outline!C16</f>
        <v>3</v>
      </c>
      <c r="C26" s="48">
        <f>outline!D16</f>
        <v>0</v>
      </c>
      <c r="D26" s="48" t="str">
        <f>outline!E16</f>
        <v>Power Leads</v>
      </c>
      <c r="E26" s="49"/>
      <c r="F26" s="50" t="s">
        <v>105</v>
      </c>
      <c r="G26" s="49">
        <v>5</v>
      </c>
      <c r="H26" s="51">
        <v>80000</v>
      </c>
      <c r="I26" s="52">
        <f t="shared" si="0"/>
        <v>400000</v>
      </c>
      <c r="J26" s="50"/>
      <c r="K26" s="53"/>
      <c r="L26" s="54"/>
      <c r="M26" s="54">
        <f t="shared" si="1"/>
      </c>
      <c r="N26" s="55">
        <f t="shared" si="2"/>
        <v>400000</v>
      </c>
    </row>
    <row r="27" spans="1:14" ht="15.75">
      <c r="A27" s="48">
        <f>outline!B17</f>
        <v>0</v>
      </c>
      <c r="B27" s="48">
        <f>outline!C17</f>
        <v>0</v>
      </c>
      <c r="C27" s="48">
        <f>outline!D17</f>
        <v>0</v>
      </c>
      <c r="D27" s="48">
        <f>outline!E17</f>
        <v>0</v>
      </c>
      <c r="E27" s="49"/>
      <c r="F27" s="50"/>
      <c r="G27" s="49"/>
      <c r="H27" s="51"/>
      <c r="I27" s="52">
        <f t="shared" si="0"/>
      </c>
      <c r="J27" s="50"/>
      <c r="K27" s="53"/>
      <c r="L27" s="54"/>
      <c r="M27" s="54">
        <f t="shared" si="1"/>
      </c>
      <c r="N27" s="55">
        <f t="shared" si="2"/>
        <v>0</v>
      </c>
    </row>
    <row r="28" spans="1:14" ht="15.75">
      <c r="A28" s="48">
        <f>outline!B18</f>
        <v>3</v>
      </c>
      <c r="B28" s="48">
        <f>outline!C18</f>
        <v>0</v>
      </c>
      <c r="C28" s="48">
        <f>outline!D18</f>
        <v>0</v>
      </c>
      <c r="D28" s="48" t="str">
        <f>outline!E18</f>
        <v>IR Power Supply</v>
      </c>
      <c r="E28" s="49">
        <v>5</v>
      </c>
      <c r="F28" s="50"/>
      <c r="G28" s="49"/>
      <c r="H28" s="51"/>
      <c r="I28" s="52">
        <f t="shared" si="0"/>
      </c>
      <c r="J28" s="50"/>
      <c r="K28" s="53"/>
      <c r="L28" s="54"/>
      <c r="M28" s="54">
        <f t="shared" si="1"/>
      </c>
      <c r="N28" s="55">
        <f t="shared" si="2"/>
        <v>0</v>
      </c>
    </row>
    <row r="29" spans="1:14" ht="15.75">
      <c r="A29" s="48">
        <f>outline!B19</f>
        <v>3</v>
      </c>
      <c r="B29" s="48">
        <f>outline!C19</f>
        <v>1</v>
      </c>
      <c r="C29" s="48">
        <f>outline!D19</f>
        <v>0</v>
      </c>
      <c r="D29" s="48" t="str">
        <f>outline!E19</f>
        <v>Power Supply LBQ</v>
      </c>
      <c r="E29" s="49"/>
      <c r="F29" s="50"/>
      <c r="G29" s="49">
        <v>4</v>
      </c>
      <c r="H29" s="51">
        <v>250000</v>
      </c>
      <c r="I29" s="52">
        <f t="shared" si="0"/>
        <v>1000000</v>
      </c>
      <c r="J29" s="50"/>
      <c r="K29" s="53">
        <f>2/12</f>
        <v>0.16666666666666666</v>
      </c>
      <c r="L29" s="54">
        <v>104000</v>
      </c>
      <c r="M29" s="54">
        <f t="shared" si="1"/>
        <v>69333.33333333333</v>
      </c>
      <c r="N29" s="55">
        <f t="shared" si="2"/>
        <v>1069333.3333333333</v>
      </c>
    </row>
    <row r="30" spans="1:14" ht="15.75">
      <c r="A30" s="48">
        <f>outline!B20</f>
        <v>3</v>
      </c>
      <c r="B30" s="48">
        <f>outline!C20</f>
        <v>2</v>
      </c>
      <c r="C30" s="48">
        <f>outline!D20</f>
        <v>0</v>
      </c>
      <c r="D30" s="48" t="str">
        <f>outline!E20</f>
        <v>Power Supply Conventional</v>
      </c>
      <c r="E30" s="49"/>
      <c r="F30" s="50"/>
      <c r="G30" s="49">
        <v>12</v>
      </c>
      <c r="H30" s="51">
        <v>100000</v>
      </c>
      <c r="I30" s="52">
        <f t="shared" si="0"/>
        <v>1200000</v>
      </c>
      <c r="J30" s="50"/>
      <c r="K30" s="53">
        <v>0.2</v>
      </c>
      <c r="L30" s="54">
        <v>104000</v>
      </c>
      <c r="M30" s="54">
        <f t="shared" si="1"/>
        <v>249600</v>
      </c>
      <c r="N30" s="55">
        <f t="shared" si="2"/>
        <v>1449600</v>
      </c>
    </row>
    <row r="31" spans="1:14" ht="15.75">
      <c r="A31" s="48">
        <f>outline!B21</f>
        <v>3</v>
      </c>
      <c r="B31" s="48">
        <f>outline!C21</f>
        <v>3</v>
      </c>
      <c r="C31" s="48">
        <f>outline!D21</f>
        <v>0</v>
      </c>
      <c r="D31" s="48" t="str">
        <f>outline!E21</f>
        <v>Power Supply Corrector</v>
      </c>
      <c r="E31" s="49"/>
      <c r="F31" s="50"/>
      <c r="G31" s="49">
        <v>20</v>
      </c>
      <c r="H31" s="51">
        <v>10000</v>
      </c>
      <c r="I31" s="52">
        <f t="shared" si="0"/>
        <v>200000</v>
      </c>
      <c r="J31" s="50"/>
      <c r="K31" s="53">
        <f>2/12/10</f>
        <v>0.016666666666666666</v>
      </c>
      <c r="L31" s="54">
        <v>104000</v>
      </c>
      <c r="M31" s="54">
        <f t="shared" si="1"/>
        <v>34666.666666666664</v>
      </c>
      <c r="N31" s="55">
        <f t="shared" si="2"/>
        <v>234666.66666666666</v>
      </c>
    </row>
    <row r="32" spans="1:14" ht="15.75">
      <c r="A32" s="48">
        <f>outline!B22</f>
        <v>3</v>
      </c>
      <c r="B32" s="48">
        <f>outline!C22</f>
        <v>4</v>
      </c>
      <c r="C32" s="48">
        <f>outline!D22</f>
        <v>0</v>
      </c>
      <c r="D32" s="48" t="str">
        <f>outline!E22</f>
        <v>Power Infrastucture</v>
      </c>
      <c r="E32" s="49"/>
      <c r="F32" s="50"/>
      <c r="G32" s="49"/>
      <c r="H32" s="51"/>
      <c r="I32" s="52">
        <f t="shared" si="0"/>
      </c>
      <c r="J32" s="50"/>
      <c r="K32" s="53"/>
      <c r="L32" s="54"/>
      <c r="M32" s="54">
        <f t="shared" si="1"/>
      </c>
      <c r="N32" s="55">
        <f t="shared" si="2"/>
        <v>0</v>
      </c>
    </row>
    <row r="33" spans="1:14" ht="15.75">
      <c r="A33" s="48">
        <f>outline!B23</f>
        <v>3</v>
      </c>
      <c r="B33" s="48">
        <f>outline!C23</f>
        <v>4</v>
      </c>
      <c r="C33" s="48">
        <f>outline!D23</f>
        <v>0</v>
      </c>
      <c r="D33" s="48" t="str">
        <f>outline!E23</f>
        <v>Installation</v>
      </c>
      <c r="E33" s="49"/>
      <c r="F33" s="50"/>
      <c r="G33" s="49"/>
      <c r="H33" s="51"/>
      <c r="I33" s="52">
        <f t="shared" si="0"/>
      </c>
      <c r="J33" s="50"/>
      <c r="K33" s="53"/>
      <c r="L33" s="54"/>
      <c r="M33" s="54">
        <f t="shared" si="1"/>
      </c>
      <c r="N33" s="55">
        <f t="shared" si="2"/>
        <v>0</v>
      </c>
    </row>
    <row r="34" spans="1:14" ht="15.75">
      <c r="A34" s="48">
        <f>outline!B24</f>
        <v>3</v>
      </c>
      <c r="B34" s="48">
        <f>outline!C24</f>
        <v>5</v>
      </c>
      <c r="C34" s="48">
        <f>outline!D24</f>
        <v>0</v>
      </c>
      <c r="D34" s="48" t="str">
        <f>outline!E24</f>
        <v>Cabling</v>
      </c>
      <c r="E34" s="49"/>
      <c r="F34" s="50" t="s">
        <v>106</v>
      </c>
      <c r="G34" s="49"/>
      <c r="H34" s="51"/>
      <c r="I34" s="52">
        <f t="shared" si="0"/>
      </c>
      <c r="J34" s="50"/>
      <c r="K34" s="53"/>
      <c r="L34" s="54"/>
      <c r="M34" s="54">
        <f t="shared" si="1"/>
      </c>
      <c r="N34" s="55">
        <f t="shared" si="2"/>
        <v>0</v>
      </c>
    </row>
    <row r="35" spans="1:14" ht="15.75">
      <c r="A35" s="48">
        <f>outline!B25</f>
        <v>0</v>
      </c>
      <c r="B35" s="48">
        <f>outline!C25</f>
        <v>0</v>
      </c>
      <c r="C35" s="48">
        <f>outline!D25</f>
        <v>0</v>
      </c>
      <c r="D35" s="48">
        <f>outline!E25</f>
        <v>0</v>
      </c>
      <c r="E35" s="49"/>
      <c r="F35" s="50"/>
      <c r="G35" s="49"/>
      <c r="H35" s="51"/>
      <c r="I35" s="52">
        <f t="shared" si="0"/>
      </c>
      <c r="J35" s="50"/>
      <c r="K35" s="53"/>
      <c r="L35" s="54"/>
      <c r="M35" s="54">
        <f t="shared" si="1"/>
      </c>
      <c r="N35" s="55">
        <f t="shared" si="2"/>
        <v>0</v>
      </c>
    </row>
    <row r="36" spans="1:14" ht="15.75">
      <c r="A36" s="48">
        <f>outline!B26</f>
        <v>4</v>
      </c>
      <c r="B36" s="48">
        <f>outline!C26</f>
        <v>0</v>
      </c>
      <c r="C36" s="48">
        <f>outline!D26</f>
        <v>0</v>
      </c>
      <c r="D36" s="48" t="str">
        <f>outline!E26</f>
        <v>Quench Protection</v>
      </c>
      <c r="E36" s="49">
        <v>6</v>
      </c>
      <c r="F36" s="50"/>
      <c r="G36" s="49"/>
      <c r="H36" s="51"/>
      <c r="I36" s="52">
        <f t="shared" si="0"/>
      </c>
      <c r="J36" s="50"/>
      <c r="K36" s="53"/>
      <c r="L36" s="54"/>
      <c r="M36" s="54">
        <f t="shared" si="1"/>
      </c>
      <c r="N36" s="55">
        <f t="shared" si="2"/>
        <v>0</v>
      </c>
    </row>
    <row r="37" spans="1:14" ht="15.75">
      <c r="A37" s="48">
        <f>outline!B27</f>
        <v>4</v>
      </c>
      <c r="B37" s="48">
        <f>outline!C27</f>
        <v>1</v>
      </c>
      <c r="C37" s="48">
        <f>outline!D27</f>
        <v>0</v>
      </c>
      <c r="D37" s="48" t="str">
        <f>outline!E27</f>
        <v>Heater Firing Units</v>
      </c>
      <c r="E37" s="49"/>
      <c r="F37" s="50"/>
      <c r="G37" s="49">
        <v>128</v>
      </c>
      <c r="H37" s="51">
        <v>5000</v>
      </c>
      <c r="I37" s="52">
        <f t="shared" si="0"/>
        <v>640000</v>
      </c>
      <c r="J37" s="50"/>
      <c r="K37" s="53"/>
      <c r="L37" s="54"/>
      <c r="M37" s="54">
        <f t="shared" si="1"/>
      </c>
      <c r="N37" s="55">
        <f t="shared" si="2"/>
        <v>640000</v>
      </c>
    </row>
    <row r="38" spans="1:14" ht="15.75">
      <c r="A38" s="48">
        <f>outline!B28</f>
        <v>4</v>
      </c>
      <c r="B38" s="48">
        <f>outline!C28</f>
        <v>2</v>
      </c>
      <c r="C38" s="48">
        <f>outline!D28</f>
        <v>0</v>
      </c>
      <c r="D38" s="48" t="str">
        <f>outline!E28</f>
        <v>Cabling and Installation</v>
      </c>
      <c r="E38" s="49"/>
      <c r="F38" s="50" t="s">
        <v>106</v>
      </c>
      <c r="G38" s="49"/>
      <c r="H38" s="51"/>
      <c r="I38" s="52">
        <f t="shared" si="0"/>
      </c>
      <c r="J38" s="50"/>
      <c r="K38" s="53"/>
      <c r="L38" s="54"/>
      <c r="M38" s="54">
        <f t="shared" si="1"/>
      </c>
      <c r="N38" s="55">
        <f t="shared" si="2"/>
        <v>0</v>
      </c>
    </row>
    <row r="39" spans="1:14" ht="15.75">
      <c r="A39" s="48">
        <f>outline!B29</f>
        <v>0</v>
      </c>
      <c r="B39" s="48">
        <f>outline!C29</f>
        <v>0</v>
      </c>
      <c r="C39" s="48">
        <f>outline!D29</f>
        <v>0</v>
      </c>
      <c r="D39" s="48">
        <f>outline!E29</f>
        <v>0</v>
      </c>
      <c r="E39" s="49"/>
      <c r="F39" s="50"/>
      <c r="G39" s="49"/>
      <c r="H39" s="51"/>
      <c r="I39" s="52">
        <f t="shared" si="0"/>
      </c>
      <c r="J39" s="50"/>
      <c r="K39" s="53"/>
      <c r="L39" s="54"/>
      <c r="M39" s="54">
        <f t="shared" si="1"/>
      </c>
      <c r="N39" s="55">
        <f t="shared" si="2"/>
        <v>0</v>
      </c>
    </row>
    <row r="40" spans="1:14" ht="15.75">
      <c r="A40" s="48">
        <f>outline!B30</f>
        <v>5</v>
      </c>
      <c r="B40" s="48">
        <f>outline!C30</f>
        <v>0</v>
      </c>
      <c r="C40" s="48">
        <f>outline!D30</f>
        <v>0</v>
      </c>
      <c r="D40" s="48" t="str">
        <f>outline!E30</f>
        <v>Cryognics</v>
      </c>
      <c r="E40" s="49">
        <v>7</v>
      </c>
      <c r="F40" s="50"/>
      <c r="G40" s="49"/>
      <c r="H40" s="51"/>
      <c r="I40" s="52">
        <f t="shared" si="0"/>
      </c>
      <c r="J40" s="50"/>
      <c r="K40" s="53"/>
      <c r="L40" s="54"/>
      <c r="M40" s="54">
        <f t="shared" si="1"/>
      </c>
      <c r="N40" s="55">
        <f t="shared" si="2"/>
        <v>0</v>
      </c>
    </row>
    <row r="41" spans="1:14" ht="15.75">
      <c r="A41" s="48">
        <f>outline!B31</f>
        <v>5</v>
      </c>
      <c r="B41" s="48">
        <f>outline!C31</f>
        <v>1</v>
      </c>
      <c r="C41" s="48">
        <f>outline!D31</f>
        <v>0</v>
      </c>
      <c r="D41" s="48" t="str">
        <f>outline!E31</f>
        <v>Transfer line to Refrigerator</v>
      </c>
      <c r="E41" s="49"/>
      <c r="F41" s="50" t="s">
        <v>134</v>
      </c>
      <c r="G41" s="49">
        <v>2</v>
      </c>
      <c r="H41" s="51">
        <v>37000</v>
      </c>
      <c r="I41" s="52">
        <f t="shared" si="0"/>
        <v>74000</v>
      </c>
      <c r="J41" s="50"/>
      <c r="K41" s="53"/>
      <c r="L41" s="54"/>
      <c r="M41" s="54">
        <f t="shared" si="1"/>
      </c>
      <c r="N41" s="55">
        <f t="shared" si="2"/>
        <v>74000</v>
      </c>
    </row>
    <row r="42" spans="1:14" ht="15.75">
      <c r="A42" s="48">
        <f>outline!B32</f>
        <v>0</v>
      </c>
      <c r="B42" s="48">
        <f>outline!C32</f>
        <v>0</v>
      </c>
      <c r="C42" s="48">
        <f>outline!D32</f>
        <v>0</v>
      </c>
      <c r="D42" s="48">
        <f>outline!E32</f>
        <v>0</v>
      </c>
      <c r="E42" s="49"/>
      <c r="F42" s="50"/>
      <c r="G42" s="49"/>
      <c r="H42" s="51"/>
      <c r="I42" s="52">
        <f t="shared" si="0"/>
      </c>
      <c r="J42" s="50"/>
      <c r="K42" s="53"/>
      <c r="L42" s="54"/>
      <c r="M42" s="54">
        <f t="shared" si="1"/>
      </c>
      <c r="N42" s="55">
        <f t="shared" si="2"/>
        <v>0</v>
      </c>
    </row>
    <row r="43" spans="1:14" ht="15.75">
      <c r="A43" s="48">
        <f>outline!B33</f>
        <v>6</v>
      </c>
      <c r="B43" s="48">
        <f>outline!C33</f>
        <v>0</v>
      </c>
      <c r="C43" s="48">
        <f>outline!D33</f>
        <v>0</v>
      </c>
      <c r="D43" s="48" t="str">
        <f>outline!E33</f>
        <v>IR Absorbers</v>
      </c>
      <c r="E43" s="49">
        <v>1</v>
      </c>
      <c r="F43" s="50"/>
      <c r="G43" s="49"/>
      <c r="H43" s="51"/>
      <c r="I43" s="52">
        <f t="shared" si="0"/>
      </c>
      <c r="J43" s="50"/>
      <c r="K43" s="53"/>
      <c r="L43" s="54"/>
      <c r="M43" s="54">
        <f t="shared" si="1"/>
      </c>
      <c r="N43" s="55">
        <f t="shared" si="2"/>
        <v>0</v>
      </c>
    </row>
    <row r="44" spans="1:14" ht="15.75">
      <c r="A44" s="48">
        <f>outline!B34</f>
        <v>6</v>
      </c>
      <c r="B44" s="48">
        <f>outline!C34</f>
        <v>1</v>
      </c>
      <c r="C44" s="48">
        <f>outline!D34</f>
        <v>0</v>
      </c>
      <c r="D44" s="48" t="str">
        <f>outline!E34</f>
        <v>TAS</v>
      </c>
      <c r="E44" s="49"/>
      <c r="F44" s="50"/>
      <c r="G44" s="49">
        <v>4</v>
      </c>
      <c r="H44" s="51">
        <v>92000</v>
      </c>
      <c r="I44" s="52">
        <f t="shared" si="0"/>
        <v>368000</v>
      </c>
      <c r="J44" s="50"/>
      <c r="K44" s="53">
        <v>1</v>
      </c>
      <c r="L44" s="54">
        <f>103000*1.05</f>
        <v>108150</v>
      </c>
      <c r="M44" s="54">
        <f t="shared" si="1"/>
        <v>432600</v>
      </c>
      <c r="N44" s="55">
        <f t="shared" si="2"/>
        <v>800600</v>
      </c>
    </row>
    <row r="45" spans="1:14" ht="15.75">
      <c r="A45" s="48">
        <f>outline!B35</f>
        <v>6</v>
      </c>
      <c r="B45" s="48">
        <f>outline!C35</f>
        <v>2</v>
      </c>
      <c r="C45" s="48">
        <f>outline!D35</f>
        <v>0</v>
      </c>
      <c r="D45" s="48" t="str">
        <f>outline!E35</f>
        <v>TAN</v>
      </c>
      <c r="E45" s="49"/>
      <c r="F45" s="50"/>
      <c r="G45" s="49">
        <v>4</v>
      </c>
      <c r="H45" s="51">
        <v>125000</v>
      </c>
      <c r="I45" s="52">
        <f t="shared" si="0"/>
        <v>500000</v>
      </c>
      <c r="J45" s="50"/>
      <c r="K45" s="53">
        <v>1</v>
      </c>
      <c r="L45" s="54">
        <f>1.16*183000</f>
        <v>212279.99999999997</v>
      </c>
      <c r="M45" s="54">
        <f t="shared" si="1"/>
        <v>849119.9999999999</v>
      </c>
      <c r="N45" s="55">
        <f t="shared" si="2"/>
        <v>1349120</v>
      </c>
    </row>
    <row r="46" spans="1:14" ht="15.75">
      <c r="A46" s="48">
        <f>outline!B36</f>
        <v>0</v>
      </c>
      <c r="B46" s="48">
        <f>outline!C36</f>
        <v>0</v>
      </c>
      <c r="C46" s="48">
        <f>outline!D36</f>
        <v>0</v>
      </c>
      <c r="D46" s="48">
        <f>outline!E36</f>
        <v>0</v>
      </c>
      <c r="E46" s="49"/>
      <c r="F46" s="50"/>
      <c r="G46" s="49"/>
      <c r="H46" s="51"/>
      <c r="I46" s="52">
        <f t="shared" si="0"/>
      </c>
      <c r="J46" s="50"/>
      <c r="K46" s="53"/>
      <c r="L46" s="54"/>
      <c r="M46" s="54">
        <f t="shared" si="1"/>
      </c>
      <c r="N46" s="55">
        <f t="shared" si="2"/>
        <v>0</v>
      </c>
    </row>
    <row r="47" spans="1:14" ht="15.75">
      <c r="A47" s="48">
        <f>outline!B37</f>
        <v>7</v>
      </c>
      <c r="B47" s="48">
        <f>outline!C37</f>
        <v>0</v>
      </c>
      <c r="C47" s="48">
        <f>outline!D37</f>
        <v>0</v>
      </c>
      <c r="D47" s="48" t="str">
        <f>outline!E37</f>
        <v>LCW</v>
      </c>
      <c r="E47" s="49">
        <v>8</v>
      </c>
      <c r="F47" s="50" t="s">
        <v>108</v>
      </c>
      <c r="G47" s="49"/>
      <c r="H47" s="51"/>
      <c r="I47" s="52">
        <f t="shared" si="0"/>
      </c>
      <c r="J47" s="50"/>
      <c r="K47" s="53"/>
      <c r="L47" s="54"/>
      <c r="M47" s="54">
        <f t="shared" si="1"/>
      </c>
      <c r="N47" s="55">
        <f t="shared" si="2"/>
        <v>0</v>
      </c>
    </row>
    <row r="48" spans="1:14" ht="15.75">
      <c r="A48" s="48">
        <f>outline!B38</f>
        <v>7</v>
      </c>
      <c r="B48" s="48">
        <f>outline!C38</f>
        <v>1</v>
      </c>
      <c r="C48" s="48">
        <f>outline!D38</f>
        <v>0</v>
      </c>
      <c r="D48" s="48" t="str">
        <f>outline!E38</f>
        <v>System for PS and TAN/TAS</v>
      </c>
      <c r="E48" s="49"/>
      <c r="F48" s="50" t="s">
        <v>108</v>
      </c>
      <c r="G48" s="49">
        <v>4</v>
      </c>
      <c r="H48" s="51">
        <v>50000</v>
      </c>
      <c r="I48" s="52">
        <f t="shared" si="0"/>
        <v>200000</v>
      </c>
      <c r="J48" s="50"/>
      <c r="K48" s="53">
        <v>1</v>
      </c>
      <c r="L48" s="54">
        <v>50000</v>
      </c>
      <c r="M48" s="54">
        <f t="shared" si="1"/>
        <v>200000</v>
      </c>
      <c r="N48" s="55">
        <f t="shared" si="2"/>
        <v>400000</v>
      </c>
    </row>
    <row r="49" spans="1:14" ht="15.75">
      <c r="A49" s="48">
        <f>outline!B39</f>
        <v>7</v>
      </c>
      <c r="B49" s="48">
        <f>outline!C39</f>
        <v>2</v>
      </c>
      <c r="C49" s="48">
        <f>outline!D39</f>
        <v>0</v>
      </c>
      <c r="D49" s="48" t="str">
        <f>outline!E39</f>
        <v>Piping</v>
      </c>
      <c r="E49" s="49">
        <v>99</v>
      </c>
      <c r="F49" s="50" t="s">
        <v>134</v>
      </c>
      <c r="G49" s="49"/>
      <c r="H49" s="51"/>
      <c r="I49" s="52">
        <f t="shared" si="0"/>
      </c>
      <c r="J49" s="50"/>
      <c r="K49" s="53"/>
      <c r="L49" s="54"/>
      <c r="M49" s="54">
        <f t="shared" si="1"/>
      </c>
      <c r="N49" s="55">
        <f t="shared" si="2"/>
        <v>0</v>
      </c>
    </row>
    <row r="50" spans="1:14" ht="15.75">
      <c r="A50" s="48">
        <f>outline!B40</f>
        <v>0</v>
      </c>
      <c r="B50" s="48">
        <f>outline!C40</f>
        <v>0</v>
      </c>
      <c r="C50" s="48">
        <f>outline!D40</f>
        <v>0</v>
      </c>
      <c r="D50" s="48">
        <f>outline!E40</f>
        <v>0</v>
      </c>
      <c r="E50" s="49"/>
      <c r="F50" s="50"/>
      <c r="G50" s="49"/>
      <c r="H50" s="51"/>
      <c r="I50" s="52">
        <f t="shared" si="0"/>
      </c>
      <c r="J50" s="50"/>
      <c r="K50" s="53"/>
      <c r="L50" s="54"/>
      <c r="M50" s="54">
        <f t="shared" si="1"/>
      </c>
      <c r="N50" s="55">
        <f t="shared" si="2"/>
        <v>0</v>
      </c>
    </row>
    <row r="51" spans="1:14" ht="15.75">
      <c r="A51" s="48">
        <f>outline!B41</f>
        <v>0</v>
      </c>
      <c r="B51" s="48">
        <f>outline!C41</f>
        <v>0</v>
      </c>
      <c r="C51" s="48">
        <f>outline!D41</f>
        <v>0</v>
      </c>
      <c r="D51" s="48">
        <f>outline!E41</f>
        <v>0</v>
      </c>
      <c r="E51" s="49"/>
      <c r="F51" s="50"/>
      <c r="G51" s="49"/>
      <c r="H51" s="51"/>
      <c r="I51" s="52">
        <f t="shared" si="0"/>
      </c>
      <c r="J51" s="50"/>
      <c r="K51" s="53"/>
      <c r="L51" s="54"/>
      <c r="M51" s="54">
        <f t="shared" si="1"/>
      </c>
      <c r="N51" s="55">
        <f t="shared" si="2"/>
        <v>0</v>
      </c>
    </row>
    <row r="52" spans="1:14" ht="15.75">
      <c r="A52" s="48">
        <f>outline!B42</f>
        <v>0</v>
      </c>
      <c r="B52" s="48">
        <f>outline!C42</f>
        <v>0</v>
      </c>
      <c r="C52" s="48">
        <f>outline!D42</f>
        <v>0</v>
      </c>
      <c r="D52" s="48">
        <f>outline!E42</f>
        <v>0</v>
      </c>
      <c r="E52" s="49"/>
      <c r="F52" s="50"/>
      <c r="G52" s="49"/>
      <c r="H52" s="51"/>
      <c r="I52" s="52">
        <f t="shared" si="0"/>
      </c>
      <c r="J52" s="50"/>
      <c r="K52" s="53"/>
      <c r="L52" s="54"/>
      <c r="M52" s="54">
        <f t="shared" si="1"/>
      </c>
      <c r="N52" s="55">
        <f t="shared" si="2"/>
        <v>0</v>
      </c>
    </row>
    <row r="53" spans="1:14" ht="15.75">
      <c r="A53" s="48">
        <f>outline!B43</f>
        <v>0</v>
      </c>
      <c r="B53" s="48">
        <f>outline!C43</f>
        <v>0</v>
      </c>
      <c r="C53" s="48">
        <f>outline!D43</f>
        <v>0</v>
      </c>
      <c r="D53" s="48">
        <f>outline!E43</f>
        <v>0</v>
      </c>
      <c r="E53" s="49"/>
      <c r="F53" s="50"/>
      <c r="G53" s="49"/>
      <c r="H53" s="51"/>
      <c r="I53" s="52">
        <f t="shared" si="0"/>
      </c>
      <c r="J53" s="50"/>
      <c r="K53" s="53"/>
      <c r="L53" s="54"/>
      <c r="M53" s="54">
        <f t="shared" si="1"/>
      </c>
      <c r="N53" s="55">
        <f t="shared" si="2"/>
        <v>0</v>
      </c>
    </row>
    <row r="54" spans="1:14" ht="15.75">
      <c r="A54" s="48">
        <f>outline!B44</f>
        <v>0</v>
      </c>
      <c r="B54" s="48">
        <f>outline!C44</f>
        <v>0</v>
      </c>
      <c r="C54" s="48">
        <f>outline!D44</f>
        <v>0</v>
      </c>
      <c r="D54" s="48">
        <f>outline!E44</f>
        <v>0</v>
      </c>
      <c r="E54" s="49"/>
      <c r="F54" s="50"/>
      <c r="G54" s="49"/>
      <c r="H54" s="51"/>
      <c r="I54" s="52">
        <f t="shared" si="0"/>
      </c>
      <c r="J54" s="50"/>
      <c r="K54" s="53"/>
      <c r="L54" s="54"/>
      <c r="M54" s="54">
        <f t="shared" si="1"/>
      </c>
      <c r="N54" s="55">
        <f t="shared" si="2"/>
        <v>0</v>
      </c>
    </row>
    <row r="55" spans="1:14" ht="15.75">
      <c r="A55" s="48">
        <f>outline!B45</f>
        <v>0</v>
      </c>
      <c r="B55" s="48">
        <f>outline!C45</f>
        <v>0</v>
      </c>
      <c r="C55" s="48">
        <f>outline!D45</f>
        <v>0</v>
      </c>
      <c r="D55" s="48">
        <f>outline!E45</f>
        <v>0</v>
      </c>
      <c r="E55" s="49"/>
      <c r="F55" s="50"/>
      <c r="G55" s="49"/>
      <c r="H55" s="51"/>
      <c r="I55" s="52"/>
      <c r="J55" s="50"/>
      <c r="K55" s="53"/>
      <c r="L55" s="54"/>
      <c r="M55" s="54">
        <f t="shared" si="1"/>
      </c>
      <c r="N55" s="55">
        <f t="shared" si="2"/>
        <v>0</v>
      </c>
    </row>
    <row r="56" spans="1:14" ht="15.75">
      <c r="A56" s="48">
        <f>outline!B46</f>
        <v>0</v>
      </c>
      <c r="B56" s="48">
        <f>outline!C46</f>
        <v>0</v>
      </c>
      <c r="C56" s="48">
        <f>outline!D46</f>
        <v>0</v>
      </c>
      <c r="D56" s="48">
        <f>outline!E46</f>
        <v>0</v>
      </c>
      <c r="E56" s="49"/>
      <c r="F56" s="50"/>
      <c r="G56" s="49"/>
      <c r="H56" s="51"/>
      <c r="I56" s="52"/>
      <c r="J56" s="50"/>
      <c r="K56" s="53"/>
      <c r="L56" s="54"/>
      <c r="M56" s="54">
        <f t="shared" si="1"/>
      </c>
      <c r="N56" s="55">
        <f t="shared" si="2"/>
        <v>0</v>
      </c>
    </row>
    <row r="57" spans="1:14" ht="15.75">
      <c r="A57" s="48">
        <f>outline!B47</f>
        <v>0</v>
      </c>
      <c r="B57" s="48">
        <f>outline!C47</f>
        <v>0</v>
      </c>
      <c r="C57" s="48">
        <f>outline!D47</f>
        <v>0</v>
      </c>
      <c r="D57" s="48">
        <f>outline!E47</f>
        <v>0</v>
      </c>
      <c r="E57" s="49"/>
      <c r="F57" s="50"/>
      <c r="G57" s="49"/>
      <c r="H57" s="51"/>
      <c r="I57" s="52"/>
      <c r="J57" s="50"/>
      <c r="K57" s="53"/>
      <c r="L57" s="54"/>
      <c r="M57" s="54">
        <f t="shared" si="1"/>
      </c>
      <c r="N57" s="55">
        <f t="shared" si="2"/>
        <v>0</v>
      </c>
    </row>
    <row r="58" spans="1:14" ht="15.75">
      <c r="A58" s="48">
        <f>outline!B48</f>
        <v>0</v>
      </c>
      <c r="B58" s="48">
        <f>outline!C48</f>
        <v>0</v>
      </c>
      <c r="C58" s="48">
        <f>outline!D48</f>
        <v>0</v>
      </c>
      <c r="D58" s="48">
        <f>outline!E48</f>
        <v>0</v>
      </c>
      <c r="E58" s="49"/>
      <c r="F58" s="50"/>
      <c r="G58" s="49"/>
      <c r="H58" s="51"/>
      <c r="I58" s="52">
        <f>IF(H58="","",G58*H58)</f>
      </c>
      <c r="J58" s="50"/>
      <c r="K58" s="53"/>
      <c r="L58" s="54"/>
      <c r="M58" s="54">
        <f t="shared" si="1"/>
      </c>
      <c r="N58" s="55">
        <f t="shared" si="2"/>
        <v>0</v>
      </c>
    </row>
    <row r="59" spans="1:14" ht="15.75">
      <c r="A59" s="48">
        <f>outline!B49</f>
        <v>0</v>
      </c>
      <c r="B59" s="48">
        <f>outline!C49</f>
        <v>0</v>
      </c>
      <c r="C59" s="48">
        <f>outline!D49</f>
        <v>0</v>
      </c>
      <c r="D59" s="48">
        <f>outline!E49</f>
        <v>0</v>
      </c>
      <c r="E59" s="49"/>
      <c r="F59" s="50"/>
      <c r="G59" s="49"/>
      <c r="H59" s="51"/>
      <c r="I59" s="52">
        <f>IF(H59="","",G59*H59)</f>
      </c>
      <c r="J59" s="50"/>
      <c r="K59" s="53"/>
      <c r="L59" s="54"/>
      <c r="M59" s="54">
        <f t="shared" si="1"/>
      </c>
      <c r="N59" s="55">
        <f t="shared" si="2"/>
        <v>0</v>
      </c>
    </row>
    <row r="60" spans="1:14" ht="15.75">
      <c r="A60" s="56"/>
      <c r="B60" s="56"/>
      <c r="C60" s="56"/>
      <c r="D60" s="56"/>
      <c r="E60" s="56"/>
      <c r="F60" s="56"/>
      <c r="G60" s="15"/>
      <c r="H60" s="57"/>
      <c r="I60" s="56"/>
      <c r="J60" s="15"/>
      <c r="K60" s="15"/>
      <c r="L60" s="58"/>
      <c r="M60" s="57"/>
      <c r="N60" s="56"/>
    </row>
    <row r="61" spans="1:14" ht="15.75">
      <c r="A61" s="59" t="s">
        <v>24</v>
      </c>
      <c r="B61" s="60"/>
      <c r="C61" s="60"/>
      <c r="D61" s="60"/>
      <c r="E61" s="60"/>
      <c r="F61" s="60"/>
      <c r="G61" s="60"/>
      <c r="H61" s="61"/>
      <c r="I61" s="60"/>
      <c r="J61" s="60"/>
      <c r="K61" s="60"/>
      <c r="L61" s="60"/>
      <c r="M61" s="60"/>
      <c r="N61" s="62"/>
    </row>
    <row r="62" spans="1:14" ht="15.75">
      <c r="A62" s="63"/>
      <c r="B62" s="64"/>
      <c r="C62" s="64">
        <v>1</v>
      </c>
      <c r="D62" s="64" t="s">
        <v>95</v>
      </c>
      <c r="E62" s="64"/>
      <c r="F62" s="64"/>
      <c r="G62" s="64"/>
      <c r="H62" s="56"/>
      <c r="I62" s="64"/>
      <c r="J62" s="64"/>
      <c r="K62" s="64"/>
      <c r="L62" s="64"/>
      <c r="M62" s="64"/>
      <c r="N62" s="65"/>
    </row>
    <row r="63" spans="1:14" ht="15.75">
      <c r="A63" s="63"/>
      <c r="B63" s="64"/>
      <c r="C63" s="64">
        <v>2</v>
      </c>
      <c r="D63" s="64" t="s">
        <v>96</v>
      </c>
      <c r="E63" s="64"/>
      <c r="F63" s="64"/>
      <c r="G63" s="64"/>
      <c r="H63" s="56"/>
      <c r="I63" s="64"/>
      <c r="J63" s="64"/>
      <c r="K63" s="64"/>
      <c r="L63" s="64"/>
      <c r="M63" s="64"/>
      <c r="N63" s="65"/>
    </row>
    <row r="64" spans="1:14" ht="15.75">
      <c r="A64" s="63"/>
      <c r="B64" s="64"/>
      <c r="C64" s="64">
        <v>3</v>
      </c>
      <c r="D64" s="64" t="s">
        <v>100</v>
      </c>
      <c r="E64" s="64"/>
      <c r="F64" s="64"/>
      <c r="G64" s="64"/>
      <c r="H64" s="56"/>
      <c r="I64" s="64"/>
      <c r="J64" s="64"/>
      <c r="K64" s="64"/>
      <c r="L64" s="64"/>
      <c r="M64" s="64"/>
      <c r="N64" s="65"/>
    </row>
    <row r="65" spans="1:14" ht="15.75">
      <c r="A65" s="63"/>
      <c r="B65" s="64"/>
      <c r="C65" s="64">
        <v>4</v>
      </c>
      <c r="D65" s="64" t="s">
        <v>102</v>
      </c>
      <c r="E65" s="64"/>
      <c r="F65" s="64"/>
      <c r="G65" s="64"/>
      <c r="H65" s="56"/>
      <c r="I65" s="64"/>
      <c r="J65" s="64"/>
      <c r="K65" s="64"/>
      <c r="L65" s="64"/>
      <c r="M65" s="64"/>
      <c r="N65" s="65"/>
    </row>
    <row r="66" spans="1:14" ht="15.75">
      <c r="A66" s="63"/>
      <c r="B66" s="64"/>
      <c r="C66" s="64">
        <v>5</v>
      </c>
      <c r="D66" s="64" t="s">
        <v>101</v>
      </c>
      <c r="E66" s="64"/>
      <c r="F66" s="64"/>
      <c r="G66" s="64"/>
      <c r="H66" s="56"/>
      <c r="I66" s="64"/>
      <c r="J66" s="64"/>
      <c r="K66" s="64"/>
      <c r="L66" s="64"/>
      <c r="M66" s="64"/>
      <c r="N66" s="65"/>
    </row>
    <row r="67" spans="1:14" ht="15.75">
      <c r="A67" s="63"/>
      <c r="B67" s="64"/>
      <c r="C67" s="64">
        <v>6</v>
      </c>
      <c r="D67" s="64" t="s">
        <v>100</v>
      </c>
      <c r="E67" s="64"/>
      <c r="F67" s="64"/>
      <c r="G67" s="64"/>
      <c r="H67" s="56"/>
      <c r="I67" s="64"/>
      <c r="J67" s="64"/>
      <c r="K67" s="64"/>
      <c r="L67" s="64"/>
      <c r="M67" s="64"/>
      <c r="N67" s="65"/>
    </row>
    <row r="68" spans="1:14" ht="15.75">
      <c r="A68" s="63"/>
      <c r="B68" s="64"/>
      <c r="C68" s="64">
        <v>7</v>
      </c>
      <c r="D68" s="64" t="s">
        <v>99</v>
      </c>
      <c r="E68" s="64"/>
      <c r="F68" s="64"/>
      <c r="G68" s="64"/>
      <c r="H68" s="56"/>
      <c r="I68" s="64"/>
      <c r="J68" s="64"/>
      <c r="K68" s="64"/>
      <c r="L68" s="64"/>
      <c r="M68" s="64"/>
      <c r="N68" s="65"/>
    </row>
    <row r="69" spans="1:14" ht="15.75">
      <c r="A69" s="66"/>
      <c r="B69" s="13"/>
      <c r="C69" s="56">
        <v>8</v>
      </c>
      <c r="D69" s="64" t="s">
        <v>98</v>
      </c>
      <c r="E69" s="64"/>
      <c r="F69" s="67"/>
      <c r="G69" s="64"/>
      <c r="H69" s="56"/>
      <c r="I69" s="64"/>
      <c r="J69" s="64"/>
      <c r="K69" s="64"/>
      <c r="L69" s="64"/>
      <c r="M69" s="64"/>
      <c r="N69" s="65"/>
    </row>
    <row r="70" spans="1:14" ht="15.75">
      <c r="A70" s="68"/>
      <c r="B70" s="69"/>
      <c r="C70" s="69">
        <v>99</v>
      </c>
      <c r="D70" s="69" t="s">
        <v>97</v>
      </c>
      <c r="E70" s="69"/>
      <c r="F70" s="69"/>
      <c r="G70" s="69"/>
      <c r="H70" s="11"/>
      <c r="I70" s="69"/>
      <c r="J70" s="69"/>
      <c r="K70" s="69"/>
      <c r="L70" s="69"/>
      <c r="M70" s="69"/>
      <c r="N70" s="70"/>
    </row>
  </sheetData>
  <mergeCells count="1">
    <mergeCell ref="F8:I8"/>
  </mergeCells>
  <printOptions/>
  <pageMargins left="0.66" right="0.37" top="0.86" bottom="0.62" header="0.5" footer="0.41"/>
  <pageSetup fitToHeight="1" fitToWidth="1" horizontalDpi="600" verticalDpi="600" orientation="landscape" scale="4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zoomScale="50" zoomScaleNormal="50" workbookViewId="0" topLeftCell="A1">
      <selection activeCell="K43" sqref="K43"/>
    </sheetView>
  </sheetViews>
  <sheetFormatPr defaultColWidth="9.140625" defaultRowHeight="12.75"/>
  <cols>
    <col min="1" max="4" width="9.140625" style="73" customWidth="1"/>
    <col min="11" max="11" width="39.57421875" style="0" customWidth="1"/>
    <col min="12" max="12" width="11.00390625" style="0" bestFit="1" customWidth="1"/>
  </cols>
  <sheetData>
    <row r="2" spans="1:5" ht="12.75">
      <c r="A2" s="73">
        <v>1</v>
      </c>
      <c r="B2" s="73">
        <v>1</v>
      </c>
      <c r="E2" t="s">
        <v>25</v>
      </c>
    </row>
    <row r="3" spans="1:11" ht="12.75">
      <c r="A3" s="73">
        <v>1</v>
      </c>
      <c r="B3" s="73">
        <v>1</v>
      </c>
      <c r="C3" s="73">
        <v>1</v>
      </c>
      <c r="E3" t="s">
        <v>87</v>
      </c>
      <c r="K3" s="72"/>
    </row>
    <row r="4" spans="1:11" ht="12.75">
      <c r="A4" s="73">
        <v>1</v>
      </c>
      <c r="B4" s="73">
        <v>1</v>
      </c>
      <c r="C4" s="73">
        <v>1</v>
      </c>
      <c r="D4" s="73">
        <v>1</v>
      </c>
      <c r="E4" t="s">
        <v>88</v>
      </c>
      <c r="K4" s="72"/>
    </row>
    <row r="5" spans="1:11" ht="12.75">
      <c r="A5" s="73">
        <v>1</v>
      </c>
      <c r="B5" s="73">
        <v>1</v>
      </c>
      <c r="C5" s="73">
        <v>1</v>
      </c>
      <c r="D5" s="73">
        <v>2</v>
      </c>
      <c r="E5" t="s">
        <v>89</v>
      </c>
      <c r="K5" s="72"/>
    </row>
    <row r="6" spans="1:11" ht="12.75">
      <c r="A6" s="73">
        <v>1</v>
      </c>
      <c r="B6" s="73">
        <v>1</v>
      </c>
      <c r="C6" s="73">
        <v>1</v>
      </c>
      <c r="D6" s="73">
        <v>3</v>
      </c>
      <c r="E6" t="s">
        <v>90</v>
      </c>
      <c r="K6" s="72"/>
    </row>
    <row r="7" spans="1:11" ht="12.75">
      <c r="A7" s="73">
        <v>1</v>
      </c>
      <c r="B7" s="73">
        <v>1</v>
      </c>
      <c r="C7" s="73">
        <v>1</v>
      </c>
      <c r="D7" s="73">
        <v>4</v>
      </c>
      <c r="E7" t="s">
        <v>38</v>
      </c>
      <c r="K7" s="72"/>
    </row>
    <row r="8" spans="1:11" ht="12.75">
      <c r="A8" s="73">
        <v>1</v>
      </c>
      <c r="B8" s="73">
        <v>1</v>
      </c>
      <c r="C8" s="73">
        <v>1</v>
      </c>
      <c r="D8" s="73">
        <v>5</v>
      </c>
      <c r="E8" t="s">
        <v>48</v>
      </c>
      <c r="K8" s="72"/>
    </row>
    <row r="9" spans="1:5" ht="12.75">
      <c r="A9" s="73">
        <v>1</v>
      </c>
      <c r="B9" s="73">
        <v>1</v>
      </c>
      <c r="C9" s="73">
        <v>2</v>
      </c>
      <c r="E9" t="s">
        <v>93</v>
      </c>
    </row>
    <row r="10" spans="1:5" ht="12.75">
      <c r="A10" s="73">
        <v>1</v>
      </c>
      <c r="B10" s="73">
        <v>1</v>
      </c>
      <c r="C10" s="73">
        <v>3</v>
      </c>
      <c r="E10" t="s">
        <v>91</v>
      </c>
    </row>
    <row r="11" spans="1:5" ht="12.75">
      <c r="A11" s="73">
        <v>1</v>
      </c>
      <c r="B11" s="73">
        <v>1</v>
      </c>
      <c r="C11" s="73">
        <v>4</v>
      </c>
      <c r="E11" t="s">
        <v>92</v>
      </c>
    </row>
    <row r="13" spans="1:5" ht="12.75">
      <c r="A13" s="73">
        <v>1</v>
      </c>
      <c r="B13" s="73">
        <v>2</v>
      </c>
      <c r="E13" t="s">
        <v>28</v>
      </c>
    </row>
    <row r="14" spans="1:5" ht="12.75">
      <c r="A14" s="73">
        <v>1</v>
      </c>
      <c r="B14" s="73">
        <v>2</v>
      </c>
      <c r="C14" s="73">
        <v>1</v>
      </c>
      <c r="E14" t="s">
        <v>70</v>
      </c>
    </row>
    <row r="15" spans="1:5" ht="12.75">
      <c r="A15" s="73">
        <v>1</v>
      </c>
      <c r="B15" s="73">
        <v>2</v>
      </c>
      <c r="C15" s="73">
        <v>2</v>
      </c>
      <c r="E15" t="s">
        <v>71</v>
      </c>
    </row>
    <row r="16" spans="1:5" ht="12.75">
      <c r="A16" s="73">
        <v>1</v>
      </c>
      <c r="B16" s="73">
        <v>2</v>
      </c>
      <c r="C16" s="73">
        <v>3</v>
      </c>
      <c r="E16" t="s">
        <v>72</v>
      </c>
    </row>
    <row r="18" spans="1:5" ht="12.75">
      <c r="A18" s="73">
        <v>1</v>
      </c>
      <c r="B18" s="73">
        <v>3</v>
      </c>
      <c r="E18" t="s">
        <v>26</v>
      </c>
    </row>
    <row r="19" spans="1:5" ht="12.75">
      <c r="A19" s="73">
        <v>1</v>
      </c>
      <c r="B19" s="73">
        <v>3</v>
      </c>
      <c r="C19" s="73">
        <v>1</v>
      </c>
      <c r="E19" t="s">
        <v>73</v>
      </c>
    </row>
    <row r="20" spans="1:5" ht="12.75">
      <c r="A20" s="73">
        <v>1</v>
      </c>
      <c r="B20" s="73">
        <v>3</v>
      </c>
      <c r="C20" s="73">
        <v>2</v>
      </c>
      <c r="E20" t="s">
        <v>74</v>
      </c>
    </row>
    <row r="21" spans="1:5" ht="12.75">
      <c r="A21" s="73">
        <v>1</v>
      </c>
      <c r="B21" s="73">
        <v>3</v>
      </c>
      <c r="C21" s="73">
        <v>3</v>
      </c>
      <c r="E21" t="s">
        <v>75</v>
      </c>
    </row>
    <row r="22" spans="1:5" ht="12.75">
      <c r="A22" s="73">
        <v>1</v>
      </c>
      <c r="B22" s="73">
        <v>3</v>
      </c>
      <c r="C22" s="73">
        <v>4</v>
      </c>
      <c r="E22" t="s">
        <v>86</v>
      </c>
    </row>
    <row r="23" spans="1:5" ht="12.75">
      <c r="A23" s="73">
        <v>1</v>
      </c>
      <c r="B23" s="73">
        <v>3</v>
      </c>
      <c r="C23" s="73">
        <v>4</v>
      </c>
      <c r="E23" t="s">
        <v>76</v>
      </c>
    </row>
    <row r="24" spans="1:5" ht="12.75">
      <c r="A24" s="73">
        <v>1</v>
      </c>
      <c r="B24" s="73">
        <v>3</v>
      </c>
      <c r="C24" s="73">
        <v>5</v>
      </c>
      <c r="E24" t="s">
        <v>77</v>
      </c>
    </row>
    <row r="26" spans="1:5" ht="12.75">
      <c r="A26" s="73">
        <v>1</v>
      </c>
      <c r="B26" s="73">
        <v>4</v>
      </c>
      <c r="E26" t="s">
        <v>78</v>
      </c>
    </row>
    <row r="27" spans="1:5" ht="12.75">
      <c r="A27" s="73">
        <v>1</v>
      </c>
      <c r="B27" s="73">
        <v>4</v>
      </c>
      <c r="C27" s="73">
        <v>1</v>
      </c>
      <c r="E27" t="s">
        <v>79</v>
      </c>
    </row>
    <row r="28" spans="1:5" ht="12.75">
      <c r="A28" s="73">
        <v>1</v>
      </c>
      <c r="B28" s="73">
        <v>4</v>
      </c>
      <c r="C28" s="73">
        <v>2</v>
      </c>
      <c r="E28" t="s">
        <v>80</v>
      </c>
    </row>
    <row r="30" spans="1:5" ht="12.75">
      <c r="A30" s="73">
        <v>1</v>
      </c>
      <c r="B30" s="73">
        <v>5</v>
      </c>
      <c r="E30" t="s">
        <v>81</v>
      </c>
    </row>
    <row r="31" spans="1:5" ht="12.75">
      <c r="A31" s="73">
        <v>1</v>
      </c>
      <c r="B31" s="73">
        <v>5</v>
      </c>
      <c r="C31" s="73">
        <v>1</v>
      </c>
      <c r="E31" t="s">
        <v>82</v>
      </c>
    </row>
    <row r="33" spans="1:5" ht="12.75">
      <c r="A33" s="73">
        <v>1</v>
      </c>
      <c r="B33" s="73">
        <v>6</v>
      </c>
      <c r="E33" t="s">
        <v>27</v>
      </c>
    </row>
    <row r="34" spans="1:5" ht="12.75">
      <c r="A34" s="73">
        <v>1</v>
      </c>
      <c r="B34" s="73">
        <v>6</v>
      </c>
      <c r="C34" s="73">
        <v>1</v>
      </c>
      <c r="E34" t="s">
        <v>83</v>
      </c>
    </row>
    <row r="35" spans="1:5" ht="12.75">
      <c r="A35" s="73">
        <v>1</v>
      </c>
      <c r="B35" s="73">
        <v>6</v>
      </c>
      <c r="C35" s="73">
        <v>2</v>
      </c>
      <c r="E35" t="s">
        <v>84</v>
      </c>
    </row>
    <row r="37" spans="1:5" ht="12.75">
      <c r="A37" s="73">
        <v>1</v>
      </c>
      <c r="B37" s="73">
        <v>7</v>
      </c>
      <c r="E37" t="s">
        <v>85</v>
      </c>
    </row>
    <row r="38" spans="1:5" ht="12.75">
      <c r="A38" s="73">
        <v>1</v>
      </c>
      <c r="B38" s="73">
        <v>7</v>
      </c>
      <c r="C38" s="73">
        <v>1</v>
      </c>
      <c r="E38" t="s">
        <v>94</v>
      </c>
    </row>
    <row r="39" spans="1:5" ht="12.75">
      <c r="A39" s="73">
        <v>1</v>
      </c>
      <c r="B39" s="73">
        <v>7</v>
      </c>
      <c r="C39" s="73">
        <v>2</v>
      </c>
      <c r="E39" t="s">
        <v>107</v>
      </c>
    </row>
    <row r="40" ht="13.5" customHeight="1"/>
    <row r="41" ht="13.5" customHeight="1"/>
    <row r="42" ht="13.5" customHeight="1"/>
    <row r="43" ht="13.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1">
      <selection activeCell="N31" sqref="N31"/>
    </sheetView>
  </sheetViews>
  <sheetFormatPr defaultColWidth="9.140625" defaultRowHeight="12.75"/>
  <cols>
    <col min="1" max="1" width="8.57421875" style="0" customWidth="1"/>
    <col min="2" max="2" width="7.8515625" style="0" customWidth="1"/>
    <col min="3" max="3" width="8.28125" style="0" customWidth="1"/>
    <col min="4" max="4" width="9.140625" style="74" customWidth="1"/>
    <col min="5" max="5" width="10.7109375" style="74" customWidth="1"/>
    <col min="6" max="6" width="10.7109375" style="108" customWidth="1"/>
    <col min="7" max="7" width="9.140625" style="109" customWidth="1"/>
    <col min="8" max="8" width="9.140625" style="108" customWidth="1"/>
    <col min="9" max="11" width="7.421875" style="0" customWidth="1"/>
    <col min="12" max="12" width="5.8515625" style="0" customWidth="1"/>
  </cols>
  <sheetData>
    <row r="1" spans="1:12" ht="12.75">
      <c r="A1" s="143" t="s">
        <v>151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.75">
      <c r="A2" s="143" t="s">
        <v>152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2.75">
      <c r="A3" s="143" t="s">
        <v>153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ht="13.5" thickBot="1"/>
    <row r="5" spans="1:12" s="75" customFormat="1" ht="38.25">
      <c r="A5" s="76"/>
      <c r="B5" s="77"/>
      <c r="C5" s="78"/>
      <c r="D5" s="79" t="s">
        <v>154</v>
      </c>
      <c r="E5" s="80" t="s">
        <v>155</v>
      </c>
      <c r="F5" s="81" t="s">
        <v>156</v>
      </c>
      <c r="G5" s="82" t="s">
        <v>157</v>
      </c>
      <c r="H5" s="112" t="s">
        <v>158</v>
      </c>
      <c r="I5" s="113" t="s">
        <v>196</v>
      </c>
      <c r="J5" s="114" t="s">
        <v>197</v>
      </c>
      <c r="K5" s="115" t="s">
        <v>198</v>
      </c>
      <c r="L5" s="116" t="s">
        <v>199</v>
      </c>
    </row>
    <row r="6" spans="1:12" ht="12.75">
      <c r="A6" s="84" t="s">
        <v>159</v>
      </c>
      <c r="B6" s="85"/>
      <c r="C6" s="85"/>
      <c r="D6" s="86">
        <v>9</v>
      </c>
      <c r="E6" s="87"/>
      <c r="F6" s="88"/>
      <c r="G6" s="89">
        <v>1</v>
      </c>
      <c r="H6" s="117"/>
      <c r="I6" s="118">
        <v>34.73</v>
      </c>
      <c r="J6" s="119"/>
      <c r="K6" s="120">
        <v>34.73</v>
      </c>
      <c r="L6" s="121"/>
    </row>
    <row r="7" spans="1:12" ht="25.5" customHeight="1">
      <c r="A7" s="91"/>
      <c r="B7" s="141" t="s">
        <v>160</v>
      </c>
      <c r="C7" s="142"/>
      <c r="D7" s="92"/>
      <c r="E7" s="93"/>
      <c r="F7" s="94"/>
      <c r="G7" s="95"/>
      <c r="H7" s="122"/>
      <c r="I7" s="123"/>
      <c r="J7" s="119"/>
      <c r="K7" s="124"/>
      <c r="L7" s="121"/>
    </row>
    <row r="8" spans="1:12" ht="12.75">
      <c r="A8" s="91"/>
      <c r="B8" s="97"/>
      <c r="C8" s="97" t="s">
        <v>161</v>
      </c>
      <c r="D8" s="98"/>
      <c r="E8" s="93">
        <v>1522</v>
      </c>
      <c r="F8" s="94">
        <f>E8/D$6</f>
        <v>169.11111111111111</v>
      </c>
      <c r="G8" s="95"/>
      <c r="H8" s="122">
        <f>F8*G$6</f>
        <v>169.11111111111111</v>
      </c>
      <c r="I8" s="123"/>
      <c r="J8" s="119"/>
      <c r="K8" s="124"/>
      <c r="L8" s="121"/>
    </row>
    <row r="9" spans="1:12" ht="12.75">
      <c r="A9" s="91"/>
      <c r="B9" s="97"/>
      <c r="C9" s="97" t="s">
        <v>162</v>
      </c>
      <c r="D9" s="98"/>
      <c r="E9" s="93">
        <v>914</v>
      </c>
      <c r="F9" s="94">
        <f>E9/D$6</f>
        <v>101.55555555555556</v>
      </c>
      <c r="G9" s="95"/>
      <c r="H9" s="122">
        <f>F9*G$6</f>
        <v>101.55555555555556</v>
      </c>
      <c r="I9" s="125"/>
      <c r="J9" s="126"/>
      <c r="K9" s="127"/>
      <c r="L9" s="128"/>
    </row>
    <row r="10" spans="1:12" ht="12.75">
      <c r="A10" s="91"/>
      <c r="B10" s="97"/>
      <c r="C10" s="99" t="s">
        <v>10</v>
      </c>
      <c r="D10" s="98"/>
      <c r="E10" s="87">
        <f>SUM(E8:E9)</f>
        <v>2436</v>
      </c>
      <c r="F10" s="88">
        <f>SUM(F8:F9)</f>
        <v>270.6666666666667</v>
      </c>
      <c r="G10" s="95"/>
      <c r="H10" s="117">
        <f>F10*G$6</f>
        <v>270.6666666666667</v>
      </c>
      <c r="I10" s="129">
        <f>E9*1000/I6</f>
        <v>26317.304923697095</v>
      </c>
      <c r="J10" s="119">
        <f>I10/1750</f>
        <v>15.03845995639834</v>
      </c>
      <c r="K10" s="130">
        <f>H9*1000/K6</f>
        <v>2924.1449915218996</v>
      </c>
      <c r="L10" s="119">
        <f>K10/1750</f>
        <v>1.6709399951553712</v>
      </c>
    </row>
    <row r="11" spans="1:12" ht="12.75">
      <c r="A11" s="91"/>
      <c r="B11" s="97" t="s">
        <v>163</v>
      </c>
      <c r="C11" s="97"/>
      <c r="D11" s="92"/>
      <c r="E11" s="93"/>
      <c r="F11" s="94"/>
      <c r="G11" s="95"/>
      <c r="H11" s="122"/>
      <c r="I11" s="129"/>
      <c r="J11" s="119"/>
      <c r="K11" s="130"/>
      <c r="L11" s="121"/>
    </row>
    <row r="12" spans="1:12" ht="12.75">
      <c r="A12" s="91"/>
      <c r="B12" s="97"/>
      <c r="C12" s="97" t="s">
        <v>161</v>
      </c>
      <c r="D12" s="98"/>
      <c r="E12" s="93">
        <v>889</v>
      </c>
      <c r="F12" s="94">
        <f>E12/D$6</f>
        <v>98.77777777777777</v>
      </c>
      <c r="G12" s="95"/>
      <c r="H12" s="122">
        <f>F12*G$6</f>
        <v>98.77777777777777</v>
      </c>
      <c r="I12" s="129"/>
      <c r="J12" s="119"/>
      <c r="K12" s="130"/>
      <c r="L12" s="121"/>
    </row>
    <row r="13" spans="1:12" ht="12.75">
      <c r="A13" s="91"/>
      <c r="B13" s="97"/>
      <c r="C13" s="97" t="s">
        <v>162</v>
      </c>
      <c r="D13" s="98"/>
      <c r="E13" s="93">
        <v>375</v>
      </c>
      <c r="F13" s="94">
        <f>E13/D$6</f>
        <v>41.666666666666664</v>
      </c>
      <c r="G13" s="95"/>
      <c r="H13" s="122">
        <f>F13*G$6</f>
        <v>41.666666666666664</v>
      </c>
      <c r="I13" s="131">
        <f>E13*1000/I6</f>
        <v>10797.581341779442</v>
      </c>
      <c r="J13" s="126">
        <f>I13/1750</f>
        <v>6.170046481016824</v>
      </c>
      <c r="K13" s="132">
        <f>H13*1000/K6</f>
        <v>1199.7312601977158</v>
      </c>
      <c r="L13" s="126">
        <f>K13/1750</f>
        <v>0.6855607201129804</v>
      </c>
    </row>
    <row r="14" spans="1:12" ht="12.75">
      <c r="A14" s="91"/>
      <c r="B14" s="97"/>
      <c r="C14" s="99" t="s">
        <v>10</v>
      </c>
      <c r="D14" s="98"/>
      <c r="E14" s="87">
        <f>SUM(E12:E13)</f>
        <v>1264</v>
      </c>
      <c r="F14" s="88">
        <f>SUM(F12:F13)</f>
        <v>140.44444444444443</v>
      </c>
      <c r="G14" s="95"/>
      <c r="H14" s="117">
        <f>F14*G$6</f>
        <v>140.44444444444443</v>
      </c>
      <c r="I14" s="129"/>
      <c r="J14" s="119"/>
      <c r="K14" s="130"/>
      <c r="L14" s="121"/>
    </row>
    <row r="15" spans="1:12" ht="12.75">
      <c r="A15" s="91"/>
      <c r="B15" s="97" t="s">
        <v>164</v>
      </c>
      <c r="C15" s="99"/>
      <c r="D15" s="92"/>
      <c r="E15" s="93"/>
      <c r="F15" s="94"/>
      <c r="G15" s="95"/>
      <c r="H15" s="122"/>
      <c r="I15" s="129"/>
      <c r="J15" s="119"/>
      <c r="K15" s="130"/>
      <c r="L15" s="121"/>
    </row>
    <row r="16" spans="1:12" ht="12.75">
      <c r="A16" s="91"/>
      <c r="B16" s="97"/>
      <c r="C16" s="97" t="s">
        <v>161</v>
      </c>
      <c r="D16" s="92"/>
      <c r="E16" s="93">
        <v>500</v>
      </c>
      <c r="F16" s="94">
        <f>E16/D$6</f>
        <v>55.55555555555556</v>
      </c>
      <c r="G16" s="95"/>
      <c r="H16" s="122">
        <f>F16*G$6</f>
        <v>55.55555555555556</v>
      </c>
      <c r="I16" s="129"/>
      <c r="J16" s="119"/>
      <c r="K16" s="130"/>
      <c r="L16" s="121"/>
    </row>
    <row r="17" spans="1:12" ht="12.75">
      <c r="A17" s="91"/>
      <c r="B17" s="97"/>
      <c r="C17" s="97" t="s">
        <v>162</v>
      </c>
      <c r="D17" s="92"/>
      <c r="E17" s="93">
        <v>341</v>
      </c>
      <c r="F17" s="94">
        <f>E17/D$6</f>
        <v>37.888888888888886</v>
      </c>
      <c r="G17" s="95"/>
      <c r="H17" s="122">
        <f>F17*G$6</f>
        <v>37.888888888888886</v>
      </c>
      <c r="I17" s="131">
        <f>E17*1000/I6</f>
        <v>9818.600633458107</v>
      </c>
      <c r="J17" s="126">
        <f>I17/1750</f>
        <v>5.610628933404633</v>
      </c>
      <c r="K17" s="132">
        <f>H17*1000/K6</f>
        <v>1090.9556259397893</v>
      </c>
      <c r="L17" s="126">
        <f>K17/1750</f>
        <v>0.6234032148227368</v>
      </c>
    </row>
    <row r="18" spans="1:12" ht="12.75">
      <c r="A18" s="91"/>
      <c r="B18" s="97"/>
      <c r="C18" s="99" t="s">
        <v>10</v>
      </c>
      <c r="D18" s="92"/>
      <c r="E18" s="87">
        <f>SUM(E16:E17)</f>
        <v>841</v>
      </c>
      <c r="F18" s="88">
        <f>SUM(F16:F17)</f>
        <v>93.44444444444444</v>
      </c>
      <c r="G18" s="95"/>
      <c r="H18" s="117">
        <f>F18*G$6</f>
        <v>93.44444444444444</v>
      </c>
      <c r="I18" s="129"/>
      <c r="J18" s="119"/>
      <c r="K18" s="130"/>
      <c r="L18" s="121"/>
    </row>
    <row r="19" spans="1:12" ht="12.75">
      <c r="A19" s="100"/>
      <c r="B19" s="101"/>
      <c r="C19" s="101"/>
      <c r="D19" s="102"/>
      <c r="E19" s="103"/>
      <c r="F19" s="104"/>
      <c r="G19" s="105"/>
      <c r="H19" s="133"/>
      <c r="I19" s="131"/>
      <c r="J19" s="126"/>
      <c r="K19" s="132"/>
      <c r="L19" s="128"/>
    </row>
    <row r="20" spans="1:12" ht="12.75">
      <c r="A20" s="84" t="s">
        <v>165</v>
      </c>
      <c r="B20" s="85"/>
      <c r="C20" s="85"/>
      <c r="D20" s="107"/>
      <c r="E20" s="87"/>
      <c r="F20" s="88"/>
      <c r="G20" s="89"/>
      <c r="H20" s="117"/>
      <c r="I20" s="129"/>
      <c r="J20" s="119"/>
      <c r="K20" s="130"/>
      <c r="L20" s="121"/>
    </row>
    <row r="21" spans="1:12" ht="12.75">
      <c r="A21" s="91"/>
      <c r="B21" s="97" t="s">
        <v>166</v>
      </c>
      <c r="C21" s="97"/>
      <c r="D21" s="92">
        <v>4</v>
      </c>
      <c r="E21" s="93"/>
      <c r="F21" s="94"/>
      <c r="G21" s="95">
        <v>1.16</v>
      </c>
      <c r="H21" s="122"/>
      <c r="I21" s="129"/>
      <c r="J21" s="119"/>
      <c r="K21" s="130"/>
      <c r="L21" s="121"/>
    </row>
    <row r="22" spans="1:12" ht="12.75">
      <c r="A22" s="91"/>
      <c r="B22" s="97"/>
      <c r="C22" s="97" t="s">
        <v>161</v>
      </c>
      <c r="D22" s="98"/>
      <c r="E22" s="93">
        <v>432</v>
      </c>
      <c r="F22" s="94">
        <f>E22/D21</f>
        <v>108</v>
      </c>
      <c r="G22" s="95"/>
      <c r="H22" s="122">
        <f>F22*G21</f>
        <v>125.27999999999999</v>
      </c>
      <c r="I22" s="129"/>
      <c r="J22" s="119"/>
      <c r="K22" s="130"/>
      <c r="L22" s="121"/>
    </row>
    <row r="23" spans="1:12" ht="12.75">
      <c r="A23" s="91"/>
      <c r="B23" s="97"/>
      <c r="C23" s="97" t="s">
        <v>162</v>
      </c>
      <c r="D23" s="98"/>
      <c r="E23" s="93">
        <v>731</v>
      </c>
      <c r="F23" s="94">
        <f>E23/D21</f>
        <v>182.75</v>
      </c>
      <c r="G23" s="95"/>
      <c r="H23" s="122">
        <f>F23*G21</f>
        <v>211.98999999999998</v>
      </c>
      <c r="I23" s="131">
        <f>E23*1000/I6</f>
        <v>21048.085228908727</v>
      </c>
      <c r="J23" s="126">
        <f>I23/1750</f>
        <v>12.02747727366213</v>
      </c>
      <c r="K23" s="132">
        <f>H23*1000/K6</f>
        <v>6103.94471638353</v>
      </c>
      <c r="L23" s="126">
        <f>K23/1750</f>
        <v>3.487968409362017</v>
      </c>
    </row>
    <row r="24" spans="1:12" ht="12.75">
      <c r="A24" s="91"/>
      <c r="B24" s="97"/>
      <c r="C24" s="99" t="s">
        <v>10</v>
      </c>
      <c r="D24" s="98"/>
      <c r="E24" s="87">
        <f>SUM(E22:E23)</f>
        <v>1163</v>
      </c>
      <c r="F24" s="88">
        <f>SUM(F22:F23)</f>
        <v>290.75</v>
      </c>
      <c r="G24" s="95"/>
      <c r="H24" s="117">
        <f>F24*G21</f>
        <v>337.27</v>
      </c>
      <c r="I24" s="129"/>
      <c r="J24" s="119"/>
      <c r="K24" s="130"/>
      <c r="L24" s="121"/>
    </row>
    <row r="25" spans="1:12" ht="12.75">
      <c r="A25" s="91"/>
      <c r="B25" s="97" t="s">
        <v>167</v>
      </c>
      <c r="C25" s="97"/>
      <c r="D25" s="92">
        <v>4</v>
      </c>
      <c r="E25" s="93"/>
      <c r="F25" s="94"/>
      <c r="G25" s="95">
        <v>1.05</v>
      </c>
      <c r="H25" s="122"/>
      <c r="I25" s="129"/>
      <c r="J25" s="119"/>
      <c r="K25" s="130"/>
      <c r="L25" s="121"/>
    </row>
    <row r="26" spans="1:12" ht="12.75">
      <c r="A26" s="91"/>
      <c r="B26" s="97"/>
      <c r="C26" s="97" t="s">
        <v>161</v>
      </c>
      <c r="D26" s="98"/>
      <c r="E26" s="93">
        <v>352</v>
      </c>
      <c r="F26" s="94">
        <f>E26/D25</f>
        <v>88</v>
      </c>
      <c r="G26" s="95"/>
      <c r="H26" s="122">
        <f>F26*G25</f>
        <v>92.4</v>
      </c>
      <c r="I26" s="129"/>
      <c r="J26" s="119"/>
      <c r="K26" s="130"/>
      <c r="L26" s="121"/>
    </row>
    <row r="27" spans="1:12" ht="12.75">
      <c r="A27" s="91"/>
      <c r="B27" s="97"/>
      <c r="C27" s="97" t="s">
        <v>162</v>
      </c>
      <c r="D27" s="98"/>
      <c r="E27" s="93">
        <v>411</v>
      </c>
      <c r="F27" s="94">
        <f>E27/D25</f>
        <v>102.75</v>
      </c>
      <c r="G27" s="95"/>
      <c r="H27" s="122">
        <f>F27*G25</f>
        <v>107.8875</v>
      </c>
      <c r="I27" s="131">
        <f>E27*1000/I6</f>
        <v>11834.149150590269</v>
      </c>
      <c r="J27" s="126">
        <f>I27/1750</f>
        <v>6.76237094319444</v>
      </c>
      <c r="K27" s="132">
        <f>H27*1000/K6</f>
        <v>3106.4641520299456</v>
      </c>
      <c r="L27" s="126">
        <f>K27/1750</f>
        <v>1.7751223725885403</v>
      </c>
    </row>
    <row r="28" spans="1:12" ht="12.75">
      <c r="A28" s="91"/>
      <c r="B28" s="97"/>
      <c r="C28" s="99" t="s">
        <v>10</v>
      </c>
      <c r="D28" s="98"/>
      <c r="E28" s="87">
        <f>SUM(E26:E27)</f>
        <v>763</v>
      </c>
      <c r="F28" s="88">
        <f>SUM(F26:F27)</f>
        <v>190.75</v>
      </c>
      <c r="G28" s="95"/>
      <c r="H28" s="117">
        <f>F28*G25</f>
        <v>200.2875</v>
      </c>
      <c r="I28" s="129"/>
      <c r="J28" s="119"/>
      <c r="K28" s="130"/>
      <c r="L28" s="121"/>
    </row>
    <row r="29" spans="1:12" ht="12.75">
      <c r="A29" s="100"/>
      <c r="B29" s="101"/>
      <c r="C29" s="101"/>
      <c r="D29" s="102"/>
      <c r="E29" s="103"/>
      <c r="F29" s="104"/>
      <c r="G29" s="105"/>
      <c r="H29" s="133"/>
      <c r="I29" s="131"/>
      <c r="J29" s="126"/>
      <c r="K29" s="132"/>
      <c r="L29" s="128"/>
    </row>
    <row r="30" spans="1:14" ht="12.75">
      <c r="A30" s="91" t="s">
        <v>168</v>
      </c>
      <c r="B30" s="97"/>
      <c r="C30" s="97"/>
      <c r="D30" s="92">
        <v>8</v>
      </c>
      <c r="E30" s="93"/>
      <c r="F30" s="94"/>
      <c r="G30" s="95">
        <v>1.5</v>
      </c>
      <c r="H30" s="122"/>
      <c r="I30" s="129"/>
      <c r="J30" s="119"/>
      <c r="K30" s="130"/>
      <c r="L30" s="121"/>
      <c r="N30" t="s">
        <v>200</v>
      </c>
    </row>
    <row r="31" spans="1:12" ht="12.75">
      <c r="A31" s="91"/>
      <c r="B31" s="97"/>
      <c r="C31" s="97" t="s">
        <v>161</v>
      </c>
      <c r="D31" s="98"/>
      <c r="E31" s="93">
        <v>2793</v>
      </c>
      <c r="F31" s="94">
        <f>E31/D30</f>
        <v>349.125</v>
      </c>
      <c r="G31" s="95"/>
      <c r="H31" s="122">
        <f>F31*G30</f>
        <v>523.6875</v>
      </c>
      <c r="I31" s="129"/>
      <c r="J31" s="119"/>
      <c r="K31" s="130"/>
      <c r="L31" s="121"/>
    </row>
    <row r="32" spans="1:12" ht="12.75">
      <c r="A32" s="91"/>
      <c r="B32" s="97"/>
      <c r="C32" s="97" t="s">
        <v>162</v>
      </c>
      <c r="D32" s="98"/>
      <c r="E32" s="93">
        <v>1715</v>
      </c>
      <c r="F32" s="94">
        <f>E32/D30</f>
        <v>214.375</v>
      </c>
      <c r="G32" s="95"/>
      <c r="H32" s="122">
        <f>F32*G30</f>
        <v>321.5625</v>
      </c>
      <c r="I32" s="131">
        <f>E32*1000/I6</f>
        <v>49380.93866973798</v>
      </c>
      <c r="J32" s="126">
        <f>I32/1750</f>
        <v>28.217679239850273</v>
      </c>
      <c r="K32" s="132">
        <f>H32*1000/K6</f>
        <v>9258.926000575872</v>
      </c>
      <c r="L32" s="126">
        <f>K32/1750</f>
        <v>5.2908148574719265</v>
      </c>
    </row>
    <row r="33" spans="1:12" ht="12.75">
      <c r="A33" s="91"/>
      <c r="B33" s="97"/>
      <c r="C33" s="99" t="s">
        <v>10</v>
      </c>
      <c r="D33" s="98"/>
      <c r="E33" s="87">
        <f>SUM(E31:E32)</f>
        <v>4508</v>
      </c>
      <c r="F33" s="88">
        <f>SUM(F31:F32)</f>
        <v>563.5</v>
      </c>
      <c r="G33" s="95"/>
      <c r="H33" s="117">
        <f>F33*G30</f>
        <v>845.25</v>
      </c>
      <c r="I33" s="123"/>
      <c r="J33" s="119"/>
      <c r="K33" s="124"/>
      <c r="L33" s="121"/>
    </row>
    <row r="34" spans="1:12" ht="13.5" thickBot="1">
      <c r="A34" s="100"/>
      <c r="B34" s="101"/>
      <c r="C34" s="101"/>
      <c r="D34" s="102"/>
      <c r="E34" s="103"/>
      <c r="F34" s="104"/>
      <c r="G34" s="105"/>
      <c r="H34" s="133"/>
      <c r="I34" s="134"/>
      <c r="J34" s="135"/>
      <c r="K34" s="136"/>
      <c r="L34" s="135"/>
    </row>
  </sheetData>
  <mergeCells count="4">
    <mergeCell ref="B7:C7"/>
    <mergeCell ref="A1:L1"/>
    <mergeCell ref="A2:L2"/>
    <mergeCell ref="A3:L3"/>
  </mergeCells>
  <printOptions horizontalCentered="1"/>
  <pageMargins left="0.25" right="0.25" top="1" bottom="1" header="0.5" footer="0.5"/>
  <pageSetup horizontalDpi="355" verticalDpi="355" orientation="landscape" r:id="rId1"/>
  <headerFooter alignWithMargins="0"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I3" sqref="I3"/>
    </sheetView>
  </sheetViews>
  <sheetFormatPr defaultColWidth="9.140625" defaultRowHeight="12.75"/>
  <cols>
    <col min="1" max="1" width="9.421875" style="0" customWidth="1"/>
    <col min="4" max="4" width="9.140625" style="74" customWidth="1"/>
    <col min="5" max="5" width="10.7109375" style="74" customWidth="1"/>
    <col min="6" max="6" width="10.7109375" style="108" customWidth="1"/>
    <col min="7" max="7" width="9.140625" style="109" customWidth="1"/>
    <col min="8" max="8" width="9.140625" style="108" customWidth="1"/>
    <col min="10" max="10" width="13.7109375" style="0" customWidth="1"/>
    <col min="11" max="11" width="14.8515625" style="0" customWidth="1"/>
  </cols>
  <sheetData>
    <row r="1" spans="1:9" ht="12.75">
      <c r="A1" s="143" t="s">
        <v>151</v>
      </c>
      <c r="B1" s="143"/>
      <c r="C1" s="143"/>
      <c r="D1" s="143"/>
      <c r="E1" s="143"/>
      <c r="F1" s="143"/>
      <c r="G1" s="143"/>
      <c r="H1" s="143"/>
      <c r="I1" t="s">
        <v>169</v>
      </c>
    </row>
    <row r="2" spans="1:8" ht="12.75">
      <c r="A2" s="143" t="s">
        <v>152</v>
      </c>
      <c r="B2" s="143"/>
      <c r="C2" s="143"/>
      <c r="D2" s="143"/>
      <c r="E2" s="143"/>
      <c r="F2" s="143"/>
      <c r="G2" s="143"/>
      <c r="H2" s="143"/>
    </row>
    <row r="3" spans="1:9" ht="12.75">
      <c r="A3" s="143" t="s">
        <v>153</v>
      </c>
      <c r="B3" s="143"/>
      <c r="C3" s="143"/>
      <c r="D3" s="143"/>
      <c r="E3" s="143"/>
      <c r="F3" s="143"/>
      <c r="G3" s="143"/>
      <c r="H3" s="143"/>
      <c r="I3" t="s">
        <v>195</v>
      </c>
    </row>
    <row r="5" spans="1:8" s="75" customFormat="1" ht="25.5">
      <c r="A5" s="76"/>
      <c r="B5" s="77"/>
      <c r="C5" s="78"/>
      <c r="D5" s="79" t="s">
        <v>154</v>
      </c>
      <c r="E5" s="80" t="s">
        <v>155</v>
      </c>
      <c r="F5" s="81" t="s">
        <v>156</v>
      </c>
      <c r="G5" s="82" t="s">
        <v>157</v>
      </c>
      <c r="H5" s="83" t="s">
        <v>158</v>
      </c>
    </row>
    <row r="6" spans="1:8" ht="12.75">
      <c r="A6" s="84" t="s">
        <v>159</v>
      </c>
      <c r="B6" s="85"/>
      <c r="C6" s="85"/>
      <c r="D6" s="86">
        <v>9</v>
      </c>
      <c r="E6" s="87"/>
      <c r="F6" s="88"/>
      <c r="G6" s="89">
        <v>1</v>
      </c>
      <c r="H6" s="90"/>
    </row>
    <row r="7" spans="1:8" ht="25.5" customHeight="1">
      <c r="A7" s="91"/>
      <c r="B7" s="141" t="s">
        <v>160</v>
      </c>
      <c r="C7" s="142"/>
      <c r="D7" s="92"/>
      <c r="E7" s="93"/>
      <c r="F7" s="94"/>
      <c r="G7" s="89">
        <f>(460/400)^2</f>
        <v>1.3224999999999998</v>
      </c>
      <c r="H7" s="96"/>
    </row>
    <row r="8" spans="1:8" ht="12.75">
      <c r="A8" s="91"/>
      <c r="B8" s="97"/>
      <c r="C8" s="97" t="s">
        <v>161</v>
      </c>
      <c r="D8" s="98"/>
      <c r="E8" s="93">
        <v>1522</v>
      </c>
      <c r="F8" s="94">
        <f>E8/D$6</f>
        <v>169.11111111111111</v>
      </c>
      <c r="G8" s="95"/>
      <c r="H8" s="96">
        <f>F8*G$7*G$6</f>
        <v>223.6494444444444</v>
      </c>
    </row>
    <row r="9" spans="1:8" ht="12.75">
      <c r="A9" s="91"/>
      <c r="B9" s="97"/>
      <c r="C9" s="97" t="s">
        <v>162</v>
      </c>
      <c r="D9" s="98"/>
      <c r="E9" s="93">
        <v>914</v>
      </c>
      <c r="F9" s="94">
        <f>E9/D$6</f>
        <v>101.55555555555556</v>
      </c>
      <c r="G9" s="95"/>
      <c r="H9" s="96">
        <f>F9*G$6</f>
        <v>101.55555555555556</v>
      </c>
    </row>
    <row r="10" spans="1:8" ht="12.75">
      <c r="A10" s="91"/>
      <c r="B10" s="97"/>
      <c r="C10" s="99" t="s">
        <v>10</v>
      </c>
      <c r="D10" s="98"/>
      <c r="E10" s="87">
        <f>SUM(E8:E9)</f>
        <v>2436</v>
      </c>
      <c r="F10" s="88">
        <f>SUM(F8:F9)</f>
        <v>270.6666666666667</v>
      </c>
      <c r="G10" s="95"/>
      <c r="H10" s="90">
        <f>F10*G$6</f>
        <v>270.6666666666667</v>
      </c>
    </row>
    <row r="11" spans="1:8" ht="12.75">
      <c r="A11" s="91"/>
      <c r="B11" s="97" t="s">
        <v>163</v>
      </c>
      <c r="C11" s="97"/>
      <c r="D11" s="92"/>
      <c r="E11" s="93"/>
      <c r="F11" s="94"/>
      <c r="G11" s="95"/>
      <c r="H11" s="96"/>
    </row>
    <row r="12" spans="1:8" ht="12.75">
      <c r="A12" s="91"/>
      <c r="B12" s="97"/>
      <c r="C12" s="97" t="s">
        <v>161</v>
      </c>
      <c r="D12" s="98"/>
      <c r="E12" s="93">
        <v>889</v>
      </c>
      <c r="F12" s="94">
        <f>E12/D$6</f>
        <v>98.77777777777777</v>
      </c>
      <c r="G12" s="95"/>
      <c r="H12" s="96">
        <f>F12*G$6</f>
        <v>98.77777777777777</v>
      </c>
    </row>
    <row r="13" spans="1:8" ht="12.75">
      <c r="A13" s="91"/>
      <c r="B13" s="97"/>
      <c r="C13" s="97" t="s">
        <v>162</v>
      </c>
      <c r="D13" s="98"/>
      <c r="E13" s="93">
        <v>375</v>
      </c>
      <c r="F13" s="94">
        <f>E13/D$6</f>
        <v>41.666666666666664</v>
      </c>
      <c r="G13" s="95"/>
      <c r="H13" s="96">
        <f>F13*G$6</f>
        <v>41.666666666666664</v>
      </c>
    </row>
    <row r="14" spans="1:8" ht="12.75">
      <c r="A14" s="91"/>
      <c r="B14" s="97"/>
      <c r="C14" s="99" t="s">
        <v>10</v>
      </c>
      <c r="D14" s="98"/>
      <c r="E14" s="87">
        <f>SUM(E12:E13)</f>
        <v>1264</v>
      </c>
      <c r="F14" s="88">
        <f>SUM(F12:F13)</f>
        <v>140.44444444444443</v>
      </c>
      <c r="G14" s="95"/>
      <c r="H14" s="90">
        <f>F14*G$6</f>
        <v>140.44444444444443</v>
      </c>
    </row>
    <row r="15" spans="1:8" ht="12.75">
      <c r="A15" s="91"/>
      <c r="B15" s="97" t="s">
        <v>164</v>
      </c>
      <c r="C15" s="99"/>
      <c r="D15" s="92"/>
      <c r="E15" s="93"/>
      <c r="F15" s="94"/>
      <c r="G15" s="95"/>
      <c r="H15" s="96"/>
    </row>
    <row r="16" spans="1:8" ht="12.75">
      <c r="A16" s="91"/>
      <c r="B16" s="97"/>
      <c r="C16" s="97" t="s">
        <v>161</v>
      </c>
      <c r="D16" s="92"/>
      <c r="E16" s="93">
        <v>500</v>
      </c>
      <c r="F16" s="94">
        <f>E16/D$6</f>
        <v>55.55555555555556</v>
      </c>
      <c r="G16" s="95"/>
      <c r="H16" s="96">
        <f>F16*G$6</f>
        <v>55.55555555555556</v>
      </c>
    </row>
    <row r="17" spans="1:8" ht="12.75">
      <c r="A17" s="91"/>
      <c r="B17" s="97"/>
      <c r="C17" s="97" t="s">
        <v>162</v>
      </c>
      <c r="D17" s="92"/>
      <c r="E17" s="93">
        <v>341</v>
      </c>
      <c r="F17" s="94">
        <f>E17/D$6</f>
        <v>37.888888888888886</v>
      </c>
      <c r="G17" s="95"/>
      <c r="H17" s="96">
        <f>F17*G$6</f>
        <v>37.888888888888886</v>
      </c>
    </row>
    <row r="18" spans="1:8" ht="12.75">
      <c r="A18" s="91"/>
      <c r="B18" s="97"/>
      <c r="C18" s="99" t="s">
        <v>10</v>
      </c>
      <c r="D18" s="92"/>
      <c r="E18" s="87">
        <f>SUM(E16:E17)</f>
        <v>841</v>
      </c>
      <c r="F18" s="88">
        <f>SUM(F16:F17)</f>
        <v>93.44444444444444</v>
      </c>
      <c r="G18" s="95"/>
      <c r="H18" s="90">
        <f>F18*G$6</f>
        <v>93.44444444444444</v>
      </c>
    </row>
    <row r="19" spans="1:8" ht="12.75">
      <c r="A19" s="100"/>
      <c r="B19" s="101"/>
      <c r="C19" s="101"/>
      <c r="D19" s="102"/>
      <c r="E19" s="103"/>
      <c r="F19" s="104"/>
      <c r="G19" s="105"/>
      <c r="H19" s="106"/>
    </row>
    <row r="20" spans="1:8" ht="12.75">
      <c r="A20" s="84" t="s">
        <v>165</v>
      </c>
      <c r="B20" s="85"/>
      <c r="C20" s="85"/>
      <c r="D20" s="107"/>
      <c r="E20" s="87"/>
      <c r="F20" s="88"/>
      <c r="G20" s="89"/>
      <c r="H20" s="90"/>
    </row>
    <row r="21" spans="1:8" ht="12.75">
      <c r="A21" s="91"/>
      <c r="B21" s="97" t="s">
        <v>166</v>
      </c>
      <c r="C21" s="97"/>
      <c r="D21" s="92">
        <v>4</v>
      </c>
      <c r="E21" s="93"/>
      <c r="F21" s="94"/>
      <c r="G21" s="95">
        <v>1.16</v>
      </c>
      <c r="H21" s="96"/>
    </row>
    <row r="22" spans="1:8" ht="12.75">
      <c r="A22" s="91"/>
      <c r="B22" s="97"/>
      <c r="C22" s="97" t="s">
        <v>161</v>
      </c>
      <c r="D22" s="98"/>
      <c r="E22" s="93">
        <v>432</v>
      </c>
      <c r="F22" s="94">
        <f>E22/D21</f>
        <v>108</v>
      </c>
      <c r="G22" s="95"/>
      <c r="H22" s="96">
        <f>F22*G21</f>
        <v>125.27999999999999</v>
      </c>
    </row>
    <row r="23" spans="1:8" ht="12.75">
      <c r="A23" s="91"/>
      <c r="B23" s="97"/>
      <c r="C23" s="97" t="s">
        <v>162</v>
      </c>
      <c r="D23" s="98"/>
      <c r="E23" s="93">
        <v>731</v>
      </c>
      <c r="F23" s="94">
        <f>E23/D21</f>
        <v>182.75</v>
      </c>
      <c r="G23" s="95"/>
      <c r="H23" s="96">
        <f>F23*G21</f>
        <v>211.98999999999998</v>
      </c>
    </row>
    <row r="24" spans="1:8" ht="12.75">
      <c r="A24" s="91"/>
      <c r="B24" s="97"/>
      <c r="C24" s="99" t="s">
        <v>10</v>
      </c>
      <c r="D24" s="98"/>
      <c r="E24" s="87">
        <f>SUM(E22:E23)</f>
        <v>1163</v>
      </c>
      <c r="F24" s="88">
        <f>SUM(F22:F23)</f>
        <v>290.75</v>
      </c>
      <c r="G24" s="95"/>
      <c r="H24" s="90">
        <f>F24*G21</f>
        <v>337.27</v>
      </c>
    </row>
    <row r="25" spans="1:8" ht="12.75">
      <c r="A25" s="91"/>
      <c r="B25" s="97" t="s">
        <v>167</v>
      </c>
      <c r="C25" s="97"/>
      <c r="D25" s="92">
        <v>4</v>
      </c>
      <c r="E25" s="93"/>
      <c r="F25" s="94"/>
      <c r="G25" s="95">
        <v>1.05</v>
      </c>
      <c r="H25" s="96"/>
    </row>
    <row r="26" spans="1:8" ht="12.75">
      <c r="A26" s="91"/>
      <c r="B26" s="97"/>
      <c r="C26" s="97" t="s">
        <v>161</v>
      </c>
      <c r="D26" s="98"/>
      <c r="E26" s="93">
        <v>352</v>
      </c>
      <c r="F26" s="94">
        <f>E26/D25</f>
        <v>88</v>
      </c>
      <c r="G26" s="95"/>
      <c r="H26" s="96">
        <f>F26*G25</f>
        <v>92.4</v>
      </c>
    </row>
    <row r="27" spans="1:8" ht="12.75">
      <c r="A27" s="91"/>
      <c r="B27" s="97"/>
      <c r="C27" s="97" t="s">
        <v>162</v>
      </c>
      <c r="D27" s="98"/>
      <c r="E27" s="93">
        <v>411</v>
      </c>
      <c r="F27" s="94">
        <f>E27/D25</f>
        <v>102.75</v>
      </c>
      <c r="G27" s="95"/>
      <c r="H27" s="96">
        <f>F27*G25</f>
        <v>107.8875</v>
      </c>
    </row>
    <row r="28" spans="1:8" ht="12.75">
      <c r="A28" s="91"/>
      <c r="B28" s="97"/>
      <c r="C28" s="99" t="s">
        <v>10</v>
      </c>
      <c r="D28" s="98"/>
      <c r="E28" s="87">
        <f>SUM(E26:E27)</f>
        <v>763</v>
      </c>
      <c r="F28" s="88">
        <f>SUM(F26:F27)</f>
        <v>190.75</v>
      </c>
      <c r="G28" s="95"/>
      <c r="H28" s="90">
        <f>F28*G25</f>
        <v>200.2875</v>
      </c>
    </row>
    <row r="29" spans="1:8" ht="12.75">
      <c r="A29" s="100"/>
      <c r="B29" s="101"/>
      <c r="C29" s="101"/>
      <c r="D29" s="102"/>
      <c r="E29" s="103"/>
      <c r="F29" s="104"/>
      <c r="G29" s="105"/>
      <c r="H29" s="106"/>
    </row>
    <row r="30" spans="1:8" ht="12.75">
      <c r="A30" s="91" t="s">
        <v>168</v>
      </c>
      <c r="B30" s="97"/>
      <c r="C30" s="97"/>
      <c r="D30" s="92">
        <v>8</v>
      </c>
      <c r="E30" s="93"/>
      <c r="F30" s="94"/>
      <c r="G30" s="95">
        <v>1.5</v>
      </c>
      <c r="H30" s="96"/>
    </row>
    <row r="31" spans="1:8" ht="12.75">
      <c r="A31" s="91"/>
      <c r="B31" s="97"/>
      <c r="C31" s="97" t="s">
        <v>161</v>
      </c>
      <c r="D31" s="98"/>
      <c r="E31" s="93">
        <v>2793</v>
      </c>
      <c r="F31" s="94">
        <f>E31/D30</f>
        <v>349.125</v>
      </c>
      <c r="G31" s="95"/>
      <c r="H31" s="96">
        <f>F31*G30</f>
        <v>523.6875</v>
      </c>
    </row>
    <row r="32" spans="1:8" ht="12.75">
      <c r="A32" s="91"/>
      <c r="B32" s="97"/>
      <c r="C32" s="97" t="s">
        <v>162</v>
      </c>
      <c r="D32" s="98"/>
      <c r="E32" s="93">
        <v>1715</v>
      </c>
      <c r="F32" s="94">
        <f>E32/D30</f>
        <v>214.375</v>
      </c>
      <c r="G32" s="95"/>
      <c r="H32" s="96">
        <f>F32*G30</f>
        <v>321.5625</v>
      </c>
    </row>
    <row r="33" spans="1:8" ht="12.75">
      <c r="A33" s="91"/>
      <c r="B33" s="97"/>
      <c r="C33" s="99" t="s">
        <v>10</v>
      </c>
      <c r="D33" s="98"/>
      <c r="E33" s="87">
        <f>SUM(E31:E32)</f>
        <v>4508</v>
      </c>
      <c r="F33" s="88">
        <f>SUM(F31:F32)</f>
        <v>563.5</v>
      </c>
      <c r="G33" s="95"/>
      <c r="H33" s="90">
        <f>F33*G30</f>
        <v>845.25</v>
      </c>
    </row>
    <row r="34" spans="1:8" ht="12.75">
      <c r="A34" s="100"/>
      <c r="B34" s="101"/>
      <c r="C34" s="101"/>
      <c r="D34" s="102"/>
      <c r="E34" s="103"/>
      <c r="F34" s="104"/>
      <c r="G34" s="105"/>
      <c r="H34" s="106"/>
    </row>
    <row r="37" ht="12.75">
      <c r="A37" t="s">
        <v>170</v>
      </c>
    </row>
    <row r="38" ht="12.75">
      <c r="A38" t="s">
        <v>186</v>
      </c>
    </row>
    <row r="39" spans="4:8" ht="12.75">
      <c r="D39"/>
      <c r="E39"/>
      <c r="F39"/>
      <c r="G39"/>
      <c r="H39"/>
    </row>
    <row r="40" spans="4:11" ht="25.5">
      <c r="D40"/>
      <c r="E40"/>
      <c r="F40"/>
      <c r="G40"/>
      <c r="H40"/>
      <c r="J40" s="72" t="s">
        <v>172</v>
      </c>
      <c r="K40" t="s">
        <v>112</v>
      </c>
    </row>
    <row r="41" spans="1:10" ht="38.25">
      <c r="A41" t="s">
        <v>36</v>
      </c>
      <c r="D41"/>
      <c r="E41"/>
      <c r="F41"/>
      <c r="G41"/>
      <c r="H41"/>
      <c r="J41" s="72" t="s">
        <v>111</v>
      </c>
    </row>
    <row r="42" spans="4:11" ht="12.75">
      <c r="D42"/>
      <c r="E42"/>
      <c r="F42"/>
      <c r="G42"/>
      <c r="H42"/>
      <c r="J42" s="72"/>
      <c r="K42" t="s">
        <v>180</v>
      </c>
    </row>
    <row r="43" spans="1:12" ht="12.75">
      <c r="A43" t="s">
        <v>29</v>
      </c>
      <c r="B43" t="s">
        <v>30</v>
      </c>
      <c r="D43"/>
      <c r="E43"/>
      <c r="F43"/>
      <c r="G43"/>
      <c r="H43"/>
      <c r="J43" s="72"/>
      <c r="K43">
        <f>(1.34+1.6)/2*15*0.000001</f>
        <v>2.2050000000000004E-05</v>
      </c>
      <c r="L43" t="s">
        <v>113</v>
      </c>
    </row>
    <row r="44" spans="1:12" ht="12.75">
      <c r="A44">
        <v>1.1</v>
      </c>
      <c r="B44" t="s">
        <v>31</v>
      </c>
      <c r="D44"/>
      <c r="E44"/>
      <c r="F44"/>
      <c r="G44"/>
      <c r="H44"/>
      <c r="K44">
        <v>33</v>
      </c>
      <c r="L44" t="s">
        <v>114</v>
      </c>
    </row>
    <row r="45" spans="1:12" ht="12.75">
      <c r="A45">
        <v>1.2</v>
      </c>
      <c r="B45" t="s">
        <v>32</v>
      </c>
      <c r="D45"/>
      <c r="E45"/>
      <c r="F45"/>
      <c r="G45"/>
      <c r="H45"/>
      <c r="K45">
        <v>8</v>
      </c>
      <c r="L45" t="s">
        <v>115</v>
      </c>
    </row>
    <row r="46" spans="1:12" ht="12.75">
      <c r="A46">
        <v>1.3</v>
      </c>
      <c r="B46" t="s">
        <v>33</v>
      </c>
      <c r="D46"/>
      <c r="E46"/>
      <c r="F46"/>
      <c r="G46"/>
      <c r="H46"/>
      <c r="K46">
        <v>11.5</v>
      </c>
      <c r="L46" t="s">
        <v>116</v>
      </c>
    </row>
    <row r="47" spans="1:12" ht="12.75">
      <c r="A47">
        <v>1.4</v>
      </c>
      <c r="B47" t="s">
        <v>34</v>
      </c>
      <c r="D47"/>
      <c r="E47"/>
      <c r="F47"/>
      <c r="G47"/>
      <c r="H47"/>
      <c r="K47">
        <f>K44*K45*K46</f>
        <v>3036</v>
      </c>
      <c r="L47" t="s">
        <v>117</v>
      </c>
    </row>
    <row r="48" spans="1:12" ht="12.75">
      <c r="A48">
        <v>1.5</v>
      </c>
      <c r="B48" t="s">
        <v>45</v>
      </c>
      <c r="D48"/>
      <c r="E48"/>
      <c r="F48"/>
      <c r="G48"/>
      <c r="H48"/>
      <c r="K48">
        <f>K47*K43</f>
        <v>0.06694380000000001</v>
      </c>
      <c r="L48" t="s">
        <v>118</v>
      </c>
    </row>
    <row r="49" spans="1:12" ht="12.75">
      <c r="A49">
        <v>1.6</v>
      </c>
      <c r="B49" t="s">
        <v>35</v>
      </c>
      <c r="D49"/>
      <c r="E49"/>
      <c r="F49"/>
      <c r="G49"/>
      <c r="H49"/>
      <c r="K49">
        <v>8000</v>
      </c>
      <c r="L49" t="s">
        <v>120</v>
      </c>
    </row>
    <row r="50" spans="4:12" ht="12.75">
      <c r="D50"/>
      <c r="E50"/>
      <c r="F50"/>
      <c r="G50"/>
      <c r="H50"/>
      <c r="K50">
        <v>0.9</v>
      </c>
      <c r="L50" t="s">
        <v>119</v>
      </c>
    </row>
    <row r="51" spans="1:12" ht="12.75">
      <c r="A51" t="s">
        <v>37</v>
      </c>
      <c r="B51" t="s">
        <v>38</v>
      </c>
      <c r="D51"/>
      <c r="E51"/>
      <c r="F51"/>
      <c r="G51"/>
      <c r="H51"/>
      <c r="K51">
        <f>K48*K49*K50</f>
        <v>481.99536000000006</v>
      </c>
      <c r="L51" t="s">
        <v>121</v>
      </c>
    </row>
    <row r="52" spans="1:12" ht="12.75">
      <c r="A52">
        <v>2.1</v>
      </c>
      <c r="B52" t="s">
        <v>39</v>
      </c>
      <c r="D52"/>
      <c r="E52"/>
      <c r="F52"/>
      <c r="G52"/>
      <c r="H52"/>
      <c r="K52">
        <v>800</v>
      </c>
      <c r="L52" t="s">
        <v>122</v>
      </c>
    </row>
    <row r="53" spans="1:12" ht="12.75">
      <c r="A53">
        <v>2.2</v>
      </c>
      <c r="B53" t="s">
        <v>40</v>
      </c>
      <c r="D53"/>
      <c r="E53"/>
      <c r="F53"/>
      <c r="G53"/>
      <c r="H53"/>
      <c r="K53">
        <f>K51*K52</f>
        <v>385596.28800000006</v>
      </c>
      <c r="L53" t="s">
        <v>123</v>
      </c>
    </row>
    <row r="54" spans="1:12" ht="12.75">
      <c r="A54">
        <v>2.3</v>
      </c>
      <c r="B54" t="s">
        <v>41</v>
      </c>
      <c r="D54"/>
      <c r="E54"/>
      <c r="F54"/>
      <c r="G54"/>
      <c r="H54"/>
      <c r="K54">
        <f>K53/1000</f>
        <v>385.5962880000001</v>
      </c>
      <c r="L54" t="s">
        <v>133</v>
      </c>
    </row>
    <row r="55" spans="1:8" ht="12.75">
      <c r="A55">
        <v>2.4</v>
      </c>
      <c r="B55" t="s">
        <v>42</v>
      </c>
      <c r="D55"/>
      <c r="E55"/>
      <c r="F55"/>
      <c r="G55"/>
      <c r="H55"/>
    </row>
    <row r="56" spans="1:8" ht="12.75">
      <c r="A56">
        <v>2.5</v>
      </c>
      <c r="B56" t="s">
        <v>43</v>
      </c>
      <c r="D56"/>
      <c r="E56"/>
      <c r="F56"/>
      <c r="G56"/>
      <c r="H56"/>
    </row>
    <row r="57" spans="1:11" ht="12.75">
      <c r="A57">
        <v>2.6</v>
      </c>
      <c r="B57" t="s">
        <v>44</v>
      </c>
      <c r="D57"/>
      <c r="E57"/>
      <c r="F57" t="s">
        <v>68</v>
      </c>
      <c r="G57"/>
      <c r="H57"/>
      <c r="K57" t="s">
        <v>124</v>
      </c>
    </row>
    <row r="58" spans="1:8" ht="12.75">
      <c r="A58">
        <v>2.7</v>
      </c>
      <c r="B58" t="s">
        <v>66</v>
      </c>
      <c r="D58"/>
      <c r="E58"/>
      <c r="F58" t="s">
        <v>67</v>
      </c>
      <c r="G58"/>
      <c r="H58"/>
    </row>
    <row r="59" spans="1:12" ht="12.75">
      <c r="A59">
        <v>2.7</v>
      </c>
      <c r="B59" t="s">
        <v>46</v>
      </c>
      <c r="D59"/>
      <c r="E59"/>
      <c r="F59"/>
      <c r="G59"/>
      <c r="H59"/>
      <c r="K59">
        <v>491</v>
      </c>
      <c r="L59" t="s">
        <v>125</v>
      </c>
    </row>
    <row r="60" spans="4:12" ht="12.75">
      <c r="D60"/>
      <c r="E60"/>
      <c r="F60"/>
      <c r="G60"/>
      <c r="H60"/>
      <c r="K60">
        <v>611</v>
      </c>
      <c r="L60" t="s">
        <v>126</v>
      </c>
    </row>
    <row r="61" spans="1:12" ht="12.75">
      <c r="A61" t="s">
        <v>47</v>
      </c>
      <c r="B61" t="s">
        <v>48</v>
      </c>
      <c r="D61"/>
      <c r="E61"/>
      <c r="F61"/>
      <c r="G61"/>
      <c r="H61"/>
      <c r="K61">
        <f>4*(K59+K60)</f>
        <v>4408</v>
      </c>
      <c r="L61" t="s">
        <v>127</v>
      </c>
    </row>
    <row r="62" spans="1:12" ht="12.75">
      <c r="A62">
        <v>3.1</v>
      </c>
      <c r="B62" t="s">
        <v>49</v>
      </c>
      <c r="D62"/>
      <c r="E62"/>
      <c r="F62"/>
      <c r="G62"/>
      <c r="H62"/>
      <c r="K62">
        <f>K61*0.3</f>
        <v>1322.3999999999999</v>
      </c>
      <c r="L62" t="s">
        <v>128</v>
      </c>
    </row>
    <row r="63" spans="1:12" ht="12.75">
      <c r="A63">
        <v>3.2</v>
      </c>
      <c r="B63" t="s">
        <v>11</v>
      </c>
      <c r="D63"/>
      <c r="E63"/>
      <c r="F63"/>
      <c r="G63"/>
      <c r="H63"/>
      <c r="K63">
        <f>K62*11.5/5.5</f>
        <v>2765.0181818181813</v>
      </c>
      <c r="L63" t="s">
        <v>129</v>
      </c>
    </row>
    <row r="64" spans="4:8" ht="12.75">
      <c r="D64"/>
      <c r="E64"/>
      <c r="F64"/>
      <c r="G64"/>
      <c r="H64"/>
    </row>
    <row r="65" spans="11:12" ht="12.75">
      <c r="K65">
        <f>1*0.015*0.0015</f>
        <v>2.2499999999999998E-05</v>
      </c>
      <c r="L65" t="s">
        <v>130</v>
      </c>
    </row>
    <row r="66" spans="11:12" ht="12.75">
      <c r="K66">
        <f>0.25/2.2/(27/39.6)</f>
        <v>0.16666666666666669</v>
      </c>
      <c r="L66" t="s">
        <v>131</v>
      </c>
    </row>
    <row r="67" spans="1:12" ht="12.75">
      <c r="A67" t="s">
        <v>171</v>
      </c>
      <c r="K67">
        <f>K66/K65</f>
        <v>7407.407407407409</v>
      </c>
      <c r="L67" t="s">
        <v>132</v>
      </c>
    </row>
  </sheetData>
  <mergeCells count="4">
    <mergeCell ref="B7:C7"/>
    <mergeCell ref="A1:H1"/>
    <mergeCell ref="A2:H2"/>
    <mergeCell ref="A3:H3"/>
  </mergeCells>
  <printOptions horizontalCentered="1"/>
  <pageMargins left="0.75" right="0.75" top="1" bottom="1" header="0.5" footer="0.5"/>
  <pageSetup horizontalDpi="355" verticalDpi="355" orientation="portrait" r:id="rId1"/>
  <headerFooter alignWithMargins="0"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181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I15" sqref="I15"/>
    </sheetView>
  </sheetViews>
  <sheetFormatPr defaultColWidth="9.140625" defaultRowHeight="12.75"/>
  <sheetData>
    <row r="1" ht="12.75">
      <c r="A1" t="s">
        <v>65</v>
      </c>
    </row>
    <row r="3" ht="12.75">
      <c r="A3" t="s">
        <v>140</v>
      </c>
    </row>
    <row r="4" ht="12.75">
      <c r="A4" t="s">
        <v>141</v>
      </c>
    </row>
    <row r="6" ht="12.75">
      <c r="A6" t="s">
        <v>142</v>
      </c>
    </row>
    <row r="8" ht="12.75">
      <c r="A8" t="s">
        <v>143</v>
      </c>
    </row>
    <row r="10" ht="12.75">
      <c r="A10" t="s">
        <v>144</v>
      </c>
    </row>
    <row r="12" ht="12.75">
      <c r="A12" t="s">
        <v>145</v>
      </c>
    </row>
    <row r="14" ht="12.75">
      <c r="A14" t="s">
        <v>146</v>
      </c>
    </row>
    <row r="15" ht="12.75">
      <c r="A15" t="s">
        <v>147</v>
      </c>
    </row>
    <row r="16" ht="12.75">
      <c r="A16" t="s">
        <v>148</v>
      </c>
    </row>
    <row r="17" ht="12.75">
      <c r="A17" t="s">
        <v>149</v>
      </c>
    </row>
    <row r="18" ht="12.75">
      <c r="A18" t="s">
        <v>150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27" sqref="B27"/>
    </sheetView>
  </sheetViews>
  <sheetFormatPr defaultColWidth="9.140625" defaultRowHeight="12.75"/>
  <sheetData>
    <row r="1" ht="12.75">
      <c r="A1" t="s">
        <v>61</v>
      </c>
    </row>
    <row r="3" spans="1:2" ht="12.75">
      <c r="A3">
        <v>500000</v>
      </c>
      <c r="B3" t="s">
        <v>62</v>
      </c>
    </row>
    <row r="5" spans="1:2" ht="12.75">
      <c r="A5">
        <v>500000</v>
      </c>
      <c r="B5" t="s">
        <v>63</v>
      </c>
    </row>
    <row r="7" spans="1:2" ht="12.75">
      <c r="A7">
        <v>150000</v>
      </c>
      <c r="B7" t="s">
        <v>64</v>
      </c>
    </row>
    <row r="14" ht="12.75">
      <c r="A14" t="s">
        <v>56</v>
      </c>
    </row>
    <row r="16" ht="12.75">
      <c r="A16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3" spans="1:2" ht="12.75">
      <c r="A23" s="74">
        <v>50000</v>
      </c>
      <c r="B23" t="s">
        <v>135</v>
      </c>
    </row>
    <row r="24" spans="1:2" ht="12.75">
      <c r="A24">
        <v>400</v>
      </c>
      <c r="B24" t="s">
        <v>136</v>
      </c>
    </row>
    <row r="25" spans="1:2" ht="12.75">
      <c r="A25">
        <f>A23/A24</f>
        <v>125</v>
      </c>
      <c r="B25" t="s">
        <v>137</v>
      </c>
    </row>
    <row r="26" spans="1:2" ht="12.75">
      <c r="A26">
        <f>A25*0.3</f>
        <v>37.5</v>
      </c>
      <c r="B26" t="s">
        <v>138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David Finley</cp:lastModifiedBy>
  <cp:lastPrinted>2001-04-13T17:23:58Z</cp:lastPrinted>
  <dcterms:created xsi:type="dcterms:W3CDTF">2001-01-30T20:02:46Z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