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4400" windowHeight="7305" tabRatio="733" activeTab="1"/>
  </bookViews>
  <sheets>
    <sheet name="Instructions" sheetId="1" r:id="rId1"/>
    <sheet name="Hyd Sum" sheetId="2" r:id="rId2"/>
    <sheet name="CN calc" sheetId="3" r:id="rId3"/>
    <sheet name="Design (1)" sheetId="4" r:id="rId4"/>
    <sheet name="Design (2)" sheetId="5" r:id="rId5"/>
    <sheet name="KS-ENG-36" sheetId="6" r:id="rId6"/>
    <sheet name="lookup" sheetId="7" state="hidden" r:id="rId7"/>
    <sheet name="RCNTables" sheetId="8" state="hidden" r:id="rId8"/>
  </sheets>
  <definedNames>
    <definedName name="A" localSheetId="3">'Design (1)'!$P$47</definedName>
    <definedName name="A" localSheetId="4">'Design (2)'!$P$47</definedName>
    <definedName name="AC" localSheetId="3">'Design (1)'!$P$48</definedName>
    <definedName name="AC" localSheetId="4">'Design (2)'!$P$48</definedName>
    <definedName name="AF" localSheetId="3">'Design (1)'!$P$49</definedName>
    <definedName name="AF" localSheetId="4">'Design (2)'!$P$49</definedName>
    <definedName name="Ain" localSheetId="4">'Design (2)'!$P$45</definedName>
    <definedName name="Ain">'Design (1)'!$P$45</definedName>
    <definedName name="Aout" localSheetId="4">'Design (2)'!$P$46</definedName>
    <definedName name="Aout">'Design (1)'!$P$46</definedName>
    <definedName name="appd">'KS-ENG-36'!$AK$72:$AR$73</definedName>
    <definedName name="approve">'KS-ENG-36'!$L$72:$AB$73</definedName>
    <definedName name="AS" localSheetId="3">'Design (1)'!$P$35</definedName>
    <definedName name="AS" localSheetId="4">'Design (2)'!$P$35</definedName>
    <definedName name="BA" localSheetId="4">'Design (2)'!$H$47</definedName>
    <definedName name="BA">'Design (1)'!$H$47</definedName>
    <definedName name="BH" localSheetId="4">'Design (2)'!$H$48</definedName>
    <definedName name="BH">'Design (1)'!$H$48</definedName>
    <definedName name="BL" localSheetId="4">'Design (2)'!$H$45</definedName>
    <definedName name="BL">'Design (1)'!$H$45</definedName>
    <definedName name="BLNO" localSheetId="4">'Design (2)'!$H$44</definedName>
    <definedName name="BLNO">'Design (1)'!$H$44</definedName>
    <definedName name="CD" localSheetId="4">'Design (2)'!$P$37</definedName>
    <definedName name="CD">'Design (1)'!$P$37</definedName>
    <definedName name="CFR" localSheetId="3">'Design (1)'!$L$55</definedName>
    <definedName name="CFR" localSheetId="4">'Design (2)'!$L$55</definedName>
    <definedName name="CFR">#REF!</definedName>
    <definedName name="CH" localSheetId="3">'Design (1)'!$P$40</definedName>
    <definedName name="CH" localSheetId="4">'Design (2)'!$P$40</definedName>
    <definedName name="CH">#REF!</definedName>
    <definedName name="ckby">'Hyd Sum'!$G$10:$P$10</definedName>
    <definedName name="ckby2">'KS-ENG-36'!$L$70:$AB$71</definedName>
    <definedName name="ckdate">'Hyd Sum'!$W$10:$AG$10</definedName>
    <definedName name="ckdate2">'KS-ENG-36'!$AK$70:$AR$71</definedName>
    <definedName name="CN" localSheetId="3">'Design (1)'!$M$23</definedName>
    <definedName name="CN" localSheetId="4">'Design (2)'!$M$23</definedName>
    <definedName name="CN">#REF!</definedName>
    <definedName name="CutFillRatio" localSheetId="4">'Design (2)'!$Y$29</definedName>
    <definedName name="CutFillRatio">'Design (1)'!$Y$29</definedName>
    <definedName name="CW" localSheetId="4">'Design (2)'!$H$34</definedName>
    <definedName name="CW">'Design (1)'!$H$34</definedName>
    <definedName name="d1r1">'KS-ENG-36'!$BI$84:$BL$85</definedName>
    <definedName name="d1r10">'KS-ENG-36'!$BT$93:$BV$94</definedName>
    <definedName name="d1r11">'KS-ENG-36'!$BE$101:$BG$102</definedName>
    <definedName name="d1r12">'KS-ENG-36'!$BP$101:$BS$102</definedName>
    <definedName name="d1r13">'KS-ENG-36'!$CB$101:$CD$102</definedName>
    <definedName name="d1r14">'KS-ENG-36'!$CI$101:$CK$102</definedName>
    <definedName name="d1r15">'KS-ENG-36'!$CP$101:$CR$102</definedName>
    <definedName name="d1r2">'KS-ENG-36'!$CJ$84:$CO$85</definedName>
    <definedName name="d1r3">'KS-ENG-36'!$BA$87:$BD$88</definedName>
    <definedName name="d1r4">'KS-ENG-36'!$BH$87:$BK$88</definedName>
    <definedName name="d1r5">'KS-ENG-36'!$BP$87:$BS$88</definedName>
    <definedName name="d1r6">'KS-ENG-36'!$BX$87:$CA$88</definedName>
    <definedName name="d1r7">'KS-ENG-36'!$CE$87:$CH$88</definedName>
    <definedName name="d1r8">'KS-ENG-36'!$CL$87:$CO$88</definedName>
    <definedName name="d1r9">'KS-ENG-36'!$CS$87:$CV$88</definedName>
    <definedName name="d2r1">'KS-ENG-36'!$BI$105:$BL$106</definedName>
    <definedName name="d2r10">'KS-ENG-36'!$BT$115:$BV$116</definedName>
    <definedName name="d2r11">'KS-ENG-36'!$BE$123:$BG$124</definedName>
    <definedName name="d2r12">'KS-ENG-36'!$BP$123:$BS$124</definedName>
    <definedName name="d2r13">'KS-ENG-36'!$CB$123:$CD$124</definedName>
    <definedName name="d2r14">'KS-ENG-36'!$CI$123:$CK$124</definedName>
    <definedName name="d2r15">'KS-ENG-36'!$CP$123:$CR$124</definedName>
    <definedName name="d2r2">'KS-ENG-36'!$CJ$105:$CO$106</definedName>
    <definedName name="d2r3">'KS-ENG-36'!$BA$109:$BD$110</definedName>
    <definedName name="d2r4">'KS-ENG-36'!$BH$109:$BK$110</definedName>
    <definedName name="d2r5">'KS-ENG-36'!$BP$109:$BS$110</definedName>
    <definedName name="d2r6">'KS-ENG-36'!$BX$109:$CA$110</definedName>
    <definedName name="d2r7">'KS-ENG-36'!$CE$109:$CH$110</definedName>
    <definedName name="d2r8">'KS-ENG-36'!$CL$109:$CO$110</definedName>
    <definedName name="d2r9">'KS-ENG-36'!$CS$109:$CV$110</definedName>
    <definedName name="d3r1">'KS-ENG-36'!$BO$127:$CV$128</definedName>
    <definedName name="d3r10">'KS-ENG-36'!$BL$146:$BQ$147</definedName>
    <definedName name="d3r11">'KS-ENG-36'!$BR$146:$BW$147</definedName>
    <definedName name="d3r12">'KS-ENG-36'!$BX$146:$CC$147</definedName>
    <definedName name="d3r13">'KS-ENG-36'!$BL$148:$BQ$149</definedName>
    <definedName name="d3r14">'KS-ENG-36'!$BR$148:$BW$149</definedName>
    <definedName name="d3r15">'KS-ENG-36'!$BX$148:$CC$149</definedName>
    <definedName name="d3r16">'KS-ENG-36'!$BL$150:$BQ$151</definedName>
    <definedName name="d3r17">'KS-ENG-36'!$BR$150:$BW$151</definedName>
    <definedName name="d3r18">'KS-ENG-36'!$BX$150:$CC$151</definedName>
    <definedName name="d3r19">'KS-ENG-36'!$AU$155:$BG$156</definedName>
    <definedName name="d3r2">'KS-ENG-36'!$BO$129:$CV$130</definedName>
    <definedName name="d3r20">'KS-ENG-36'!$BL$155:$BP$156</definedName>
    <definedName name="d3r21">'KS-ENG-36'!$CA$155:$CM$156</definedName>
    <definedName name="d3r22">'KS-ENG-36'!$CR$155:$CV$156</definedName>
    <definedName name="d3r3">'KS-ENG-36'!$BR$138:$BW$139</definedName>
    <definedName name="d3r4">'KS-ENG-36'!$BX$138:$CC$139</definedName>
    <definedName name="d3r5">'KS-ENG-36'!$BR$140:$BW$141</definedName>
    <definedName name="d3r6">'KS-ENG-36'!$BX$140:$CC$141</definedName>
    <definedName name="d3r7">'KS-ENG-36'!$BL$144:$BQ$145</definedName>
    <definedName name="d3r8">'KS-ENG-36'!$BR$144:$BW$145</definedName>
    <definedName name="d3r9">'KS-ENG-36'!$BX$144:$CC$145</definedName>
    <definedName name="DA" localSheetId="4">'Design (2)'!$M$22</definedName>
    <definedName name="DA">'Design (1)'!$M$22</definedName>
    <definedName name="dAllin" localSheetId="4">'Design (2)'!$H$35</definedName>
    <definedName name="dAllin">'Design (1)'!$H$35</definedName>
    <definedName name="DC" localSheetId="3">'Design (1)'!$W$36</definedName>
    <definedName name="DC" localSheetId="4">'Design (2)'!$W$36</definedName>
    <definedName name="DC">#REF!</definedName>
    <definedName name="desby">'Hyd Sum'!$G$8:$P$9</definedName>
    <definedName name="desdate">'Hyd Sum'!$W$8:$AG$9</definedName>
    <definedName name="DF" localSheetId="3">'Design (1)'!$P$38</definedName>
    <definedName name="DF" localSheetId="4">'Design (2)'!$P$38</definedName>
    <definedName name="DF">#REF!</definedName>
    <definedName name="divno1">'Hyd Sum'!$H$15</definedName>
    <definedName name="divno2">'Hyd Sum'!$H$28</definedName>
    <definedName name="flow1">'Hyd Sum'!$U$19:$V$19</definedName>
    <definedName name="flow2">'Hyd Sum'!$U$32:$V$32</definedName>
    <definedName name="freeboard" localSheetId="4">'Design (2)'!$M$26</definedName>
    <definedName name="freeboard">'Design (1)'!$M$26</definedName>
    <definedName name="h" localSheetId="3">'Design (1)'!$H$36</definedName>
    <definedName name="h" localSheetId="4">'Design (2)'!$H$36</definedName>
    <definedName name="h">#REF!</definedName>
    <definedName name="idno">'Hyd Sum'!$W$4:$AG$5</definedName>
    <definedName name="L" localSheetId="3">'Design (1)'!$H$33</definedName>
    <definedName name="L" localSheetId="4">'Design (2)'!$H$33</definedName>
    <definedName name="L">#REF!</definedName>
    <definedName name="layout">'KS-ENG-36'!$L$66:$AB$67</definedName>
    <definedName name="layoutd">'KS-ENG-36'!$AK$66:$AR$67</definedName>
    <definedName name="legal">'Hyd Sum'!$G$6:$P$7</definedName>
    <definedName name="ls" localSheetId="4">'Design (2)'!$P$30</definedName>
    <definedName name="ls">'Design (1)'!$P$30</definedName>
    <definedName name="name">'Hyd Sum'!$G$4:$P$5</definedName>
    <definedName name="P" localSheetId="3">'Design (1)'!$M$25</definedName>
    <definedName name="P" localSheetId="4">'Design (2)'!$M$25</definedName>
    <definedName name="p">#REF!</definedName>
    <definedName name="_xlnm.Print_Area" localSheetId="2">'CN calc'!$A$1:$K$118</definedName>
    <definedName name="_xlnm.Print_Area" localSheetId="3">'Design (1)'!$A$1:$R$58</definedName>
    <definedName name="_xlnm.Print_Area" localSheetId="4">'Design (2)'!$A$1:$R$58</definedName>
    <definedName name="_xlnm.Print_Area" localSheetId="5">'KS-ENG-36'!$A$1:$CW$157</definedName>
    <definedName name="RS" localSheetId="4">'Design (2)'!$H$29</definedName>
    <definedName name="RS">'Design (1)'!$H$29</definedName>
    <definedName name="S" localSheetId="3">'Design (1)'!$W$32</definedName>
    <definedName name="S" localSheetId="4">'Design (2)'!$W$32</definedName>
    <definedName name="S">#REF!</definedName>
    <definedName name="scale">'KS-ENG-36'!$AF$63:$AK$64</definedName>
    <definedName name="Sed" localSheetId="4">'Design (2)'!$H$30</definedName>
    <definedName name="Sed">'Design (1)'!$H$30</definedName>
    <definedName name="SS1" localSheetId="3">'Design (1)'!$P$31</definedName>
    <definedName name="SS1" localSheetId="4">'Design (2)'!$P$31</definedName>
    <definedName name="SS1">#REF!</definedName>
    <definedName name="SS2" localSheetId="3">'Design (1)'!$P$32</definedName>
    <definedName name="SS2" localSheetId="4">'Design (2)'!$P$32</definedName>
    <definedName name="SS2">#REF!</definedName>
    <definedName name="SS3" localSheetId="3">'Design (1)'!$P$33</definedName>
    <definedName name="SS3" localSheetId="4">'Design (2)'!$P$33</definedName>
    <definedName name="SS3">#REF!</definedName>
    <definedName name="SS4" localSheetId="3">'Design (1)'!$P$34</definedName>
    <definedName name="SS4" localSheetId="4">'Design (2)'!$P$34</definedName>
    <definedName name="SS4">#REF!</definedName>
    <definedName name="STOR" localSheetId="4">'Design (2)'!$G$32</definedName>
    <definedName name="STOR">'Design (1)'!$G$32</definedName>
    <definedName name="stor_diff" localSheetId="4">'Design (2)'!#REF!</definedName>
    <definedName name="stor_diff">'Design (1)'!#REF!</definedName>
    <definedName name="TH" localSheetId="3">'Design (1)'!$P$39</definedName>
    <definedName name="TH" localSheetId="4">'Design (2)'!$P$39</definedName>
    <definedName name="TH">#REF!</definedName>
    <definedName name="TW" localSheetId="3">'Design (1)'!$P$29</definedName>
    <definedName name="TW" localSheetId="4">'Design (2)'!$P$29</definedName>
    <definedName name="TW">#REF!</definedName>
    <definedName name="Vb" localSheetId="4">'Design (2)'!$L$56</definedName>
    <definedName name="Vb">'Design (1)'!$L$56</definedName>
    <definedName name="Vd" localSheetId="4">'Design (2)'!$L$54</definedName>
    <definedName name="Vd">'Design (1)'!$L$54</definedName>
    <definedName name="wslp1">'Hyd Sum'!$AE$19:$AF$19</definedName>
    <definedName name="wslp2">'Hyd Sum'!$AE$32:$AF$32</definedName>
  </definedNames>
  <calcPr fullCalcOnLoad="1" iterate="1" iterateCount="1" iterateDelta="0.001"/>
</workbook>
</file>

<file path=xl/sharedStrings.xml><?xml version="1.0" encoding="utf-8"?>
<sst xmlns="http://schemas.openxmlformats.org/spreadsheetml/2006/main" count="985" uniqueCount="418">
  <si>
    <t>Clark</t>
  </si>
  <si>
    <t>Comanche</t>
  </si>
  <si>
    <t>Edwards</t>
  </si>
  <si>
    <t>Ellis</t>
  </si>
  <si>
    <t>Ford</t>
  </si>
  <si>
    <t>Gove</t>
  </si>
  <si>
    <t>Grant</t>
  </si>
  <si>
    <t>Gray</t>
  </si>
  <si>
    <t>Greeley</t>
  </si>
  <si>
    <t>Hamilton</t>
  </si>
  <si>
    <t>Haskell</t>
  </si>
  <si>
    <t>Hodgeman</t>
  </si>
  <si>
    <t>Kearny</t>
  </si>
  <si>
    <t>Kiowa</t>
  </si>
  <si>
    <t>Lane</t>
  </si>
  <si>
    <t>Logan</t>
  </si>
  <si>
    <t>Meade</t>
  </si>
  <si>
    <t>Morton</t>
  </si>
  <si>
    <t>Ness</t>
  </si>
  <si>
    <t>Pawnee</t>
  </si>
  <si>
    <t>Rush</t>
  </si>
  <si>
    <t>Scott</t>
  </si>
  <si>
    <t>Seward</t>
  </si>
  <si>
    <t>Stanton</t>
  </si>
  <si>
    <t>Stevens</t>
  </si>
  <si>
    <t>Trego</t>
  </si>
  <si>
    <t>Wallace</t>
  </si>
  <si>
    <t>Wichita</t>
  </si>
  <si>
    <t>Finney</t>
  </si>
  <si>
    <t>%</t>
  </si>
  <si>
    <t>Tc</t>
  </si>
  <si>
    <t>II</t>
  </si>
  <si>
    <t>Hydrologic Soil Group</t>
  </si>
  <si>
    <t>A</t>
  </si>
  <si>
    <t>B</t>
  </si>
  <si>
    <t>C</t>
  </si>
  <si>
    <t>D</t>
  </si>
  <si>
    <t>AMC II</t>
  </si>
  <si>
    <t>(ac)</t>
  </si>
  <si>
    <t>AMC I + 0.8(II-I)</t>
  </si>
  <si>
    <t>AMC I + 0.6(II-I)</t>
  </si>
  <si>
    <t>AMC I + 0.4(II-I)</t>
  </si>
  <si>
    <t>AMC I + 0.2(II-I)</t>
  </si>
  <si>
    <t>AMC</t>
  </si>
  <si>
    <t>county</t>
  </si>
  <si>
    <t>annual</t>
  </si>
  <si>
    <t>Area</t>
  </si>
  <si>
    <t>Allen</t>
  </si>
  <si>
    <t>Anderson</t>
  </si>
  <si>
    <t>Atchison</t>
  </si>
  <si>
    <t>Barber</t>
  </si>
  <si>
    <t>Barton</t>
  </si>
  <si>
    <t>Bourbon</t>
  </si>
  <si>
    <t>Brown</t>
  </si>
  <si>
    <t>Butler</t>
  </si>
  <si>
    <t>Chase</t>
  </si>
  <si>
    <t>Chautauqua</t>
  </si>
  <si>
    <t>Cherokee</t>
  </si>
  <si>
    <t>Cheyenne</t>
  </si>
  <si>
    <t>Clay</t>
  </si>
  <si>
    <t>Cloud</t>
  </si>
  <si>
    <t>Coffey</t>
  </si>
  <si>
    <t>Cowley</t>
  </si>
  <si>
    <t>Crawford</t>
  </si>
  <si>
    <t>Decatur</t>
  </si>
  <si>
    <t>Dickinson</t>
  </si>
  <si>
    <t>Doniphan</t>
  </si>
  <si>
    <t>Douglas</t>
  </si>
  <si>
    <t>Elk</t>
  </si>
  <si>
    <t>Ellsworth</t>
  </si>
  <si>
    <t>Franklin</t>
  </si>
  <si>
    <t>Geary</t>
  </si>
  <si>
    <t>Graham</t>
  </si>
  <si>
    <t>Greenwood</t>
  </si>
  <si>
    <t>Harper</t>
  </si>
  <si>
    <t>Harvey</t>
  </si>
  <si>
    <t>Jackson</t>
  </si>
  <si>
    <t>Jefferson</t>
  </si>
  <si>
    <t>Jewell</t>
  </si>
  <si>
    <t>Johnson</t>
  </si>
  <si>
    <t>Kingman</t>
  </si>
  <si>
    <t>Labette</t>
  </si>
  <si>
    <t>Leavenworth</t>
  </si>
  <si>
    <t>Lincoln</t>
  </si>
  <si>
    <t>Linn</t>
  </si>
  <si>
    <t>Lyon</t>
  </si>
  <si>
    <t>Marion</t>
  </si>
  <si>
    <t>Marshall</t>
  </si>
  <si>
    <t>McPherson</t>
  </si>
  <si>
    <t>Miami</t>
  </si>
  <si>
    <t>Mitchell</t>
  </si>
  <si>
    <t>Montgomery</t>
  </si>
  <si>
    <t>Morris</t>
  </si>
  <si>
    <t>Nemaha</t>
  </si>
  <si>
    <t>Neosho</t>
  </si>
  <si>
    <t>Norton</t>
  </si>
  <si>
    <t>Osage</t>
  </si>
  <si>
    <t>Osborne</t>
  </si>
  <si>
    <t>Ottawa</t>
  </si>
  <si>
    <t>Phillips</t>
  </si>
  <si>
    <t>Pottawatomie</t>
  </si>
  <si>
    <t>Pratt</t>
  </si>
  <si>
    <t>Rawlins</t>
  </si>
  <si>
    <t>Reno</t>
  </si>
  <si>
    <t>Republic</t>
  </si>
  <si>
    <t>Rice</t>
  </si>
  <si>
    <t>Riley</t>
  </si>
  <si>
    <t>Rooks</t>
  </si>
  <si>
    <t>Russell</t>
  </si>
  <si>
    <t>Saline</t>
  </si>
  <si>
    <t>Sedgwick</t>
  </si>
  <si>
    <t>Shawnee</t>
  </si>
  <si>
    <t>Sheridan</t>
  </si>
  <si>
    <t>Sherman</t>
  </si>
  <si>
    <t>Smith</t>
  </si>
  <si>
    <t>Stafford</t>
  </si>
  <si>
    <t>Sumner</t>
  </si>
  <si>
    <t>Thomas</t>
  </si>
  <si>
    <t>Wabaunsee</t>
  </si>
  <si>
    <t>Washington</t>
  </si>
  <si>
    <t>Wilson</t>
  </si>
  <si>
    <t>Woodson</t>
  </si>
  <si>
    <t>Wyandotte</t>
  </si>
  <si>
    <t>CN</t>
  </si>
  <si>
    <t>USDA</t>
  </si>
  <si>
    <t>NRCS</t>
  </si>
  <si>
    <t>Name</t>
  </si>
  <si>
    <t>Legal Desc.</t>
  </si>
  <si>
    <t>County</t>
  </si>
  <si>
    <t>Date</t>
  </si>
  <si>
    <t>Designed by</t>
  </si>
  <si>
    <t>Page 2</t>
  </si>
  <si>
    <t>Checked by</t>
  </si>
  <si>
    <t>acres</t>
  </si>
  <si>
    <t>ft</t>
  </si>
  <si>
    <t>cfs</t>
  </si>
  <si>
    <t>:1</t>
  </si>
  <si>
    <t>Station</t>
  </si>
  <si>
    <t>Layout by</t>
  </si>
  <si>
    <t>Type of Measuring Device</t>
  </si>
  <si>
    <t>Calibration Factor</t>
  </si>
  <si>
    <t>Rainfall Type:</t>
  </si>
  <si>
    <t>a</t>
  </si>
  <si>
    <t>Design Data:</t>
  </si>
  <si>
    <t>Storm</t>
  </si>
  <si>
    <t>Rainfall</t>
  </si>
  <si>
    <t>Runoff</t>
  </si>
  <si>
    <t>inches</t>
  </si>
  <si>
    <t>b</t>
  </si>
  <si>
    <t>c</t>
  </si>
  <si>
    <t>d</t>
  </si>
  <si>
    <t>pond.xlt ver. 1.0; 02/03/2001</t>
  </si>
  <si>
    <t>DWR</t>
  </si>
  <si>
    <t>Acres</t>
  </si>
  <si>
    <t>2yr</t>
  </si>
  <si>
    <t>10yr</t>
  </si>
  <si>
    <t>25yr</t>
  </si>
  <si>
    <t>c/d</t>
  </si>
  <si>
    <t>b/d</t>
  </si>
  <si>
    <t>b/c</t>
  </si>
  <si>
    <t>b/c/d</t>
  </si>
  <si>
    <t>a/d</t>
  </si>
  <si>
    <t>a/c</t>
  </si>
  <si>
    <t>a/c/d</t>
  </si>
  <si>
    <t>a/b</t>
  </si>
  <si>
    <t>a/b/d</t>
  </si>
  <si>
    <t>a/b/c</t>
  </si>
  <si>
    <t>a/b/c/d</t>
  </si>
  <si>
    <t>Legal  Desc.</t>
  </si>
  <si>
    <t xml:space="preserve"> acres</t>
  </si>
  <si>
    <t>362.xls</t>
  </si>
  <si>
    <t>ID No.</t>
  </si>
  <si>
    <t>la/p</t>
  </si>
  <si>
    <t>Ident. No.</t>
  </si>
  <si>
    <t>Approved by</t>
  </si>
  <si>
    <t xml:space="preserve">Scale 1" = </t>
  </si>
  <si>
    <t>Location Map</t>
  </si>
  <si>
    <t>N</t>
  </si>
  <si>
    <t>Discharge, Q</t>
  </si>
  <si>
    <t>(</t>
  </si>
  <si>
    <t>Channel and Ridge Profiles</t>
  </si>
  <si>
    <t>Freeboard</t>
  </si>
  <si>
    <t>Fill</t>
  </si>
  <si>
    <t>Total Fill</t>
  </si>
  <si>
    <t>No.</t>
  </si>
  <si>
    <t>Length</t>
  </si>
  <si>
    <t>Checkout Volume Computations</t>
  </si>
  <si>
    <t>Volume</t>
  </si>
  <si>
    <t>Checkout by</t>
  </si>
  <si>
    <t>Audited by</t>
  </si>
  <si>
    <t>Runoff + Sediment</t>
  </si>
  <si>
    <t>KS-ENG-36</t>
  </si>
  <si>
    <t>Estimated Volume Computations</t>
  </si>
  <si>
    <t>Line</t>
  </si>
  <si>
    <t>Block</t>
  </si>
  <si>
    <t>LS</t>
  </si>
  <si>
    <t>BS</t>
  </si>
  <si>
    <t>FS</t>
  </si>
  <si>
    <t>CS</t>
  </si>
  <si>
    <t>Channel
Rod</t>
  </si>
  <si>
    <t>Ridge
Rod</t>
  </si>
  <si>
    <t>Average</t>
  </si>
  <si>
    <t>Design and Layout</t>
  </si>
  <si>
    <t>Diversion - 362 (Level)</t>
  </si>
  <si>
    <t>Checkout</t>
  </si>
  <si>
    <t>Length
(feet)</t>
  </si>
  <si>
    <t xml:space="preserve">       Diversion  No.</t>
  </si>
  <si>
    <t>Cross Section</t>
  </si>
  <si>
    <t>Average Channel Rod</t>
  </si>
  <si>
    <t>-year, 24-hour)</t>
  </si>
  <si>
    <t>Area
(cubic feet/foot)</t>
  </si>
  <si>
    <t xml:space="preserve"> Area</t>
  </si>
  <si>
    <r>
      <t xml:space="preserve">Minimum Allowable Ridge Rod </t>
    </r>
    <r>
      <rPr>
        <vertAlign val="superscript"/>
        <sz val="10"/>
        <rFont val="Arial"/>
        <family val="2"/>
      </rPr>
      <t>2/</t>
    </r>
  </si>
  <si>
    <r>
      <t xml:space="preserve">Block Grade Rod </t>
    </r>
    <r>
      <rPr>
        <vertAlign val="superscript"/>
        <sz val="10"/>
        <rFont val="Arial"/>
        <family val="2"/>
      </rPr>
      <t>3/</t>
    </r>
  </si>
  <si>
    <r>
      <t>3/</t>
    </r>
    <r>
      <rPr>
        <sz val="8"/>
        <rFont val="Arial"/>
        <family val="2"/>
      </rPr>
      <t xml:space="preserve"> = Average Channel Rod - Storage Depth</t>
    </r>
  </si>
  <si>
    <t>KS-ENG-36 (Page 2)</t>
  </si>
  <si>
    <t>(cu ft/ft)</t>
  </si>
  <si>
    <t>Counter Reading</t>
  </si>
  <si>
    <t>cu ft/ft</t>
  </si>
  <si>
    <t>Length (feet)</t>
  </si>
  <si>
    <t>feet</t>
  </si>
  <si>
    <r>
      <t xml:space="preserve">Ht. </t>
    </r>
    <r>
      <rPr>
        <vertAlign val="superscript"/>
        <sz val="10"/>
        <rFont val="Arial"/>
        <family val="2"/>
      </rPr>
      <t>1/</t>
    </r>
    <r>
      <rPr>
        <sz val="10"/>
        <rFont val="Arial"/>
        <family val="2"/>
      </rPr>
      <t xml:space="preserve">
(feet)</t>
    </r>
  </si>
  <si>
    <t>Cut/Fill (C/F)  Ratio</t>
  </si>
  <si>
    <t>DA x (R+S) x 3630</t>
  </si>
  <si>
    <t>KS</t>
  </si>
  <si>
    <t>diversion no.</t>
  </si>
  <si>
    <t>different =</t>
  </si>
  <si>
    <t>same =</t>
  </si>
  <si>
    <t>CW</t>
  </si>
  <si>
    <t>Hydrologic Summary Sheet - Diversion - 362 (Level)</t>
  </si>
  <si>
    <t>Acres (ac) and Curve Number (CN) - Diversion - 362 (Level)</t>
  </si>
  <si>
    <t>Diversion No.</t>
  </si>
  <si>
    <t>Fallow - Crop Residue Cover</t>
  </si>
  <si>
    <t>Fallow - Contoured and Gradient Terraces</t>
  </si>
  <si>
    <t>Row Crops - Straight Row  3/</t>
  </si>
  <si>
    <t>Row Crops - Contoured  3/</t>
  </si>
  <si>
    <t>Row Crops - Contoured and Gradient Terraces</t>
  </si>
  <si>
    <t>Small Grain - Straight Row  3/</t>
  </si>
  <si>
    <t>Small Grain - Contoured  3/</t>
  </si>
  <si>
    <t>Small Grain - Contoured and Gradient Terraces</t>
  </si>
  <si>
    <t>Cultivated - Storage-Type Terraces  4/ 5/</t>
  </si>
  <si>
    <t>Pasture or Range  6/ - poor</t>
  </si>
  <si>
    <t>Pasture or Range  6/ - fair</t>
  </si>
  <si>
    <t>Pasture or Range  6/ - good</t>
  </si>
  <si>
    <t>Woods - poor</t>
  </si>
  <si>
    <t>Woods - fair</t>
  </si>
  <si>
    <t>Misc.  7/</t>
  </si>
  <si>
    <t>1/  Use estimated long-term land use condition</t>
  </si>
  <si>
    <t>2/  Hydrologic condition for cultivated agriculture lands (including fallow) is based on the effectiveness of the</t>
  </si>
  <si>
    <t xml:space="preserve">     ground cover being between a poor and good condition</t>
  </si>
  <si>
    <t>3/  Use for designing individual gradient, open-end, storage, and underground outlet terraces</t>
  </si>
  <si>
    <t>4/  Includes flat pothole areas and other areas with significant storage</t>
  </si>
  <si>
    <t>5/  Use for designing structures downstream of underground outlet and storage-type terraces</t>
  </si>
  <si>
    <t>6/  Includes meadow</t>
  </si>
  <si>
    <t>7/  Includes roads, farmsteads, urban areas, etc. (about 3% for most rural areas)</t>
  </si>
  <si>
    <t>Rev. 4/05 GMB - Land Use</t>
  </si>
  <si>
    <t>Ia/P</t>
  </si>
  <si>
    <t>qu</t>
  </si>
  <si>
    <t>Zone No.</t>
  </si>
  <si>
    <t>true or false</t>
  </si>
  <si>
    <t>Ia/P for CN</t>
  </si>
  <si>
    <t>Weighted Curve Number, CN</t>
  </si>
  <si>
    <t xml:space="preserve"> Flow Length</t>
  </si>
  <si>
    <t>Watershed Slope</t>
  </si>
  <si>
    <t>Time of Concentration, Tc</t>
  </si>
  <si>
    <t>hours</t>
  </si>
  <si>
    <t xml:space="preserve">  "qu" is used in Q formula on Hyd Sum</t>
  </si>
  <si>
    <t>Ia values for various CN's</t>
  </si>
  <si>
    <t>(1st row is CN and 2nd row is Ia)</t>
  </si>
  <si>
    <r>
      <t>Unit Peak Discharge (qu)</t>
    </r>
    <r>
      <rPr>
        <sz val="10"/>
        <rFont val="Times New Roman"/>
        <family val="0"/>
      </rPr>
      <t xml:space="preserve"> for Tc = 0.1 to 10 hrs and Ia/P = 0.10 to 0.50; if Ia/P &lt; 0.10 use Ia/P = 0.10 and if Ia/P &gt; 0.50 use Ia/P = 0.50</t>
    </r>
  </si>
  <si>
    <t>Hide columns AW to BC</t>
  </si>
  <si>
    <t>Sum of acres x CN</t>
  </si>
  <si>
    <t>Grand Sum of acres x CN</t>
  </si>
  <si>
    <t xml:space="preserve">USDA     NRCS   </t>
  </si>
  <si>
    <t>Runoff + Sediment (inches)</t>
  </si>
  <si>
    <t>Design Slopes</t>
  </si>
  <si>
    <t>Cut Slope</t>
  </si>
  <si>
    <t>TW</t>
  </si>
  <si>
    <r>
      <t>1/</t>
    </r>
    <r>
      <rPr>
        <sz val="8"/>
        <rFont val="Arial"/>
        <family val="2"/>
      </rPr>
      <t xml:space="preserve"> Height, Ht. = Average Channel Rod - Ridge Rod</t>
    </r>
  </si>
  <si>
    <t>Drainage Area</t>
  </si>
  <si>
    <t>Design Frequency Storm</t>
  </si>
  <si>
    <t>-year, 24-hour</t>
  </si>
  <si>
    <t xml:space="preserve"> cubic feet</t>
  </si>
  <si>
    <t>Required Storage</t>
  </si>
  <si>
    <t xml:space="preserve">Channel Width </t>
  </si>
  <si>
    <t>Storage:</t>
  </si>
  <si>
    <t>Blocks:</t>
  </si>
  <si>
    <t xml:space="preserve">Number of Blocks </t>
  </si>
  <si>
    <t>Average Block Length</t>
  </si>
  <si>
    <t xml:space="preserve">Total Block Length </t>
  </si>
  <si>
    <t xml:space="preserve">Block Area </t>
  </si>
  <si>
    <t>Top Width</t>
  </si>
  <si>
    <t xml:space="preserve">Land Slope at Basin </t>
  </si>
  <si>
    <t xml:space="preserve">Front Slope </t>
  </si>
  <si>
    <t>Back Slope</t>
  </si>
  <si>
    <t>Diversion Geometry:</t>
  </si>
  <si>
    <t>Areas:</t>
  </si>
  <si>
    <t xml:space="preserve">Cut Area </t>
  </si>
  <si>
    <t>Fill Area</t>
  </si>
  <si>
    <t xml:space="preserve">Diversion Fill Volume </t>
  </si>
  <si>
    <t xml:space="preserve">Block Fill Volume </t>
  </si>
  <si>
    <t xml:space="preserve">Total Earthfill Volume </t>
  </si>
  <si>
    <t>cubic yards</t>
  </si>
  <si>
    <t xml:space="preserve">Average Front and Back Slope </t>
  </si>
  <si>
    <t>Average Cut and Front Slope</t>
  </si>
  <si>
    <t>Land Slope at Basin, LS (%)</t>
  </si>
  <si>
    <t xml:space="preserve">Block Height </t>
  </si>
  <si>
    <t>cubic feet</t>
  </si>
  <si>
    <t>Before any investigation or construction activity, the excavator is responsible for calling Kansas One-Call at 800-344-7233 (800-DIG-SAFE).</t>
  </si>
  <si>
    <t>Overview:</t>
  </si>
  <si>
    <t>General:</t>
  </si>
  <si>
    <t xml:space="preserve">You can save with a .xlt extension (template) and use a shortcut icon on your screen to access the program (the "save" or "save as" will not copy over the template).  You can make changes to the template file by using Excel to load the file and save.  </t>
  </si>
  <si>
    <r>
      <t xml:space="preserve">Page 2 is for </t>
    </r>
    <r>
      <rPr>
        <b/>
        <sz val="10"/>
        <rFont val="Arial"/>
        <family val="2"/>
      </rPr>
      <t>Checkout</t>
    </r>
    <r>
      <rPr>
        <sz val="10"/>
        <rFont val="Arial"/>
        <family val="0"/>
      </rPr>
      <t xml:space="preserve"> and may be completed entirely with a pencil in the field as the checkout survey and measurements are completed.  No yellow cells are shown on Page 2, but data entry is allowed.  Select the cells and/or use the Tab key to move to cells to enter data.</t>
    </r>
  </si>
  <si>
    <t>2, 10, and 25 below used for data validation list cell M22</t>
  </si>
  <si>
    <t>Rev. 8/05</t>
  </si>
  <si>
    <t>Cut Slope, CS</t>
  </si>
  <si>
    <t>Front Slope, FS</t>
  </si>
  <si>
    <t>Back Slope, BS</t>
  </si>
  <si>
    <t>Channel Width, CW (feet)</t>
  </si>
  <si>
    <t>Top Width, TW (feet)</t>
  </si>
  <si>
    <t>Block Height, BH (feet)</t>
  </si>
  <si>
    <t>Cut Depth, dc (feet)</t>
  </si>
  <si>
    <t>(cubic yards)</t>
  </si>
  <si>
    <t>Block Height</t>
  </si>
  <si>
    <t>Storage Depth</t>
  </si>
  <si>
    <t xml:space="preserve">Runoff, R (inches)  </t>
  </si>
  <si>
    <t>Sediment, S (inches)</t>
  </si>
  <si>
    <t>Cut Depth</t>
  </si>
  <si>
    <t>Fill Height</t>
  </si>
  <si>
    <t xml:space="preserve">C/F Ratio </t>
  </si>
  <si>
    <r>
      <t xml:space="preserve">2/ </t>
    </r>
    <r>
      <rPr>
        <sz val="8"/>
        <rFont val="Arial"/>
        <family val="2"/>
      </rPr>
      <t>= Average Channel Rod - Design Constuction Height</t>
    </r>
  </si>
  <si>
    <t>Design Construction Height</t>
  </si>
  <si>
    <t>Drainage Area, DA (acres)</t>
  </si>
  <si>
    <t xml:space="preserve">Rainfall (inches) </t>
  </si>
  <si>
    <t>Diversion              No.</t>
  </si>
  <si>
    <t>Freeboard, fb (feet)</t>
  </si>
  <si>
    <t>(ds +  fb) x 1.10</t>
  </si>
  <si>
    <r>
      <t xml:space="preserve">
</t>
    </r>
    <r>
      <rPr>
        <vertAlign val="superscript"/>
        <sz val="10"/>
        <rFont val="Arial"/>
        <family val="2"/>
      </rPr>
      <t>3/</t>
    </r>
    <r>
      <rPr>
        <sz val="10"/>
        <rFont val="Arial"/>
        <family val="2"/>
      </rPr>
      <t xml:space="preserve"> CH =</t>
    </r>
  </si>
  <si>
    <r>
      <t xml:space="preserve">
</t>
    </r>
    <r>
      <rPr>
        <vertAlign val="superscript"/>
        <sz val="10"/>
        <rFont val="Arial"/>
        <family val="2"/>
      </rPr>
      <t>4/</t>
    </r>
    <r>
      <rPr>
        <sz val="10"/>
        <rFont val="Arial"/>
        <family val="2"/>
      </rPr>
      <t xml:space="preserve"> Volume =</t>
    </r>
  </si>
  <si>
    <r>
      <t xml:space="preserve">Volume </t>
    </r>
    <r>
      <rPr>
        <vertAlign val="superscript"/>
        <sz val="10"/>
        <rFont val="Arial"/>
        <family val="2"/>
      </rPr>
      <t>4/</t>
    </r>
    <r>
      <rPr>
        <sz val="10"/>
        <rFont val="Arial"/>
        <family val="2"/>
      </rPr>
      <t xml:space="preserve">
(cubic yards)</t>
    </r>
  </si>
  <si>
    <r>
      <t xml:space="preserve">Design Construction Height, CH (feet) </t>
    </r>
    <r>
      <rPr>
        <vertAlign val="superscript"/>
        <sz val="10"/>
        <rFont val="Arial"/>
        <family val="2"/>
      </rPr>
      <t>3/</t>
    </r>
  </si>
  <si>
    <r>
      <t>Storage Depth, ds (feet)</t>
    </r>
    <r>
      <rPr>
        <vertAlign val="superscript"/>
        <sz val="10"/>
        <rFont val="Arial"/>
        <family val="2"/>
      </rPr>
      <t xml:space="preserve"> 2/</t>
    </r>
  </si>
  <si>
    <r>
      <t xml:space="preserve">
</t>
    </r>
    <r>
      <rPr>
        <vertAlign val="superscript"/>
        <sz val="10"/>
        <rFont val="Arial"/>
        <family val="2"/>
      </rPr>
      <t>2/</t>
    </r>
    <r>
      <rPr>
        <sz val="10"/>
        <rFont val="Arial"/>
        <family val="2"/>
      </rPr>
      <t xml:space="preserve"> ds = dc + BH</t>
    </r>
  </si>
  <si>
    <t>Channel Cut Depth (outside)</t>
  </si>
  <si>
    <t>KS                 Rev. 8/05</t>
  </si>
  <si>
    <t xml:space="preserve"> Rev. 8/05</t>
  </si>
  <si>
    <t>DC =</t>
  </si>
  <si>
    <t>Cut Depth to the left is the same value</t>
  </si>
  <si>
    <t>Design Settled Height</t>
  </si>
  <si>
    <r>
      <t xml:space="preserve">Total Storage Area </t>
    </r>
    <r>
      <rPr>
        <vertAlign val="superscript"/>
        <sz val="10"/>
        <rFont val="Arial"/>
        <family val="2"/>
      </rPr>
      <t>2/</t>
    </r>
  </si>
  <si>
    <t>Weighted Curve Number</t>
  </si>
  <si>
    <t>(Length x Area) / 27</t>
  </si>
  <si>
    <t>CutFillRatio =</t>
  </si>
  <si>
    <t>Move to the left and unlock the cell to allow input</t>
  </si>
  <si>
    <t>Do not put this in the cell where CFR is calculated!</t>
  </si>
  <si>
    <t>VBA uses this CutFillRatio input to calculate "CFR".</t>
  </si>
  <si>
    <t>This cell must be unlocked to adjust the Cut Depth</t>
  </si>
  <si>
    <t>S=</t>
  </si>
  <si>
    <t>This S value is used in the Runoff Storage formula</t>
  </si>
  <si>
    <t xml:space="preserve">Hide columns V to AB  </t>
  </si>
  <si>
    <t xml:space="preserve">     Ident. No.</t>
  </si>
  <si>
    <t xml:space="preserve">     County</t>
  </si>
  <si>
    <t xml:space="preserve">     Date</t>
  </si>
  <si>
    <t>Out-of-Channel Storage</t>
  </si>
  <si>
    <r>
      <t xml:space="preserve">2/ </t>
    </r>
    <r>
      <rPr>
        <sz val="10"/>
        <rFont val="Arial"/>
        <family val="0"/>
      </rPr>
      <t>Total Storage and Total Storage Area include In-Channel and Out-of-Channel Storage and Storage Area</t>
    </r>
  </si>
  <si>
    <t>In-Channel Storage</t>
  </si>
  <si>
    <t xml:space="preserve">1   </t>
  </si>
  <si>
    <t xml:space="preserve">  1</t>
  </si>
  <si>
    <t xml:space="preserve">  Instructions for Level Diversion Program                                              Page 2</t>
  </si>
  <si>
    <t>Design (1) - Diversion - 362 (Level)</t>
  </si>
  <si>
    <t>Design (2) - Diversion - 362 (Level)</t>
  </si>
  <si>
    <t>Antecedent Moisture</t>
  </si>
  <si>
    <t>Land Use and Treatment</t>
  </si>
  <si>
    <t>Condition (AMC)</t>
  </si>
  <si>
    <t>and/or Practice 1/ or Hydrologic Condition 2/</t>
  </si>
  <si>
    <t xml:space="preserve">Acres by Hydrologic Soil Group </t>
  </si>
  <si>
    <t xml:space="preserve">Drainage Area  </t>
  </si>
  <si>
    <t xml:space="preserve">Weighted Curve Number </t>
  </si>
  <si>
    <t>Storage Depth (if all In-Channel)</t>
  </si>
  <si>
    <t xml:space="preserve">This spreadsheet program can be used to design level diversions.  The spreadsheet will compute the Required Storage, Design (1), and Design (2).  It then completes Form KS-ENG-36, Diversion - 362 (Level).  </t>
  </si>
  <si>
    <t>The Designed by - Date will update to the current date when a new Name is entered but will not change automatically when a saved file is loaded.  The "Clear Cells" button can be used to remove the data entry and start a new design.  However, the county is not cleared as most designers will be working in 1 county.   The county can be cleared using the Delete key.</t>
  </si>
  <si>
    <r>
      <t xml:space="preserve">The "CN calc" sheet is set up to calculate curve numbers for each county in Kansas according to the CN tables in Chapter 2 of the National Engineering Handbook Part 650, Engineering Field Handbook.  The adjusted curve numbers between Antecedent Moisture Condition (AMC) I and AMC II will automatically load for each county that is eligible to use them.  The adjusted curve numbers are allowed for 10-year rainfall frequencies and less.  </t>
    </r>
    <r>
      <rPr>
        <b/>
        <sz val="10"/>
        <rFont val="Arial"/>
        <family val="2"/>
      </rPr>
      <t>AMC II CNs must be used for 25-year, 24-hour storms; all dams; and all irrigated land in Kansas.</t>
    </r>
    <r>
      <rPr>
        <sz val="10"/>
        <rFont val="Arial"/>
        <family val="0"/>
      </rPr>
      <t xml:space="preserve">  For each diversion, enter the acres (ac) for each Hydrologic Soil Group on the line for the approriate Land Use and Treatment.  The Drainage Area and Weighted Curve Number data are separate for each diversion and do not accumulate (as with the reaches on a gradient diversion or waterway).  The  Drainage Area and the Weighted Curve Number for each diversion will be transferred to the "Hyd Sum" sheet for the corresponding diversion.   </t>
    </r>
  </si>
  <si>
    <t xml:space="preserve">To print this worksheet, press the "print CN sheet(s)" button at the right of the screen.  One blank sheet will print even if no acres are entered.  The second page will print if acres were entered.  The "Clear Cells" button can be used to remove the acres from the sheet to start a new design. </t>
  </si>
  <si>
    <r>
      <t>Total Storage</t>
    </r>
    <r>
      <rPr>
        <b/>
        <vertAlign val="superscript"/>
        <sz val="10"/>
        <rFont val="Arial"/>
        <family val="2"/>
      </rPr>
      <t xml:space="preserve"> 2/</t>
    </r>
  </si>
  <si>
    <r>
      <t xml:space="preserve">Storage Depth </t>
    </r>
    <r>
      <rPr>
        <b/>
        <vertAlign val="superscript"/>
        <sz val="10"/>
        <rFont val="Arial"/>
        <family val="2"/>
      </rPr>
      <t>1/</t>
    </r>
  </si>
  <si>
    <t>Diversion Cross Section:</t>
  </si>
  <si>
    <t>Printing Sheets:</t>
  </si>
  <si>
    <t>"Hyd Sum" Sheet:</t>
  </si>
  <si>
    <t>"CN calc" Sheet:</t>
  </si>
  <si>
    <t>"Design (1) and (2)" Sheets:</t>
  </si>
  <si>
    <t>"KS-ENG-36" Sheet:</t>
  </si>
  <si>
    <r>
      <t xml:space="preserve">NRCS                                     </t>
    </r>
    <r>
      <rPr>
        <b/>
        <sz val="10"/>
        <rFont val="Arial"/>
        <family val="2"/>
      </rPr>
      <t xml:space="preserve">  Instructions for Level Diversion Program</t>
    </r>
    <r>
      <rPr>
        <sz val="10"/>
        <rFont val="Arial"/>
        <family val="2"/>
      </rPr>
      <t xml:space="preserve">                               Rev. 8/05   </t>
    </r>
  </si>
  <si>
    <t xml:space="preserve">USDA                                                                                                                                              KS   </t>
  </si>
  <si>
    <t xml:space="preserve">"Design (1)" sheet is used for the first diversion and "Design (2)" for the second diversion.  Enter the Design Frequency Storm for a 24-hour storm of 2-, 10-, or 25-year frequency and the corresponding Runoff will transfer from the "Hyd Sum" sheet to the respective "Design" sheet.  If the "Diversion No." is blank, 10 acres will show for the Drainage Area to keep the program from malfunctioning.  Enter the information in the yellow cells for Freeboard, Top Width, Sediment Storage, Land Slope at Basin, Cut Slope, Front Slope, Back Slope, Length, Channel Width, Storage Depth, and Number of Blocks.  </t>
  </si>
  <si>
    <t>To clear cells on Page 1 of Form KS-ENG-36, press the "Clear Cells" button on the "Hyd Sum" sheet.  Press the "Clear Cells" button on the "KS-ENG-36" sheet to clear the lower left of Page 1 (location map scale, names, and dates) and entries on the right half of Page 2.  If you want to delete the data in the Location Map on Page 1 or the Channel and Ridge Profiles on Page 2, highlight the data and press the Delete key.  It is easier to start a new job from a blank file.</t>
  </si>
  <si>
    <r>
      <t>The "</t>
    </r>
    <r>
      <rPr>
        <b/>
        <sz val="10"/>
        <rFont val="Arial"/>
        <family val="2"/>
      </rPr>
      <t>Design and Layout</t>
    </r>
    <r>
      <rPr>
        <sz val="10"/>
        <rFont val="Arial"/>
        <family val="2"/>
      </rPr>
      <t>"</t>
    </r>
    <r>
      <rPr>
        <sz val="10"/>
        <rFont val="Arial"/>
        <family val="0"/>
      </rPr>
      <t xml:space="preserve"> section will be filled in automatically from the data entered in the "Hyd Sum," "CN calc," "Design (1)," and "Design (2)" sheets.  The Location Map allows use of the drawing toolbar or data entry but is not shown as a yellow area.  The Scale, Layout by, Date, Checked by, and Date must be completed.  The Approved by and Date may be entered, but an actual signature must also be on the printed form.   </t>
    </r>
  </si>
  <si>
    <t xml:space="preserve">Runoff </t>
  </si>
  <si>
    <t>Sediment Storage</t>
  </si>
  <si>
    <t xml:space="preserve">Length </t>
  </si>
  <si>
    <t>In-Channel Storage Area</t>
  </si>
  <si>
    <t>Out-of-Channel Storage Area</t>
  </si>
  <si>
    <t>Cut/Fill (C/F) Ratio</t>
  </si>
  <si>
    <t xml:space="preserve"> 2-Year, 24-Hour</t>
  </si>
  <si>
    <t>10-Year, 24-Hour</t>
  </si>
  <si>
    <t>25-Year, 24-Hour</t>
  </si>
  <si>
    <t>Drainage Area:</t>
  </si>
  <si>
    <r>
      <t xml:space="preserve">As a general rule, the user will enter all data into yellow cells.  You can use the Tab key to move from one input to the next.  The rest of the spreadsheet is usually write-protected to prevent accidentally erasing formulas. </t>
    </r>
    <r>
      <rPr>
        <sz val="10"/>
        <rFont val="Arial"/>
        <family val="2"/>
      </rPr>
      <t xml:space="preserve">   </t>
    </r>
    <r>
      <rPr>
        <b/>
        <sz val="10"/>
        <rFont val="Arial"/>
        <family val="2"/>
      </rPr>
      <t xml:space="preserve">                                   </t>
    </r>
  </si>
  <si>
    <r>
      <t xml:space="preserve">The "Hyd Sum" sheet is the starting point for the program.  The top portion of the sheet will transfer to the other sheets.  </t>
    </r>
    <r>
      <rPr>
        <sz val="10"/>
        <rFont val="Arial"/>
        <family val="0"/>
      </rPr>
      <t xml:space="preserve">Enter the Diversion No. (1 and 2).  Use a different number for each diversion.  Use the "CN calc" sheet for calculating Drainage Area and Weighted Curve Number for each diversion.  On the "Hyd Sum" sheet, enter Flow Length and Watershed Slope for each diversion (this is optional and does not affect the runoff calculations).  The 10-year, 24-hour storm runoff will carry to the "Design" sheets.  You can change to a 2-year or 25-year frequency storm on the "Design" sheets for special design situations.                                                                                               </t>
    </r>
  </si>
  <si>
    <t xml:space="preserve">The program calculates using the zero cut - zero fill stake method.  The program uses the Storage Depth entered and will automatically adjust the Cut Depth and respective Fill Height to provide the required  balance for a Cut/Fill Ratio of 1.35.  The Design Construction Height and other calculated values will show on the "Design" sheet.  The Storage Depth (if all In-Channel) is the calculated depth needed to provide the Required Storage for the Channel Width and other Diversion Cross Section data entered.  Storage Depth (if all In-Channel) is not used directly for any other calculations.  Enter Storage Depth equal to or less than Storage Depth (if all In-Channel).  Storage Depth is not changed automatically as other data is changed.  Adjust Storage Depth until the Total Storage provides the Required Storage.  Make changes to Channel Width and repeat the above Storage Depth changes as needed.  Total Storage and Total Storage Area include In-Channel and Out-of-Channel Storage and Storage Area. </t>
  </si>
  <si>
    <r>
      <t>1/</t>
    </r>
    <r>
      <rPr>
        <sz val="10"/>
        <rFont val="Arial"/>
        <family val="0"/>
      </rPr>
      <t xml:space="preserve"> Storage Depth is not changed automatically as other data is changed.  Adjust Storage Depth until the Total Storage provides </t>
    </r>
  </si>
  <si>
    <r>
      <t>1/</t>
    </r>
    <r>
      <rPr>
        <sz val="10"/>
        <rFont val="Arial"/>
        <family val="2"/>
      </rPr>
      <t xml:space="preserve"> Storage Depth is not changed automatically as other data is changed.  Adjust Storage Depth until the Total Storage provides </t>
    </r>
  </si>
  <si>
    <t xml:space="preserve">   the Required Storage.  Make changes to Channel Width and repeat the above Storage Depth changes as needed.</t>
  </si>
  <si>
    <t>sq mi</t>
  </si>
  <si>
    <r>
      <t>1/</t>
    </r>
    <r>
      <rPr>
        <sz val="10"/>
        <rFont val="Arial"/>
        <family val="2"/>
      </rPr>
      <t xml:space="preserve"> Required Storage</t>
    </r>
  </si>
  <si>
    <r>
      <t>Required Storage Area (cubic feet/foot)</t>
    </r>
    <r>
      <rPr>
        <vertAlign val="superscript"/>
        <sz val="10"/>
        <rFont val="Arial"/>
        <family val="2"/>
      </rPr>
      <t>1/</t>
    </r>
  </si>
  <si>
    <t>Required Storage Area</t>
  </si>
  <si>
    <t>Area =</t>
  </si>
  <si>
    <t xml:space="preserve">The "CN calc" sheet has a "print CN sheet(s)" button.  Use normal print methods for the other sheets.  If you hold the Ctrl key as the tabs are clicked, you can select multiple sheets to print at one time.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</si>
</sst>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
    <numFmt numFmtId="168" formatCode="mm/dd/yy"/>
    <numFmt numFmtId="169" formatCode=";;;"/>
    <numFmt numFmtId="170" formatCode="0\+00"/>
    <numFmt numFmtId="171" formatCode="General_)"/>
    <numFmt numFmtId="172" formatCode="0.000_)"/>
    <numFmt numFmtId="173" formatCode="0.000000"/>
    <numFmt numFmtId="174" formatCode="0.0000000"/>
    <numFmt numFmtId="175" formatCode="m/d/yy"/>
    <numFmt numFmtId="176" formatCode="0\ 0/0"/>
    <numFmt numFmtId="177" formatCode="0\-0"/>
    <numFmt numFmtId="178" formatCode="0\'"/>
    <numFmt numFmtId="179" formatCode="0.0\'"/>
    <numFmt numFmtId="180" formatCode="0\'\'"/>
    <numFmt numFmtId="181" formatCode="0.000\'\'"/>
    <numFmt numFmtId="182" formatCode="mmmm\ d\,\ yyyy"/>
    <numFmt numFmtId="183" formatCode="m/yy"/>
    <numFmt numFmtId="184" formatCode="##\+##"/>
    <numFmt numFmtId="185" formatCode="_(&quot;$&quot;* #,##0.0_);_(&quot;$&quot;* \(#,##0.0\);_(&quot;$&quot;* &quot;-&quot;??_);_(@_)"/>
    <numFmt numFmtId="186" formatCode="_(&quot;$&quot;* #,##0_);_(&quot;$&quot;* \(#,##0\);_(&quot;$&quot;* &quot;-&quot;??_);_(@_)"/>
    <numFmt numFmtId="187" formatCode="0.00000000"/>
    <numFmt numFmtId="188" formatCode="00000"/>
    <numFmt numFmtId="189" formatCode="##.0\+##"/>
    <numFmt numFmtId="190" formatCode="##.00\+##"/>
    <numFmt numFmtId="191" formatCode="##.000\+##"/>
    <numFmt numFmtId="192" formatCode="##.\+##"/>
    <numFmt numFmtId="193" formatCode="#.\+##"/>
    <numFmt numFmtId="194" formatCode=".\+;"/>
    <numFmt numFmtId="195" formatCode="00\+00"/>
    <numFmt numFmtId="196" formatCode="_([$$-409]* #,##0.00_);_([$$-409]* \(#,##0.00\);_([$$-409]* &quot;-&quot;??_);_(@_)"/>
    <numFmt numFmtId="197" formatCode="#\+##"/>
    <numFmt numFmtId="198" formatCode="#.0\+##"/>
    <numFmt numFmtId="199" formatCode="0.0%"/>
    <numFmt numFmtId="200" formatCode="_(&quot;$&quot;* #,##0.000_);_(&quot;$&quot;* \(#,##0.000\);_(&quot;$&quot;* &quot;-&quot;??_);_(@_)"/>
    <numFmt numFmtId="201" formatCode="m/d"/>
    <numFmt numFmtId="202" formatCode="[$-409]dddd\,\ mmmm\ dd\,\ yyyy"/>
    <numFmt numFmtId="203" formatCode="m/d/yy;@"/>
    <numFmt numFmtId="204" formatCode="mm/dd/yy;@"/>
    <numFmt numFmtId="205" formatCode="0.00_)"/>
    <numFmt numFmtId="206" formatCode="0_)"/>
    <numFmt numFmtId="207" formatCode="0.0_)"/>
    <numFmt numFmtId="208" formatCode="[$-409]h:mm:ss\ AM/PM"/>
    <numFmt numFmtId="209" formatCode="m/d/yyyy;@"/>
    <numFmt numFmtId="210" formatCode="#,##0.0"/>
  </numFmts>
  <fonts count="31">
    <font>
      <sz val="10"/>
      <name val="Arial"/>
      <family val="0"/>
    </font>
    <font>
      <sz val="10"/>
      <color indexed="12"/>
      <name val="Arial"/>
      <family val="2"/>
    </font>
    <font>
      <sz val="10"/>
      <color indexed="10"/>
      <name val="Arial"/>
      <family val="2"/>
    </font>
    <font>
      <b/>
      <sz val="12"/>
      <name val="Arial"/>
      <family val="2"/>
    </font>
    <font>
      <b/>
      <sz val="10"/>
      <name val="Arial"/>
      <family val="2"/>
    </font>
    <font>
      <sz val="12"/>
      <name val="Arial"/>
      <family val="2"/>
    </font>
    <font>
      <sz val="10"/>
      <name val="Times New Roman"/>
      <family val="0"/>
    </font>
    <font>
      <u val="single"/>
      <sz val="10"/>
      <color indexed="36"/>
      <name val="Times New Roman"/>
      <family val="0"/>
    </font>
    <font>
      <u val="single"/>
      <sz val="5"/>
      <color indexed="12"/>
      <name val="Times New Roman"/>
      <family val="0"/>
    </font>
    <font>
      <b/>
      <sz val="10"/>
      <name val="Times New Roman"/>
      <family val="1"/>
    </font>
    <font>
      <sz val="6"/>
      <name val="Small Fonts"/>
      <family val="2"/>
    </font>
    <font>
      <sz val="12"/>
      <name val="Times New Roman"/>
      <family val="1"/>
    </font>
    <font>
      <sz val="10"/>
      <color indexed="14"/>
      <name val="Arial"/>
      <family val="2"/>
    </font>
    <font>
      <b/>
      <sz val="10"/>
      <color indexed="14"/>
      <name val="Arial"/>
      <family val="2"/>
    </font>
    <font>
      <sz val="9"/>
      <name val="Arial"/>
      <family val="2"/>
    </font>
    <font>
      <sz val="11"/>
      <name val="Arial"/>
      <family val="2"/>
    </font>
    <font>
      <sz val="6"/>
      <name val="Arial"/>
      <family val="2"/>
    </font>
    <font>
      <sz val="12"/>
      <color indexed="12"/>
      <name val="Arial"/>
      <family val="2"/>
    </font>
    <font>
      <sz val="12"/>
      <color indexed="10"/>
      <name val="Arial"/>
      <family val="2"/>
    </font>
    <font>
      <u val="single"/>
      <sz val="10"/>
      <name val="Arial"/>
      <family val="2"/>
    </font>
    <font>
      <sz val="10"/>
      <color indexed="8"/>
      <name val="Arial"/>
      <family val="2"/>
    </font>
    <font>
      <strike/>
      <sz val="10"/>
      <name val="Arial"/>
      <family val="2"/>
    </font>
    <font>
      <sz val="10"/>
      <color indexed="48"/>
      <name val="Arial"/>
      <family val="2"/>
    </font>
    <font>
      <sz val="8"/>
      <name val="Arial"/>
      <family val="0"/>
    </font>
    <font>
      <b/>
      <sz val="11"/>
      <name val="Arial"/>
      <family val="2"/>
    </font>
    <font>
      <sz val="11"/>
      <color indexed="10"/>
      <name val="Arial"/>
      <family val="2"/>
    </font>
    <font>
      <sz val="16"/>
      <name val="Arial"/>
      <family val="2"/>
    </font>
    <font>
      <vertAlign val="superscript"/>
      <sz val="10"/>
      <name val="Arial"/>
      <family val="2"/>
    </font>
    <font>
      <vertAlign val="superscript"/>
      <sz val="8"/>
      <name val="Arial"/>
      <family val="2"/>
    </font>
    <font>
      <b/>
      <sz val="10"/>
      <color indexed="10"/>
      <name val="Arial"/>
      <family val="2"/>
    </font>
    <font>
      <b/>
      <vertAlign val="superscript"/>
      <sz val="10"/>
      <name val="Arial"/>
      <family val="2"/>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5">
    <border>
      <left/>
      <right/>
      <top/>
      <bottom/>
      <diagonal/>
    </border>
    <border>
      <left style="medium"/>
      <right>
        <color indexed="63"/>
      </right>
      <top>
        <color indexed="63"/>
      </top>
      <bottom>
        <color indexed="63"/>
      </bottom>
    </border>
    <border>
      <left style="thin"/>
      <right style="medium"/>
      <top style="medium"/>
      <bottom style="thin"/>
    </border>
    <border>
      <left>
        <color indexed="63"/>
      </left>
      <right>
        <color indexed="63"/>
      </right>
      <top style="medium"/>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style="thin"/>
      <right>
        <color indexed="63"/>
      </right>
      <top style="thin"/>
      <bottom style="thin"/>
    </border>
    <border>
      <left style="thin"/>
      <right style="medium"/>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color indexed="22"/>
      </bottom>
    </border>
    <border>
      <left>
        <color indexed="63"/>
      </left>
      <right>
        <color indexed="63"/>
      </right>
      <top>
        <color indexed="63"/>
      </top>
      <bottom style="thin">
        <color indexed="22"/>
      </bottom>
    </border>
    <border>
      <left>
        <color indexed="63"/>
      </left>
      <right style="medium"/>
      <top>
        <color indexed="63"/>
      </top>
      <bottom style="thin">
        <color indexed="22"/>
      </bottom>
    </border>
    <border>
      <left style="medium"/>
      <right>
        <color indexed="63"/>
      </right>
      <top style="medium"/>
      <bottom style="medium"/>
    </border>
    <border>
      <left>
        <color indexed="63"/>
      </left>
      <right>
        <color indexed="63"/>
      </right>
      <top style="medium"/>
      <bottom style="medium"/>
    </border>
    <border>
      <left style="thin">
        <color indexed="22"/>
      </left>
      <right>
        <color indexed="63"/>
      </right>
      <top style="thin"/>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border>
    <border>
      <left style="thin"/>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style="thin"/>
      <top style="thin">
        <color indexed="22"/>
      </top>
      <bottom>
        <color indexed="63"/>
      </bottom>
    </border>
    <border>
      <left style="thin"/>
      <right style="thin"/>
      <top style="thin"/>
      <bottom style="thin"/>
    </border>
    <border>
      <left style="medium"/>
      <right style="thin"/>
      <top style="thin"/>
      <bottom>
        <color indexed="63"/>
      </botto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846">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6" fillId="0" borderId="0" xfId="23" applyAlignment="1" applyProtection="1">
      <alignment horizontal="left"/>
      <protection/>
    </xf>
    <xf numFmtId="0" fontId="6" fillId="0" borderId="0" xfId="23" applyProtection="1">
      <alignment/>
      <protection/>
    </xf>
    <xf numFmtId="0" fontId="6" fillId="0" borderId="0" xfId="23" applyFont="1" applyProtection="1">
      <alignment/>
      <protection/>
    </xf>
    <xf numFmtId="167" fontId="6" fillId="0" borderId="0" xfId="23" applyNumberFormat="1" applyProtection="1">
      <alignment/>
      <protection/>
    </xf>
    <xf numFmtId="1" fontId="6" fillId="0" borderId="0" xfId="23" applyNumberFormat="1" applyProtection="1">
      <alignment/>
      <protection/>
    </xf>
    <xf numFmtId="0" fontId="6" fillId="0" borderId="0" xfId="0" applyFont="1" applyAlignment="1">
      <alignment/>
    </xf>
    <xf numFmtId="167" fontId="6" fillId="0" borderId="0" xfId="0" applyNumberFormat="1" applyFont="1" applyAlignment="1">
      <alignment/>
    </xf>
    <xf numFmtId="0" fontId="0" fillId="0" borderId="0" xfId="0" applyFont="1" applyFill="1" applyBorder="1" applyAlignment="1">
      <alignment/>
    </xf>
    <xf numFmtId="0" fontId="0" fillId="0" borderId="2" xfId="0" applyFont="1" applyFill="1" applyBorder="1" applyAlignment="1">
      <alignment horizontal="center"/>
    </xf>
    <xf numFmtId="0" fontId="0" fillId="0" borderId="0" xfId="0" applyFont="1" applyFill="1" applyBorder="1" applyAlignment="1">
      <alignment horizontal="right"/>
    </xf>
    <xf numFmtId="0" fontId="0" fillId="0" borderId="0" xfId="0" applyFont="1" applyAlignment="1">
      <alignment/>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pplyProtection="1">
      <alignment horizontal="left"/>
      <protection/>
    </xf>
    <xf numFmtId="0" fontId="0" fillId="0" borderId="0" xfId="0" applyFont="1" applyFill="1" applyBorder="1" applyAlignment="1">
      <alignment horizontal="left"/>
    </xf>
    <xf numFmtId="0" fontId="0" fillId="0" borderId="0" xfId="0" applyFont="1" applyFill="1" applyBorder="1" applyAlignment="1" applyProtection="1">
      <alignment/>
      <protection/>
    </xf>
    <xf numFmtId="0" fontId="0" fillId="0" borderId="5" xfId="0" applyFont="1" applyFill="1" applyBorder="1" applyAlignment="1" applyProtection="1">
      <alignment horizontal="left"/>
      <protection/>
    </xf>
    <xf numFmtId="0" fontId="0" fillId="0" borderId="0" xfId="0" applyFont="1" applyFill="1" applyAlignment="1">
      <alignment/>
    </xf>
    <xf numFmtId="14" fontId="0" fillId="0" borderId="0" xfId="0" applyNumberFormat="1"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Border="1" applyAlignment="1">
      <alignment horizontal="left"/>
    </xf>
    <xf numFmtId="0" fontId="0" fillId="0" borderId="0" xfId="0"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Font="1" applyBorder="1" applyAlignment="1">
      <alignment horizontal="right"/>
    </xf>
    <xf numFmtId="167" fontId="0" fillId="0" borderId="0" xfId="0" applyNumberFormat="1" applyBorder="1" applyAlignment="1">
      <alignment/>
    </xf>
    <xf numFmtId="0" fontId="0" fillId="0" borderId="0" xfId="0" applyBorder="1" applyAlignment="1">
      <alignment horizontal="left"/>
    </xf>
    <xf numFmtId="0" fontId="0" fillId="0" borderId="0" xfId="0" applyFont="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22" applyFont="1">
      <alignment/>
      <protection/>
    </xf>
    <xf numFmtId="0" fontId="1" fillId="2" borderId="5" xfId="0" applyFont="1" applyFill="1" applyBorder="1" applyAlignment="1" applyProtection="1">
      <alignment/>
      <protection locked="0"/>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3" borderId="0" xfId="0" applyFill="1" applyAlignment="1" applyProtection="1">
      <alignment/>
      <protection/>
    </xf>
    <xf numFmtId="0" fontId="10" fillId="0" borderId="0" xfId="0" applyFont="1" applyAlignment="1" applyProtection="1">
      <alignment/>
      <protection/>
    </xf>
    <xf numFmtId="0" fontId="10" fillId="3" borderId="0" xfId="0" applyFont="1" applyFill="1" applyAlignment="1" applyProtection="1">
      <alignment/>
      <protection/>
    </xf>
    <xf numFmtId="0" fontId="11" fillId="0" borderId="0" xfId="0" applyFont="1" applyAlignment="1" applyProtection="1">
      <alignment/>
      <protection/>
    </xf>
    <xf numFmtId="0" fontId="11" fillId="3" borderId="0" xfId="0" applyFont="1" applyFill="1" applyAlignment="1" applyProtection="1">
      <alignment/>
      <protection/>
    </xf>
    <xf numFmtId="0" fontId="11" fillId="3" borderId="0" xfId="0" applyFont="1" applyFill="1" applyBorder="1" applyAlignment="1" applyProtection="1">
      <alignment/>
      <protection/>
    </xf>
    <xf numFmtId="169" fontId="0" fillId="3" borderId="0" xfId="0" applyNumberFormat="1" applyFill="1" applyAlignment="1" applyProtection="1">
      <alignment/>
      <protection/>
    </xf>
    <xf numFmtId="0" fontId="0" fillId="3" borderId="0" xfId="0" applyFill="1" applyBorder="1" applyAlignment="1" applyProtection="1">
      <alignment/>
      <protection/>
    </xf>
    <xf numFmtId="169" fontId="6" fillId="0" borderId="0" xfId="23" applyNumberFormat="1" applyAlignment="1" quotePrefix="1">
      <alignment horizontal="left"/>
      <protection/>
    </xf>
    <xf numFmtId="0" fontId="6" fillId="0" borderId="0" xfId="23">
      <alignment/>
      <protection/>
    </xf>
    <xf numFmtId="172" fontId="6" fillId="0" borderId="0" xfId="23" applyNumberFormat="1" applyProtection="1">
      <alignment/>
      <protection/>
    </xf>
    <xf numFmtId="1" fontId="6" fillId="0" borderId="0" xfId="23" applyNumberFormat="1" applyFont="1" applyProtection="1">
      <alignment/>
      <protection/>
    </xf>
    <xf numFmtId="0" fontId="6" fillId="0" borderId="13" xfId="23" applyBorder="1">
      <alignment/>
      <protection/>
    </xf>
    <xf numFmtId="0" fontId="6" fillId="0" borderId="14" xfId="23" applyBorder="1">
      <alignment/>
      <protection/>
    </xf>
    <xf numFmtId="0" fontId="6" fillId="0" borderId="0" xfId="23" applyBorder="1">
      <alignment/>
      <protection/>
    </xf>
    <xf numFmtId="0" fontId="6" fillId="0" borderId="15" xfId="23" applyBorder="1">
      <alignment/>
      <protection/>
    </xf>
    <xf numFmtId="0" fontId="6" fillId="0" borderId="0" xfId="23" applyFont="1" applyBorder="1">
      <alignment/>
      <protection/>
    </xf>
    <xf numFmtId="165" fontId="6" fillId="0" borderId="0" xfId="23" applyNumberFormat="1" applyBorder="1">
      <alignment/>
      <protection/>
    </xf>
    <xf numFmtId="2" fontId="6" fillId="0" borderId="14" xfId="23" applyNumberFormat="1" applyBorder="1">
      <alignment/>
      <protection/>
    </xf>
    <xf numFmtId="2" fontId="6" fillId="0" borderId="0" xfId="23" applyNumberFormat="1" applyBorder="1">
      <alignment/>
      <protection/>
    </xf>
    <xf numFmtId="0" fontId="6" fillId="0" borderId="16" xfId="23" applyBorder="1">
      <alignment/>
      <protection/>
    </xf>
    <xf numFmtId="0" fontId="6" fillId="0" borderId="11" xfId="23" applyBorder="1">
      <alignment/>
      <protection/>
    </xf>
    <xf numFmtId="0" fontId="6" fillId="0" borderId="17" xfId="23" applyBorder="1">
      <alignment/>
      <protection/>
    </xf>
    <xf numFmtId="0" fontId="0" fillId="0" borderId="1" xfId="0" applyFill="1" applyBorder="1" applyAlignment="1">
      <alignment/>
    </xf>
    <xf numFmtId="0" fontId="0" fillId="0" borderId="0" xfId="0"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13" fillId="0" borderId="0" xfId="0" applyFont="1" applyFill="1" applyBorder="1" applyAlignment="1">
      <alignment/>
    </xf>
    <xf numFmtId="0" fontId="12" fillId="0" borderId="8" xfId="0" applyFont="1" applyFill="1" applyBorder="1" applyAlignment="1">
      <alignment/>
    </xf>
    <xf numFmtId="0" fontId="0" fillId="0" borderId="8" xfId="0" applyFill="1" applyBorder="1" applyAlignment="1">
      <alignment/>
    </xf>
    <xf numFmtId="0" fontId="0" fillId="0" borderId="10" xfId="0" applyFill="1" applyBorder="1" applyAlignment="1" quotePrefix="1">
      <alignment horizontal="left"/>
    </xf>
    <xf numFmtId="0" fontId="0" fillId="0" borderId="11" xfId="0" applyFill="1" applyBorder="1" applyAlignment="1">
      <alignment/>
    </xf>
    <xf numFmtId="0" fontId="0" fillId="0" borderId="12" xfId="0" applyFill="1" applyBorder="1" applyAlignment="1">
      <alignment/>
    </xf>
    <xf numFmtId="0" fontId="0" fillId="0" borderId="0" xfId="0" applyFont="1" applyAlignment="1" applyProtection="1">
      <alignment/>
      <protection/>
    </xf>
    <xf numFmtId="0" fontId="0" fillId="3" borderId="0" xfId="0" applyFont="1" applyFill="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centerContinuous"/>
      <protection/>
    </xf>
    <xf numFmtId="0" fontId="10" fillId="3" borderId="0" xfId="0" applyFont="1" applyFill="1" applyBorder="1" applyAlignment="1" applyProtection="1">
      <alignment/>
      <protection/>
    </xf>
    <xf numFmtId="0" fontId="0" fillId="0" borderId="0" xfId="0" applyFont="1" applyBorder="1" applyAlignment="1" applyProtection="1">
      <alignment horizontal="left"/>
      <protection/>
    </xf>
    <xf numFmtId="0" fontId="16" fillId="0" borderId="0" xfId="0" applyFont="1" applyBorder="1" applyAlignment="1" applyProtection="1">
      <alignment/>
      <protection/>
    </xf>
    <xf numFmtId="0" fontId="0" fillId="0" borderId="0" xfId="0" applyFont="1" applyFill="1" applyBorder="1" applyAlignment="1" applyProtection="1">
      <alignment horizontal="center"/>
      <protection/>
    </xf>
    <xf numFmtId="0" fontId="5" fillId="0" borderId="0" xfId="0" applyFont="1" applyBorder="1" applyAlignment="1" applyProtection="1">
      <alignment/>
      <protection/>
    </xf>
    <xf numFmtId="0" fontId="16" fillId="0" borderId="0" xfId="0" applyFont="1" applyBorder="1" applyAlignment="1" applyProtection="1">
      <alignment/>
      <protection/>
    </xf>
    <xf numFmtId="0" fontId="10" fillId="3" borderId="0" xfId="0" applyFont="1" applyFill="1" applyBorder="1" applyAlignment="1" applyProtection="1">
      <alignment/>
      <protection/>
    </xf>
    <xf numFmtId="0" fontId="0" fillId="0" borderId="0" xfId="0" applyFont="1" applyBorder="1" applyAlignment="1" applyProtection="1">
      <alignment horizontal="center"/>
      <protection/>
    </xf>
    <xf numFmtId="0" fontId="17" fillId="0" borderId="0" xfId="0" applyFont="1" applyBorder="1" applyAlignment="1" applyProtection="1">
      <alignment horizontal="center"/>
      <protection/>
    </xf>
    <xf numFmtId="0" fontId="18" fillId="0" borderId="0" xfId="0" applyFont="1" applyBorder="1" applyAlignment="1" applyProtection="1">
      <alignment/>
      <protection/>
    </xf>
    <xf numFmtId="0" fontId="11" fillId="3"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9" fillId="0" borderId="0" xfId="0" applyFont="1" applyAlignment="1" applyProtection="1">
      <alignment/>
      <protection/>
    </xf>
    <xf numFmtId="0" fontId="0" fillId="0" borderId="0" xfId="0" applyFont="1" applyAlignment="1" applyProtection="1">
      <alignment horizontal="center"/>
      <protection/>
    </xf>
    <xf numFmtId="0" fontId="0" fillId="0" borderId="9" xfId="0" applyFont="1" applyBorder="1" applyAlignment="1" applyProtection="1">
      <alignment/>
      <protection/>
    </xf>
    <xf numFmtId="0" fontId="0" fillId="0" borderId="6" xfId="0" applyFont="1" applyBorder="1" applyAlignment="1" applyProtection="1">
      <alignment/>
      <protection/>
    </xf>
    <xf numFmtId="0" fontId="0" fillId="0" borderId="1" xfId="0" applyFont="1" applyBorder="1" applyAlignment="1" applyProtection="1">
      <alignment/>
      <protection/>
    </xf>
    <xf numFmtId="0" fontId="2" fillId="0" borderId="0" xfId="0" applyFont="1" applyBorder="1" applyAlignment="1" applyProtection="1">
      <alignment/>
      <protection/>
    </xf>
    <xf numFmtId="0" fontId="0" fillId="0" borderId="8" xfId="0" applyFont="1" applyBorder="1" applyAlignment="1" applyProtection="1">
      <alignment/>
      <protection/>
    </xf>
    <xf numFmtId="169" fontId="0" fillId="0" borderId="0" xfId="0" applyNumberFormat="1" applyFont="1" applyBorder="1" applyAlignment="1" applyProtection="1">
      <alignment horizontal="centerContinuous"/>
      <protection/>
    </xf>
    <xf numFmtId="0" fontId="21" fillId="0" borderId="1" xfId="0" applyFont="1" applyBorder="1" applyAlignment="1" applyProtection="1">
      <alignment/>
      <protection/>
    </xf>
    <xf numFmtId="169" fontId="0" fillId="0" borderId="0" xfId="0" applyNumberFormat="1" applyFont="1" applyBorder="1" applyAlignment="1" applyProtection="1">
      <alignment/>
      <protection/>
    </xf>
    <xf numFmtId="0" fontId="0" fillId="0" borderId="0" xfId="0" applyAlignment="1" applyProtection="1">
      <alignment/>
      <protection hidden="1"/>
    </xf>
    <xf numFmtId="0" fontId="0" fillId="0" borderId="10" xfId="0" applyFont="1" applyBorder="1" applyAlignment="1" applyProtection="1">
      <alignment/>
      <protection/>
    </xf>
    <xf numFmtId="0" fontId="0" fillId="0" borderId="11" xfId="0" applyFont="1" applyBorder="1" applyAlignment="1" applyProtection="1" quotePrefix="1">
      <alignment horizontal="left"/>
      <protection/>
    </xf>
    <xf numFmtId="0" fontId="0" fillId="0" borderId="11" xfId="0" applyFont="1" applyBorder="1" applyAlignment="1" applyProtection="1">
      <alignment/>
      <protection/>
    </xf>
    <xf numFmtId="169" fontId="0" fillId="0" borderId="11" xfId="0" applyNumberFormat="1" applyFont="1" applyBorder="1" applyAlignment="1" applyProtection="1">
      <alignment/>
      <protection/>
    </xf>
    <xf numFmtId="169" fontId="0" fillId="0" borderId="8" xfId="0" applyNumberFormat="1" applyFont="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5" xfId="0" applyFont="1" applyBorder="1" applyAlignment="1">
      <alignment horizontal="left"/>
    </xf>
    <xf numFmtId="14" fontId="0" fillId="0" borderId="5" xfId="0" applyNumberFormat="1" applyFont="1" applyBorder="1" applyAlignment="1">
      <alignment horizontal="left"/>
    </xf>
    <xf numFmtId="0" fontId="0" fillId="0" borderId="0" xfId="0" applyBorder="1" applyAlignment="1">
      <alignment/>
    </xf>
    <xf numFmtId="14" fontId="0" fillId="0" borderId="0" xfId="0" applyNumberFormat="1" applyFont="1" applyBorder="1" applyAlignment="1">
      <alignment horizontal="left"/>
    </xf>
    <xf numFmtId="0" fontId="0" fillId="0" borderId="18" xfId="0" applyFont="1" applyFill="1" applyBorder="1" applyAlignment="1">
      <alignment/>
    </xf>
    <xf numFmtId="0" fontId="0" fillId="0" borderId="19" xfId="0" applyFont="1" applyFill="1" applyBorder="1" applyAlignment="1">
      <alignment horizontal="center"/>
    </xf>
    <xf numFmtId="0" fontId="0" fillId="0" borderId="20" xfId="0" applyFont="1" applyFill="1" applyBorder="1" applyAlignment="1" applyProtection="1">
      <alignment horizontal="center"/>
      <protection/>
    </xf>
    <xf numFmtId="0" fontId="0" fillId="0" borderId="21" xfId="0" applyFont="1" applyFill="1" applyBorder="1" applyAlignment="1" applyProtection="1">
      <alignment/>
      <protection/>
    </xf>
    <xf numFmtId="0" fontId="0" fillId="0" borderId="5" xfId="0" applyFill="1" applyBorder="1" applyAlignment="1">
      <alignment horizontal="center"/>
    </xf>
    <xf numFmtId="0" fontId="0" fillId="0" borderId="4" xfId="0" applyFill="1" applyBorder="1" applyAlignment="1">
      <alignment horizontal="center"/>
    </xf>
    <xf numFmtId="0" fontId="4" fillId="0" borderId="20" xfId="0" applyFont="1" applyFill="1" applyBorder="1" applyAlignment="1" applyProtection="1">
      <alignment horizontal="center"/>
      <protection/>
    </xf>
    <xf numFmtId="0" fontId="4" fillId="0" borderId="21" xfId="0" applyFont="1" applyFill="1" applyBorder="1" applyAlignment="1" applyProtection="1">
      <alignment/>
      <protection/>
    </xf>
    <xf numFmtId="0" fontId="4" fillId="0" borderId="5"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0" xfId="0" applyFont="1" applyFill="1" applyBorder="1" applyAlignment="1" applyProtection="1">
      <alignment/>
      <protection/>
    </xf>
    <xf numFmtId="0" fontId="0" fillId="0" borderId="20"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Alignment="1">
      <alignment horizontal="right"/>
    </xf>
    <xf numFmtId="0" fontId="0" fillId="0" borderId="23" xfId="0" applyBorder="1" applyAlignment="1">
      <alignment horizontal="right"/>
    </xf>
    <xf numFmtId="0" fontId="0" fillId="0" borderId="0" xfId="0" applyFont="1" applyFill="1" applyAlignment="1" quotePrefix="1">
      <alignment horizontal="right"/>
    </xf>
    <xf numFmtId="0" fontId="0" fillId="0" borderId="0" xfId="0" applyFill="1" applyBorder="1" applyAlignment="1" quotePrefix="1">
      <alignment horizontal="left"/>
    </xf>
    <xf numFmtId="0" fontId="0" fillId="0" borderId="24" xfId="0" applyFont="1" applyFill="1" applyBorder="1" applyAlignment="1">
      <alignment horizontal="left"/>
    </xf>
    <xf numFmtId="0" fontId="0" fillId="0" borderId="25" xfId="0" applyFont="1" applyFill="1" applyBorder="1" applyAlignment="1">
      <alignment/>
    </xf>
    <xf numFmtId="0" fontId="0" fillId="0" borderId="26" xfId="0" applyFont="1" applyFill="1" applyBorder="1" applyAlignment="1">
      <alignment/>
    </xf>
    <xf numFmtId="0" fontId="0" fillId="0" borderId="18" xfId="0" applyFont="1" applyFill="1" applyBorder="1" applyAlignment="1">
      <alignment horizontal="center"/>
    </xf>
    <xf numFmtId="0" fontId="0" fillId="0" borderId="24"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ill="1" applyBorder="1" applyAlignment="1">
      <alignment horizontal="center"/>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protection/>
    </xf>
    <xf numFmtId="0" fontId="0" fillId="0" borderId="13" xfId="0" applyFont="1" applyFill="1" applyBorder="1" applyAlignment="1" applyProtection="1">
      <alignment/>
      <protection/>
    </xf>
    <xf numFmtId="0" fontId="0" fillId="0" borderId="23" xfId="0" applyFont="1" applyBorder="1" applyAlignment="1">
      <alignment horizontal="right"/>
    </xf>
    <xf numFmtId="0" fontId="4" fillId="0" borderId="24" xfId="0" applyNumberFormat="1" applyFont="1" applyFill="1" applyBorder="1" applyAlignment="1">
      <alignment horizontal="center"/>
    </xf>
    <xf numFmtId="0" fontId="4" fillId="0" borderId="5" xfId="0" applyFont="1" applyFill="1" applyBorder="1" applyAlignment="1">
      <alignment horizontal="center"/>
    </xf>
    <xf numFmtId="169" fontId="0" fillId="0" borderId="0" xfId="0" applyNumberFormat="1" applyAlignment="1" applyProtection="1">
      <alignment horizontal="left"/>
      <protection/>
    </xf>
    <xf numFmtId="0" fontId="3" fillId="0" borderId="0" xfId="0" applyFont="1" applyAlignment="1">
      <alignment/>
    </xf>
    <xf numFmtId="2" fontId="4" fillId="0" borderId="0" xfId="0" applyNumberFormat="1" applyFont="1" applyAlignment="1">
      <alignment/>
    </xf>
    <xf numFmtId="2" fontId="2" fillId="0" borderId="9" xfId="0" applyNumberFormat="1" applyFont="1" applyBorder="1" applyAlignment="1">
      <alignment/>
    </xf>
    <xf numFmtId="2" fontId="2" fillId="0" borderId="6" xfId="0" applyNumberFormat="1" applyFont="1" applyBorder="1" applyAlignment="1">
      <alignment/>
    </xf>
    <xf numFmtId="2" fontId="2" fillId="0" borderId="30" xfId="0" applyNumberFormat="1" applyFont="1" applyBorder="1" applyAlignment="1">
      <alignment/>
    </xf>
    <xf numFmtId="2" fontId="2" fillId="0" borderId="7" xfId="0" applyNumberFormat="1" applyFont="1" applyBorder="1" applyAlignment="1">
      <alignment/>
    </xf>
    <xf numFmtId="2" fontId="2" fillId="0" borderId="1" xfId="0" applyNumberFormat="1" applyFont="1" applyBorder="1" applyAlignment="1">
      <alignment/>
    </xf>
    <xf numFmtId="2" fontId="2" fillId="0" borderId="0" xfId="0" applyNumberFormat="1" applyFont="1" applyBorder="1" applyAlignment="1">
      <alignment/>
    </xf>
    <xf numFmtId="2" fontId="2" fillId="0" borderId="15" xfId="0" applyNumberFormat="1" applyFont="1" applyBorder="1" applyAlignment="1">
      <alignment/>
    </xf>
    <xf numFmtId="2" fontId="2" fillId="0" borderId="8" xfId="0" applyNumberFormat="1" applyFont="1" applyBorder="1" applyAlignment="1">
      <alignment/>
    </xf>
    <xf numFmtId="2" fontId="2" fillId="0" borderId="10" xfId="0" applyNumberFormat="1" applyFont="1" applyBorder="1" applyAlignment="1">
      <alignment/>
    </xf>
    <xf numFmtId="2" fontId="2" fillId="0" borderId="11" xfId="0" applyNumberFormat="1" applyFont="1" applyBorder="1" applyAlignment="1">
      <alignment/>
    </xf>
    <xf numFmtId="2" fontId="2" fillId="0" borderId="17" xfId="0" applyNumberFormat="1" applyFont="1" applyBorder="1" applyAlignment="1">
      <alignment/>
    </xf>
    <xf numFmtId="2" fontId="2" fillId="0" borderId="16" xfId="0" applyNumberFormat="1" applyFont="1" applyBorder="1" applyAlignment="1">
      <alignment/>
    </xf>
    <xf numFmtId="2" fontId="2" fillId="0" borderId="12" xfId="0" applyNumberFormat="1" applyFont="1" applyBorder="1" applyAlignment="1">
      <alignment/>
    </xf>
    <xf numFmtId="0" fontId="0" fillId="0" borderId="0" xfId="0" applyAlignment="1" applyProtection="1">
      <alignment/>
      <protection/>
    </xf>
    <xf numFmtId="0" fontId="0" fillId="2" borderId="24" xfId="0" applyFont="1" applyFill="1" applyBorder="1" applyAlignment="1" applyProtection="1">
      <alignment horizontal="center"/>
      <protection locked="0"/>
    </xf>
    <xf numFmtId="169" fontId="22" fillId="0" borderId="12" xfId="0" applyNumberFormat="1" applyFont="1" applyBorder="1" applyAlignment="1" applyProtection="1">
      <alignment horizontal="center"/>
      <protection/>
    </xf>
    <xf numFmtId="0" fontId="0" fillId="0" borderId="11" xfId="0" applyFont="1" applyBorder="1" applyAlignment="1" applyProtection="1">
      <alignment horizontal="center"/>
      <protection/>
    </xf>
    <xf numFmtId="0" fontId="20" fillId="0" borderId="11" xfId="0" applyFont="1" applyBorder="1" applyAlignment="1" applyProtection="1">
      <alignment horizontal="center"/>
      <protection/>
    </xf>
    <xf numFmtId="169" fontId="22" fillId="0" borderId="0" xfId="0" applyNumberFormat="1" applyFont="1" applyBorder="1" applyAlignment="1" applyProtection="1">
      <alignment horizontal="center"/>
      <protection/>
    </xf>
    <xf numFmtId="169" fontId="22" fillId="0" borderId="11" xfId="0" applyNumberFormat="1" applyFont="1" applyBorder="1" applyAlignment="1" applyProtection="1">
      <alignment horizontal="center"/>
      <protection/>
    </xf>
    <xf numFmtId="0" fontId="15" fillId="0" borderId="0" xfId="22" applyFont="1">
      <alignment/>
      <protection/>
    </xf>
    <xf numFmtId="0" fontId="24" fillId="0" borderId="0" xfId="22" applyFont="1">
      <alignment/>
      <protection/>
    </xf>
    <xf numFmtId="0" fontId="15" fillId="0" borderId="0" xfId="22" applyNumberFormat="1" applyFont="1" applyBorder="1" applyAlignment="1" applyProtection="1">
      <alignment horizontal="left"/>
      <protection/>
    </xf>
    <xf numFmtId="0" fontId="15" fillId="0" borderId="0" xfId="22" applyNumberFormat="1" applyFont="1" applyBorder="1" applyAlignment="1" applyProtection="1">
      <alignment horizontal="left" vertical="center"/>
      <protection/>
    </xf>
    <xf numFmtId="0" fontId="15" fillId="0" borderId="0" xfId="22" applyFont="1" applyBorder="1" applyProtection="1">
      <alignment/>
      <protection/>
    </xf>
    <xf numFmtId="0" fontId="15" fillId="0" borderId="0" xfId="22" applyNumberFormat="1" applyFont="1" applyBorder="1" applyAlignment="1" applyProtection="1">
      <alignment horizontal="center" vertical="center"/>
      <protection/>
    </xf>
    <xf numFmtId="0" fontId="15" fillId="0" borderId="0" xfId="22" applyFont="1" applyFill="1" applyBorder="1" applyAlignment="1" applyProtection="1">
      <alignment horizontal="center" vertical="center"/>
      <protection/>
    </xf>
    <xf numFmtId="0" fontId="15" fillId="0" borderId="0" xfId="22" applyFont="1" applyAlignment="1">
      <alignment vertical="center"/>
      <protection/>
    </xf>
    <xf numFmtId="0" fontId="15" fillId="0" borderId="0" xfId="22" applyFont="1" applyBorder="1" applyAlignment="1">
      <alignment vertical="center"/>
      <protection/>
    </xf>
    <xf numFmtId="0" fontId="15" fillId="0" borderId="0" xfId="22" applyFont="1" applyBorder="1" applyAlignment="1" applyProtection="1">
      <alignment vertical="center"/>
      <protection/>
    </xf>
    <xf numFmtId="0" fontId="15" fillId="0" borderId="31" xfId="22" applyFont="1" applyBorder="1" applyProtection="1">
      <alignment/>
      <protection locked="0"/>
    </xf>
    <xf numFmtId="0" fontId="15" fillId="0" borderId="13" xfId="22" applyFont="1" applyBorder="1" applyProtection="1">
      <alignment/>
      <protection locked="0"/>
    </xf>
    <xf numFmtId="0" fontId="15" fillId="0" borderId="32" xfId="22" applyFont="1" applyBorder="1" applyProtection="1">
      <alignment/>
      <protection locked="0"/>
    </xf>
    <xf numFmtId="0" fontId="15" fillId="0" borderId="14" xfId="22" applyFont="1" applyBorder="1" applyProtection="1">
      <alignment/>
      <protection locked="0"/>
    </xf>
    <xf numFmtId="0" fontId="15" fillId="0" borderId="0" xfId="22" applyFont="1" applyBorder="1" applyProtection="1">
      <alignment/>
      <protection locked="0"/>
    </xf>
    <xf numFmtId="0" fontId="15" fillId="0" borderId="15" xfId="22" applyFont="1" applyBorder="1" applyProtection="1">
      <alignment/>
      <protection locked="0"/>
    </xf>
    <xf numFmtId="0" fontId="15" fillId="0" borderId="0" xfId="24" applyFont="1">
      <alignment/>
      <protection/>
    </xf>
    <xf numFmtId="0" fontId="15" fillId="0" borderId="0" xfId="24" applyFont="1" applyBorder="1">
      <alignment/>
      <protection/>
    </xf>
    <xf numFmtId="0" fontId="15" fillId="0" borderId="33" xfId="22" applyFont="1" applyBorder="1" applyProtection="1">
      <alignment/>
      <protection locked="0"/>
    </xf>
    <xf numFmtId="0" fontId="15" fillId="0" borderId="24" xfId="22" applyFont="1" applyBorder="1" applyProtection="1">
      <alignment/>
      <protection locked="0"/>
    </xf>
    <xf numFmtId="0" fontId="15" fillId="0" borderId="34" xfId="22" applyFont="1" applyBorder="1" applyProtection="1">
      <alignment/>
      <protection locked="0"/>
    </xf>
    <xf numFmtId="0" fontId="15" fillId="0" borderId="0" xfId="22" applyFont="1" applyProtection="1">
      <alignment/>
      <protection/>
    </xf>
    <xf numFmtId="0" fontId="15" fillId="0" borderId="0" xfId="22" applyFont="1" applyFill="1" applyAlignment="1" applyProtection="1">
      <alignment horizontal="left"/>
      <protection/>
    </xf>
    <xf numFmtId="0" fontId="15" fillId="0" borderId="0" xfId="22" applyFont="1" applyFill="1" applyBorder="1" applyAlignment="1" applyProtection="1">
      <alignment horizontal="left"/>
      <protection/>
    </xf>
    <xf numFmtId="168" fontId="15" fillId="0" borderId="0" xfId="22" applyNumberFormat="1" applyFont="1" applyFill="1" applyAlignment="1" applyProtection="1">
      <alignment horizontal="left"/>
      <protection/>
    </xf>
    <xf numFmtId="168" fontId="15" fillId="0" borderId="0" xfId="22" applyNumberFormat="1" applyFont="1" applyFill="1" applyBorder="1" applyAlignment="1" applyProtection="1">
      <alignment horizontal="left"/>
      <protection/>
    </xf>
    <xf numFmtId="0" fontId="15" fillId="0" borderId="0" xfId="22" applyFont="1" applyBorder="1" applyAlignment="1" applyProtection="1">
      <alignment horizontal="left" vertical="center"/>
      <protection/>
    </xf>
    <xf numFmtId="0" fontId="15" fillId="0" borderId="0" xfId="22" applyFont="1" applyBorder="1" applyAlignment="1" applyProtection="1">
      <alignment horizontal="left"/>
      <protection/>
    </xf>
    <xf numFmtId="168" fontId="15" fillId="0" borderId="0" xfId="22" applyNumberFormat="1" applyFont="1" applyBorder="1" applyAlignment="1" applyProtection="1">
      <alignment horizontal="left"/>
      <protection/>
    </xf>
    <xf numFmtId="0" fontId="0" fillId="0" borderId="14" xfId="0" applyBorder="1" applyAlignment="1">
      <alignment wrapText="1"/>
    </xf>
    <xf numFmtId="0" fontId="0" fillId="0" borderId="33" xfId="0" applyBorder="1" applyAlignment="1">
      <alignment wrapText="1"/>
    </xf>
    <xf numFmtId="0" fontId="0" fillId="0" borderId="0" xfId="0" applyFont="1" applyBorder="1" applyAlignment="1" applyProtection="1" quotePrefix="1">
      <alignment horizontal="left"/>
      <protection/>
    </xf>
    <xf numFmtId="0" fontId="20" fillId="0" borderId="0" xfId="0" applyFont="1" applyBorder="1" applyAlignment="1" applyProtection="1">
      <alignment horizontal="center"/>
      <protection/>
    </xf>
    <xf numFmtId="0" fontId="0" fillId="0" borderId="0" xfId="0" applyNumberFormat="1" applyFont="1" applyBorder="1" applyAlignment="1" applyProtection="1">
      <alignment/>
      <protection/>
    </xf>
    <xf numFmtId="0" fontId="0" fillId="0" borderId="0" xfId="0" applyNumberFormat="1" applyBorder="1" applyAlignment="1">
      <alignment/>
    </xf>
    <xf numFmtId="0" fontId="0" fillId="0" borderId="0" xfId="0" applyNumberFormat="1" applyFont="1" applyBorder="1" applyAlignment="1" applyProtection="1">
      <alignment/>
      <protection/>
    </xf>
    <xf numFmtId="0" fontId="0" fillId="0" borderId="8" xfId="0" applyNumberFormat="1" applyFont="1" applyBorder="1" applyAlignment="1" applyProtection="1">
      <alignment/>
      <protection/>
    </xf>
    <xf numFmtId="0" fontId="0" fillId="0" borderId="0" xfId="0" applyNumberFormat="1" applyFont="1" applyBorder="1" applyAlignment="1" applyProtection="1">
      <alignment horizontal="centerContinuous"/>
      <protection/>
    </xf>
    <xf numFmtId="0" fontId="0" fillId="0" borderId="35" xfId="0" applyFont="1" applyBorder="1" applyAlignment="1" applyProtection="1">
      <alignment/>
      <protection/>
    </xf>
    <xf numFmtId="0" fontId="0" fillId="0" borderId="36" xfId="0" applyFont="1" applyBorder="1" applyAlignment="1" applyProtection="1" quotePrefix="1">
      <alignment horizontal="left"/>
      <protection/>
    </xf>
    <xf numFmtId="0" fontId="0" fillId="0" borderId="36" xfId="0" applyFont="1" applyBorder="1" applyAlignment="1" applyProtection="1">
      <alignment/>
      <protection/>
    </xf>
    <xf numFmtId="0" fontId="0" fillId="0" borderId="36" xfId="0" applyFont="1" applyBorder="1" applyAlignment="1" applyProtection="1">
      <alignment horizontal="center"/>
      <protection/>
    </xf>
    <xf numFmtId="0" fontId="20" fillId="0" borderId="36" xfId="0" applyFont="1" applyBorder="1" applyAlignment="1" applyProtection="1">
      <alignment horizontal="center"/>
      <protection/>
    </xf>
    <xf numFmtId="169" fontId="0" fillId="0" borderId="36" xfId="0" applyNumberFormat="1" applyFont="1" applyBorder="1" applyAlignment="1" applyProtection="1">
      <alignment/>
      <protection/>
    </xf>
    <xf numFmtId="169" fontId="22" fillId="0" borderId="36" xfId="0" applyNumberFormat="1" applyFont="1" applyBorder="1" applyAlignment="1" applyProtection="1">
      <alignment horizontal="center"/>
      <protection/>
    </xf>
    <xf numFmtId="169" fontId="22" fillId="0" borderId="37" xfId="0" applyNumberFormat="1" applyFont="1" applyBorder="1" applyAlignment="1" applyProtection="1">
      <alignment horizontal="center"/>
      <protection/>
    </xf>
    <xf numFmtId="0" fontId="0" fillId="0" borderId="11" xfId="0" applyNumberFormat="1" applyFont="1" applyBorder="1" applyAlignment="1" applyProtection="1">
      <alignment/>
      <protection/>
    </xf>
    <xf numFmtId="0" fontId="0" fillId="0" borderId="11" xfId="0" applyNumberFormat="1" applyBorder="1" applyAlignment="1">
      <alignment/>
    </xf>
    <xf numFmtId="0" fontId="0" fillId="0" borderId="0" xfId="0" applyAlignment="1">
      <alignment horizontal="center" vertical="justify"/>
    </xf>
    <xf numFmtId="0" fontId="0" fillId="0" borderId="0" xfId="0" applyBorder="1" applyAlignment="1" applyProtection="1">
      <alignment horizontal="left"/>
      <protection/>
    </xf>
    <xf numFmtId="0" fontId="5" fillId="0" borderId="0" xfId="22" applyFont="1" applyAlignment="1">
      <alignment horizontal="center" vertical="center"/>
      <protection/>
    </xf>
    <xf numFmtId="0" fontId="5" fillId="0" borderId="0" xfId="0" applyFont="1" applyAlignment="1">
      <alignment/>
    </xf>
    <xf numFmtId="0" fontId="0" fillId="0" borderId="0" xfId="0" applyBorder="1" applyAlignment="1" applyProtection="1">
      <alignment/>
      <protection/>
    </xf>
    <xf numFmtId="0" fontId="4" fillId="0" borderId="0" xfId="21" applyFont="1">
      <alignment/>
      <protection/>
    </xf>
    <xf numFmtId="0" fontId="4" fillId="0" borderId="0" xfId="21" applyFont="1" applyBorder="1">
      <alignment/>
      <protection/>
    </xf>
    <xf numFmtId="0" fontId="4" fillId="0" borderId="0" xfId="21" applyFont="1" applyBorder="1" applyAlignment="1">
      <alignment horizontal="center"/>
      <protection/>
    </xf>
    <xf numFmtId="0" fontId="4" fillId="0" borderId="0" xfId="21" applyFont="1" applyAlignment="1">
      <alignment/>
      <protection/>
    </xf>
    <xf numFmtId="0" fontId="0" fillId="0" borderId="0" xfId="21" applyFont="1">
      <alignment/>
      <protection/>
    </xf>
    <xf numFmtId="0" fontId="0" fillId="0" borderId="0" xfId="21" applyFont="1" applyAlignment="1">
      <alignment vertical="center"/>
      <protection/>
    </xf>
    <xf numFmtId="0" fontId="15" fillId="0" borderId="0" xfId="21" applyFont="1" applyAlignment="1">
      <alignment vertical="center"/>
      <protection/>
    </xf>
    <xf numFmtId="0" fontId="0" fillId="0" borderId="0" xfId="21" applyFont="1" applyAlignment="1">
      <alignment horizontal="right"/>
      <protection/>
    </xf>
    <xf numFmtId="0" fontId="0" fillId="0" borderId="0" xfId="21" applyFont="1" applyAlignment="1">
      <alignment/>
      <protection/>
    </xf>
    <xf numFmtId="0" fontId="0" fillId="0" borderId="13" xfId="21" applyFont="1" applyBorder="1" applyAlignment="1">
      <alignment/>
      <protection/>
    </xf>
    <xf numFmtId="0" fontId="1" fillId="2" borderId="24" xfId="0" applyFont="1" applyFill="1" applyBorder="1" applyAlignment="1" applyProtection="1">
      <alignment/>
      <protection locked="0"/>
    </xf>
    <xf numFmtId="1" fontId="0" fillId="0" borderId="5" xfId="0" applyNumberFormat="1" applyFont="1" applyBorder="1" applyAlignment="1" applyProtection="1">
      <alignment/>
      <protection/>
    </xf>
    <xf numFmtId="0" fontId="0" fillId="0" borderId="5" xfId="0" applyBorder="1" applyAlignment="1" applyProtection="1">
      <alignment/>
      <protection/>
    </xf>
    <xf numFmtId="167" fontId="0" fillId="0" borderId="5" xfId="0" applyNumberFormat="1" applyFont="1" applyBorder="1" applyAlignment="1" applyProtection="1">
      <alignment/>
      <protection/>
    </xf>
    <xf numFmtId="167" fontId="0" fillId="0" borderId="5" xfId="0" applyNumberFormat="1" applyBorder="1" applyAlignment="1" applyProtection="1">
      <alignment/>
      <protection/>
    </xf>
    <xf numFmtId="0" fontId="4" fillId="0" borderId="38" xfId="0" applyFont="1" applyBorder="1" applyAlignment="1" applyProtection="1">
      <alignment/>
      <protection/>
    </xf>
    <xf numFmtId="0" fontId="4" fillId="0" borderId="39" xfId="0" applyFont="1" applyBorder="1" applyAlignment="1" applyProtection="1">
      <alignment/>
      <protection/>
    </xf>
    <xf numFmtId="0" fontId="0" fillId="0" borderId="0" xfId="0" applyFill="1" applyBorder="1" applyAlignment="1" applyProtection="1">
      <alignment/>
      <protection/>
    </xf>
    <xf numFmtId="0" fontId="0" fillId="0" borderId="39" xfId="0" applyBorder="1" applyAlignment="1">
      <alignment/>
    </xf>
    <xf numFmtId="0" fontId="0" fillId="0" borderId="0" xfId="21" applyFont="1" applyProtection="1">
      <alignment/>
      <protection/>
    </xf>
    <xf numFmtId="0" fontId="0" fillId="0" borderId="13" xfId="21" applyFont="1" applyBorder="1" applyAlignment="1" applyProtection="1">
      <alignment horizontal="center"/>
      <protection/>
    </xf>
    <xf numFmtId="0" fontId="0" fillId="0" borderId="13" xfId="21" applyFont="1" applyBorder="1" applyAlignment="1" applyProtection="1">
      <alignment/>
      <protection/>
    </xf>
    <xf numFmtId="0" fontId="0" fillId="0" borderId="32" xfId="21" applyFont="1" applyBorder="1" applyAlignment="1" applyProtection="1">
      <alignment/>
      <protection/>
    </xf>
    <xf numFmtId="0" fontId="0" fillId="0" borderId="24" xfId="21" applyFont="1" applyBorder="1" applyAlignment="1" applyProtection="1">
      <alignment/>
      <protection/>
    </xf>
    <xf numFmtId="0" fontId="0" fillId="0" borderId="34" xfId="21" applyFont="1" applyBorder="1" applyAlignment="1" applyProtection="1">
      <alignment/>
      <protection/>
    </xf>
    <xf numFmtId="0" fontId="4" fillId="0" borderId="0" xfId="21" applyFont="1" applyAlignment="1" applyProtection="1">
      <alignment/>
      <protection/>
    </xf>
    <xf numFmtId="0" fontId="4" fillId="0" borderId="0" xfId="21" applyFont="1" applyProtection="1">
      <alignment/>
      <protection/>
    </xf>
    <xf numFmtId="0" fontId="0" fillId="0" borderId="0" xfId="21" applyFont="1" applyBorder="1" applyAlignment="1" applyProtection="1">
      <alignment horizontal="center"/>
      <protection/>
    </xf>
    <xf numFmtId="2" fontId="0" fillId="0" borderId="5" xfId="0" applyNumberFormat="1" applyBorder="1" applyAlignment="1" applyProtection="1">
      <alignment/>
      <protection/>
    </xf>
    <xf numFmtId="0" fontId="0" fillId="0" borderId="13" xfId="0" applyBorder="1" applyAlignment="1">
      <alignment wrapText="1"/>
    </xf>
    <xf numFmtId="0" fontId="0" fillId="0" borderId="13" xfId="0" applyBorder="1" applyAlignment="1">
      <alignment/>
    </xf>
    <xf numFmtId="2" fontId="0" fillId="0" borderId="5" xfId="0" applyNumberFormat="1" applyFont="1" applyBorder="1" applyAlignment="1" applyProtection="1">
      <alignment/>
      <protection/>
    </xf>
    <xf numFmtId="0" fontId="0" fillId="0" borderId="0" xfId="21" applyFont="1" applyBorder="1" applyAlignment="1">
      <alignment/>
      <protection/>
    </xf>
    <xf numFmtId="0" fontId="15" fillId="0" borderId="0" xfId="0" applyFont="1" applyBorder="1" applyAlignment="1">
      <alignment wrapText="1"/>
    </xf>
    <xf numFmtId="0" fontId="15" fillId="0" borderId="0" xfId="21" applyFont="1" applyAlignment="1">
      <alignment horizontal="center" vertical="center"/>
      <protection/>
    </xf>
    <xf numFmtId="0" fontId="0" fillId="0" borderId="0" xfId="21" applyFont="1" applyAlignment="1">
      <alignment horizontal="center" vertical="center"/>
      <protection/>
    </xf>
    <xf numFmtId="0" fontId="0" fillId="0" borderId="14" xfId="22" applyFont="1" applyBorder="1" applyAlignment="1" applyProtection="1">
      <alignment/>
      <protection/>
    </xf>
    <xf numFmtId="0" fontId="0" fillId="0" borderId="0" xfId="22" applyFont="1" applyBorder="1" applyAlignment="1" applyProtection="1">
      <alignment/>
      <protection/>
    </xf>
    <xf numFmtId="0" fontId="0" fillId="0" borderId="14" xfId="22" applyFont="1" applyBorder="1" applyProtection="1">
      <alignment/>
      <protection/>
    </xf>
    <xf numFmtId="0" fontId="0" fillId="0" borderId="0" xfId="22" applyFont="1" applyBorder="1" applyProtection="1">
      <alignment/>
      <protection/>
    </xf>
    <xf numFmtId="0" fontId="0" fillId="0" borderId="33" xfId="22" applyFont="1" applyBorder="1" applyProtection="1">
      <alignment/>
      <protection/>
    </xf>
    <xf numFmtId="0" fontId="0" fillId="0" borderId="24" xfId="22" applyFont="1" applyBorder="1" applyProtection="1">
      <alignment/>
      <protection/>
    </xf>
    <xf numFmtId="0" fontId="0" fillId="0" borderId="0" xfId="21" applyFont="1" applyAlignment="1">
      <alignment horizontal="center"/>
      <protection/>
    </xf>
    <xf numFmtId="0" fontId="0" fillId="0" borderId="0" xfId="21" applyFont="1" applyBorder="1" applyAlignment="1">
      <alignment horizontal="center"/>
      <protection/>
    </xf>
    <xf numFmtId="0" fontId="0" fillId="0" borderId="0" xfId="22" applyFont="1" applyBorder="1" applyAlignment="1">
      <alignment vertical="center"/>
      <protection/>
    </xf>
    <xf numFmtId="0" fontId="0" fillId="0" borderId="24" xfId="21" applyFont="1" applyBorder="1" applyAlignment="1" applyProtection="1">
      <alignment vertical="center"/>
      <protection/>
    </xf>
    <xf numFmtId="0" fontId="19" fillId="0" borderId="0" xfId="21" applyFont="1" applyBorder="1" applyAlignment="1">
      <alignment/>
      <protection/>
    </xf>
    <xf numFmtId="0" fontId="0" fillId="0" borderId="14" xfId="21" applyFont="1" applyBorder="1" applyAlignment="1">
      <alignment wrapText="1"/>
      <protection/>
    </xf>
    <xf numFmtId="0" fontId="0" fillId="0" borderId="0" xfId="21" applyFont="1" applyBorder="1" applyAlignment="1">
      <alignment wrapText="1"/>
      <protection/>
    </xf>
    <xf numFmtId="0" fontId="0" fillId="0" borderId="15" xfId="21" applyFont="1" applyBorder="1" applyAlignment="1">
      <alignment wrapText="1"/>
      <protection/>
    </xf>
    <xf numFmtId="0" fontId="0" fillId="0" borderId="33" xfId="21" applyFont="1" applyBorder="1" applyAlignment="1">
      <alignment wrapText="1"/>
      <protection/>
    </xf>
    <xf numFmtId="0" fontId="0" fillId="0" borderId="24" xfId="21" applyFont="1" applyBorder="1" applyAlignment="1">
      <alignment wrapText="1"/>
      <protection/>
    </xf>
    <xf numFmtId="0" fontId="0" fillId="0" borderId="34" xfId="21" applyFont="1" applyBorder="1" applyAlignment="1">
      <alignment wrapText="1"/>
      <protection/>
    </xf>
    <xf numFmtId="0" fontId="0" fillId="0" borderId="31" xfId="21" applyFont="1" applyBorder="1" applyAlignment="1">
      <alignment/>
      <protection/>
    </xf>
    <xf numFmtId="0" fontId="0" fillId="0" borderId="32" xfId="21" applyFont="1" applyBorder="1" applyAlignment="1">
      <alignment/>
      <protection/>
    </xf>
    <xf numFmtId="0" fontId="0" fillId="0" borderId="14" xfId="21" applyFont="1" applyBorder="1" applyAlignment="1">
      <alignment/>
      <protection/>
    </xf>
    <xf numFmtId="0" fontId="0" fillId="0" borderId="15" xfId="21" applyFont="1" applyBorder="1" applyAlignment="1">
      <alignment/>
      <protection/>
    </xf>
    <xf numFmtId="0" fontId="15" fillId="0" borderId="40" xfId="22" applyFont="1" applyBorder="1" applyProtection="1">
      <alignment/>
      <protection locked="0"/>
    </xf>
    <xf numFmtId="0" fontId="15" fillId="0" borderId="41" xfId="22" applyFont="1" applyBorder="1" applyProtection="1">
      <alignment/>
      <protection locked="0"/>
    </xf>
    <xf numFmtId="0" fontId="15" fillId="0" borderId="42" xfId="22" applyFont="1" applyBorder="1" applyProtection="1">
      <alignment/>
      <protection locked="0"/>
    </xf>
    <xf numFmtId="0" fontId="15" fillId="0" borderId="43" xfId="22" applyFont="1" applyBorder="1" applyProtection="1">
      <alignment/>
      <protection locked="0"/>
    </xf>
    <xf numFmtId="0" fontId="15" fillId="0" borderId="44" xfId="22" applyFont="1" applyBorder="1" applyProtection="1">
      <alignment/>
      <protection locked="0"/>
    </xf>
    <xf numFmtId="0" fontId="15" fillId="0" borderId="45" xfId="22" applyFont="1" applyBorder="1" applyProtection="1">
      <alignment/>
      <protection locked="0"/>
    </xf>
    <xf numFmtId="0" fontId="15" fillId="0" borderId="46" xfId="22" applyFont="1" applyBorder="1" applyProtection="1">
      <alignment/>
      <protection locked="0"/>
    </xf>
    <xf numFmtId="0" fontId="15" fillId="0" borderId="0" xfId="22" applyFont="1" applyAlignment="1" applyProtection="1">
      <alignment horizontal="left"/>
      <protection/>
    </xf>
    <xf numFmtId="0" fontId="0" fillId="0" borderId="13" xfId="21" applyFont="1" applyBorder="1" applyAlignment="1">
      <alignment horizontal="center"/>
      <protection/>
    </xf>
    <xf numFmtId="0" fontId="0" fillId="0" borderId="32" xfId="21" applyFont="1" applyBorder="1" applyAlignment="1">
      <alignment horizontal="center"/>
      <protection/>
    </xf>
    <xf numFmtId="0" fontId="0" fillId="0" borderId="24" xfId="21" applyFont="1" applyBorder="1" applyAlignment="1">
      <alignment horizontal="center"/>
      <protection/>
    </xf>
    <xf numFmtId="0" fontId="0" fillId="0" borderId="0" xfId="21" applyFont="1" applyBorder="1" applyAlignment="1">
      <alignment horizontal="left"/>
      <protection/>
    </xf>
    <xf numFmtId="0" fontId="15" fillId="0" borderId="24" xfId="22" applyFont="1" applyBorder="1" applyAlignment="1" applyProtection="1">
      <alignment horizontal="left"/>
      <protection/>
    </xf>
    <xf numFmtId="0" fontId="0" fillId="0" borderId="31" xfId="21" applyFont="1" applyBorder="1" applyAlignment="1" applyProtection="1">
      <alignment horizontal="right"/>
      <protection/>
    </xf>
    <xf numFmtId="0" fontId="0" fillId="0" borderId="14" xfId="21" applyFont="1" applyBorder="1" applyAlignment="1" applyProtection="1">
      <alignment horizontal="right"/>
      <protection/>
    </xf>
    <xf numFmtId="0" fontId="0" fillId="0" borderId="33" xfId="21" applyFont="1" applyBorder="1" applyAlignment="1" applyProtection="1">
      <alignment horizontal="right"/>
      <protection/>
    </xf>
    <xf numFmtId="0" fontId="0" fillId="0" borderId="34" xfId="21" applyFont="1" applyBorder="1" applyAlignment="1">
      <alignment horizontal="center"/>
      <protection/>
    </xf>
    <xf numFmtId="0" fontId="0" fillId="0" borderId="0" xfId="0" applyFont="1" applyAlignment="1">
      <alignment/>
    </xf>
    <xf numFmtId="0" fontId="0" fillId="0" borderId="0" xfId="0" applyFont="1" applyBorder="1" applyAlignment="1">
      <alignment horizontal="center" vertical="center"/>
    </xf>
    <xf numFmtId="0" fontId="0" fillId="0" borderId="13" xfId="0" applyFont="1" applyBorder="1" applyAlignment="1">
      <alignment/>
    </xf>
    <xf numFmtId="0" fontId="0" fillId="0" borderId="32" xfId="0" applyFont="1" applyBorder="1" applyAlignment="1">
      <alignment/>
    </xf>
    <xf numFmtId="0" fontId="0" fillId="0" borderId="24" xfId="0" applyFont="1" applyBorder="1" applyAlignment="1">
      <alignment/>
    </xf>
    <xf numFmtId="0" fontId="0" fillId="0" borderId="34"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21" applyFont="1" applyBorder="1">
      <alignment/>
      <protection/>
    </xf>
    <xf numFmtId="0" fontId="0" fillId="0" borderId="33" xfId="0" applyFont="1" applyBorder="1" applyAlignment="1">
      <alignment/>
    </xf>
    <xf numFmtId="0" fontId="0" fillId="0" borderId="0" xfId="21" applyFont="1" applyBorder="1" applyAlignment="1" applyProtection="1">
      <alignment vertical="center"/>
      <protection locked="0"/>
    </xf>
    <xf numFmtId="0" fontId="6" fillId="0" borderId="0" xfId="22" applyFont="1">
      <alignment/>
      <protection/>
    </xf>
    <xf numFmtId="0" fontId="0" fillId="0" borderId="32" xfId="21" applyFont="1" applyBorder="1" applyAlignment="1">
      <alignment horizontal="right"/>
      <protection/>
    </xf>
    <xf numFmtId="0" fontId="0" fillId="0" borderId="15" xfId="21" applyFont="1" applyBorder="1" applyAlignment="1">
      <alignment horizontal="right"/>
      <protection/>
    </xf>
    <xf numFmtId="0" fontId="0" fillId="0" borderId="32" xfId="21" applyFont="1" applyBorder="1" applyAlignment="1" applyProtection="1">
      <alignment horizontal="right"/>
      <protection/>
    </xf>
    <xf numFmtId="0" fontId="0" fillId="0" borderId="15" xfId="21" applyFont="1" applyBorder="1" applyAlignment="1" applyProtection="1">
      <alignment horizontal="right"/>
      <protection/>
    </xf>
    <xf numFmtId="0" fontId="0" fillId="0" borderId="24" xfId="0" applyFont="1" applyFill="1" applyBorder="1" applyAlignment="1" applyProtection="1">
      <alignment horizontal="center"/>
      <protection/>
    </xf>
    <xf numFmtId="2" fontId="0" fillId="0" borderId="13" xfId="21" applyNumberFormat="1" applyFont="1" applyBorder="1" applyAlignment="1" applyProtection="1">
      <alignment horizontal="center"/>
      <protection/>
    </xf>
    <xf numFmtId="2" fontId="0" fillId="0" borderId="24" xfId="21" applyNumberFormat="1" applyFont="1" applyBorder="1" applyAlignment="1" applyProtection="1">
      <alignment horizontal="center"/>
      <protection/>
    </xf>
    <xf numFmtId="49" fontId="0" fillId="0" borderId="0" xfId="0" applyNumberFormat="1" applyBorder="1" applyAlignment="1" applyProtection="1">
      <alignment/>
      <protection/>
    </xf>
    <xf numFmtId="0" fontId="0" fillId="0" borderId="24" xfId="0" applyFont="1" applyFill="1" applyBorder="1" applyAlignment="1" applyProtection="1">
      <alignment/>
      <protection/>
    </xf>
    <xf numFmtId="1" fontId="0" fillId="0" borderId="6" xfId="0" applyNumberFormat="1" applyFont="1" applyBorder="1" applyAlignment="1" applyProtection="1">
      <alignment horizontal="right"/>
      <protection/>
    </xf>
    <xf numFmtId="2" fontId="0" fillId="0" borderId="0" xfId="0" applyNumberFormat="1" applyFont="1" applyBorder="1" applyAlignment="1" applyProtection="1">
      <alignment horizontal="right"/>
      <protection/>
    </xf>
    <xf numFmtId="1" fontId="0" fillId="0" borderId="0" xfId="0" applyNumberFormat="1" applyFont="1" applyBorder="1" applyAlignment="1" applyProtection="1">
      <alignment horizontal="right"/>
      <protection/>
    </xf>
    <xf numFmtId="1" fontId="4" fillId="0" borderId="39" xfId="0" applyNumberFormat="1" applyFont="1" applyBorder="1" applyAlignment="1" applyProtection="1">
      <alignment horizontal="right"/>
      <protection/>
    </xf>
    <xf numFmtId="0" fontId="0" fillId="0" borderId="0" xfId="21" applyFont="1" applyAlignment="1" applyProtection="1">
      <alignment horizontal="center"/>
      <protection/>
    </xf>
    <xf numFmtId="0" fontId="0" fillId="0" borderId="31" xfId="21" applyFont="1" applyBorder="1" applyAlignment="1">
      <alignment horizontal="center"/>
      <protection/>
    </xf>
    <xf numFmtId="0" fontId="15" fillId="0" borderId="0" xfId="22" applyFont="1" applyAlignment="1">
      <alignment horizontal="center"/>
      <protection/>
    </xf>
    <xf numFmtId="0" fontId="0" fillId="0" borderId="0" xfId="21" applyFont="1" applyAlignment="1" applyProtection="1">
      <alignment horizontal="right"/>
      <protection/>
    </xf>
    <xf numFmtId="0" fontId="0" fillId="0" borderId="13" xfId="0" applyFont="1" applyBorder="1" applyAlignment="1">
      <alignment horizontal="center"/>
    </xf>
    <xf numFmtId="0" fontId="0" fillId="0" borderId="32"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0" fillId="0" borderId="0" xfId="21" applyFont="1" applyAlignment="1" applyProtection="1">
      <alignment horizontal="center" vertical="center"/>
      <protection/>
    </xf>
    <xf numFmtId="0" fontId="2" fillId="0" borderId="0" xfId="0" applyFont="1" applyFill="1" applyBorder="1" applyAlignment="1">
      <alignment horizontal="left"/>
    </xf>
    <xf numFmtId="0" fontId="2" fillId="0" borderId="0" xfId="0" applyFont="1" applyBorder="1" applyAlignment="1" applyProtection="1">
      <alignment horizontal="left"/>
      <protection/>
    </xf>
    <xf numFmtId="0" fontId="2" fillId="0" borderId="0" xfId="0" applyFont="1" applyAlignment="1">
      <alignment/>
    </xf>
    <xf numFmtId="0" fontId="0" fillId="0" borderId="0" xfId="0" applyAlignment="1" applyProtection="1">
      <alignment horizontal="left"/>
      <protection/>
    </xf>
    <xf numFmtId="0" fontId="0" fillId="0" borderId="0" xfId="0" applyAlignment="1" applyProtection="1">
      <alignment horizontal="right"/>
      <protection/>
    </xf>
    <xf numFmtId="0" fontId="0" fillId="0" borderId="9"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 xfId="0" applyFont="1" applyBorder="1" applyAlignment="1" applyProtection="1">
      <alignment horizontal="left"/>
      <protection/>
    </xf>
    <xf numFmtId="0" fontId="0" fillId="0" borderId="0" xfId="0" applyFont="1" applyAlignment="1">
      <alignment horizontal="center" vertical="center"/>
    </xf>
    <xf numFmtId="0" fontId="0" fillId="2" borderId="0" xfId="0" applyFill="1" applyBorder="1" applyAlignment="1" applyProtection="1">
      <alignment/>
      <protection locked="0"/>
    </xf>
    <xf numFmtId="0" fontId="0" fillId="0" borderId="0" xfId="0" applyBorder="1" applyAlignment="1" applyProtection="1">
      <alignment/>
      <protection/>
    </xf>
    <xf numFmtId="167" fontId="0" fillId="0" borderId="24" xfId="0" applyNumberFormat="1" applyBorder="1" applyAlignment="1" applyProtection="1">
      <alignment/>
      <protection hidden="1"/>
    </xf>
    <xf numFmtId="167" fontId="0" fillId="0" borderId="24" xfId="0" applyNumberFormat="1" applyBorder="1" applyAlignment="1" applyProtection="1">
      <alignment/>
      <protection/>
    </xf>
    <xf numFmtId="0" fontId="0" fillId="2" borderId="24" xfId="0" applyFill="1" applyBorder="1" applyAlignment="1" applyProtection="1">
      <alignment/>
      <protection locked="0"/>
    </xf>
    <xf numFmtId="14" fontId="4" fillId="0" borderId="0" xfId="0" applyNumberFormat="1" applyFont="1" applyBorder="1" applyAlignment="1" quotePrefix="1">
      <alignment horizontal="center"/>
    </xf>
    <xf numFmtId="0" fontId="6" fillId="0" borderId="0" xfId="23" applyBorder="1" applyAlignment="1">
      <alignment horizontal="center"/>
      <protection/>
    </xf>
    <xf numFmtId="0" fontId="6" fillId="0" borderId="15" xfId="23" applyBorder="1" applyAlignment="1">
      <alignment horizontal="center"/>
      <protection/>
    </xf>
    <xf numFmtId="0" fontId="6" fillId="0" borderId="14" xfId="23" applyBorder="1" applyAlignment="1">
      <alignment horizontal="center"/>
      <protection/>
    </xf>
    <xf numFmtId="169" fontId="22" fillId="0" borderId="8"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0" fillId="0" borderId="0" xfId="20" applyFont="1" applyBorder="1" applyAlignment="1" applyProtection="1" quotePrefix="1">
      <alignment horizontal="left"/>
      <protection/>
    </xf>
    <xf numFmtId="169" fontId="0" fillId="0" borderId="0" xfId="0" applyNumberFormat="1" applyFont="1" applyBorder="1" applyAlignment="1" applyProtection="1">
      <alignment horizontal="center"/>
      <protection/>
    </xf>
    <xf numFmtId="2" fontId="20" fillId="0" borderId="24" xfId="0" applyNumberFormat="1" applyFont="1" applyBorder="1" applyAlignment="1" applyProtection="1">
      <alignment/>
      <protection/>
    </xf>
    <xf numFmtId="2" fontId="1" fillId="2" borderId="24" xfId="0" applyNumberFormat="1" applyFont="1" applyFill="1" applyBorder="1" applyAlignment="1" applyProtection="1">
      <alignment/>
      <protection locked="0"/>
    </xf>
    <xf numFmtId="2" fontId="0" fillId="0" borderId="5" xfId="0" applyNumberFormat="1" applyBorder="1" applyAlignment="1">
      <alignment/>
    </xf>
    <xf numFmtId="0" fontId="0" fillId="0" borderId="0" xfId="0" applyBorder="1" applyAlignment="1" applyProtection="1">
      <alignment/>
      <protection hidden="1"/>
    </xf>
    <xf numFmtId="0" fontId="0" fillId="0" borderId="0" xfId="0" applyFill="1" applyBorder="1" applyAlignment="1" applyProtection="1">
      <alignment/>
      <protection hidden="1"/>
    </xf>
    <xf numFmtId="0" fontId="0" fillId="0" borderId="1" xfId="0" applyFill="1" applyBorder="1" applyAlignment="1">
      <alignment horizontal="left"/>
    </xf>
    <xf numFmtId="0" fontId="0" fillId="0" borderId="0" xfId="0" applyFill="1" applyBorder="1" applyAlignment="1">
      <alignment horizontal="left"/>
    </xf>
    <xf numFmtId="0" fontId="6" fillId="0" borderId="16" xfId="23" applyFont="1" applyBorder="1" applyAlignment="1">
      <alignment horizontal="center"/>
      <protection/>
    </xf>
    <xf numFmtId="0" fontId="6" fillId="0" borderId="11" xfId="23" applyFont="1" applyBorder="1" applyAlignment="1">
      <alignment horizontal="center"/>
      <protection/>
    </xf>
    <xf numFmtId="0" fontId="6" fillId="0" borderId="17" xfId="23" applyFont="1" applyBorder="1" applyAlignment="1">
      <alignment horizontal="center"/>
      <protection/>
    </xf>
    <xf numFmtId="169" fontId="0" fillId="3" borderId="47" xfId="0" applyNumberFormat="1" applyFill="1" applyBorder="1" applyAlignment="1" applyProtection="1">
      <alignment/>
      <protection/>
    </xf>
    <xf numFmtId="169" fontId="0" fillId="0" borderId="47" xfId="0" applyNumberFormat="1" applyFont="1" applyBorder="1" applyAlignment="1" applyProtection="1">
      <alignment horizontal="centerContinuous"/>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20" fillId="0" borderId="0" xfId="0" applyNumberFormat="1" applyFont="1" applyBorder="1" applyAlignment="1" applyProtection="1">
      <alignment horizontal="center"/>
      <protection/>
    </xf>
    <xf numFmtId="0" fontId="0" fillId="0" borderId="44" xfId="0" applyFont="1" applyBorder="1" applyAlignment="1" applyProtection="1" quotePrefix="1">
      <alignment horizontal="left"/>
      <protection/>
    </xf>
    <xf numFmtId="0" fontId="0" fillId="0" borderId="44" xfId="0" applyFont="1" applyBorder="1" applyAlignment="1" applyProtection="1">
      <alignment/>
      <protection/>
    </xf>
    <xf numFmtId="0" fontId="0" fillId="0" borderId="44" xfId="0" applyFont="1" applyBorder="1" applyAlignment="1" applyProtection="1">
      <alignment horizontal="center"/>
      <protection/>
    </xf>
    <xf numFmtId="0" fontId="9" fillId="0" borderId="0" xfId="23" applyFont="1">
      <alignment/>
      <protection/>
    </xf>
    <xf numFmtId="0" fontId="6" fillId="0" borderId="31" xfId="23" applyBorder="1" applyAlignment="1">
      <alignment horizontal="center"/>
      <protection/>
    </xf>
    <xf numFmtId="0" fontId="6" fillId="0" borderId="13" xfId="23" applyBorder="1" applyAlignment="1">
      <alignment horizontal="center"/>
      <protection/>
    </xf>
    <xf numFmtId="0" fontId="6" fillId="0" borderId="32" xfId="23" applyBorder="1" applyAlignment="1">
      <alignment horizontal="center"/>
      <protection/>
    </xf>
    <xf numFmtId="0" fontId="6" fillId="0" borderId="0" xfId="23" applyFont="1" applyBorder="1" applyAlignment="1">
      <alignment horizontal="center"/>
      <protection/>
    </xf>
    <xf numFmtId="0" fontId="6" fillId="0" borderId="0" xfId="23" applyAlignment="1">
      <alignment horizontal="center"/>
      <protection/>
    </xf>
    <xf numFmtId="165" fontId="6" fillId="0" borderId="0" xfId="23" applyNumberFormat="1" applyBorder="1" applyAlignment="1">
      <alignment horizontal="center"/>
      <protection/>
    </xf>
    <xf numFmtId="2" fontId="6" fillId="0" borderId="14" xfId="23" applyNumberFormat="1" applyBorder="1" applyAlignment="1">
      <alignment horizontal="center"/>
      <protection/>
    </xf>
    <xf numFmtId="2" fontId="6" fillId="0" borderId="0" xfId="23" applyNumberFormat="1" applyBorder="1" applyAlignment="1">
      <alignment horizontal="center"/>
      <protection/>
    </xf>
    <xf numFmtId="0" fontId="6" fillId="0" borderId="11" xfId="23" applyBorder="1" applyAlignment="1">
      <alignment horizontal="center"/>
      <protection/>
    </xf>
    <xf numFmtId="0" fontId="9" fillId="0" borderId="15" xfId="23" applyFont="1" applyBorder="1" applyAlignment="1">
      <alignment horizontal="center"/>
      <protection/>
    </xf>
    <xf numFmtId="0" fontId="9" fillId="0" borderId="17" xfId="23" applyFont="1" applyBorder="1" applyAlignment="1">
      <alignment horizontal="center"/>
      <protection/>
    </xf>
    <xf numFmtId="0" fontId="9" fillId="0" borderId="14" xfId="23" applyFont="1" applyBorder="1" applyAlignment="1">
      <alignment horizontal="center"/>
      <protection/>
    </xf>
    <xf numFmtId="0" fontId="9" fillId="0" borderId="13" xfId="23" applyFont="1" applyBorder="1" applyAlignment="1">
      <alignment horizontal="center"/>
      <protection/>
    </xf>
    <xf numFmtId="0" fontId="9" fillId="0" borderId="0" xfId="23" applyFont="1" applyBorder="1" applyAlignment="1">
      <alignment horizontal="center"/>
      <protection/>
    </xf>
    <xf numFmtId="0" fontId="9" fillId="0" borderId="31" xfId="23" applyFont="1" applyBorder="1" applyAlignment="1">
      <alignment horizontal="center"/>
      <protection/>
    </xf>
    <xf numFmtId="0" fontId="0" fillId="0" borderId="8" xfId="0" applyBorder="1" applyAlignment="1" applyProtection="1">
      <alignment/>
      <protection/>
    </xf>
    <xf numFmtId="0" fontId="4" fillId="0" borderId="0" xfId="0" applyFont="1" applyAlignment="1" applyProtection="1">
      <alignment/>
      <protection/>
    </xf>
    <xf numFmtId="0" fontId="1" fillId="2" borderId="20" xfId="0" applyFont="1" applyFill="1" applyBorder="1" applyAlignment="1" applyProtection="1">
      <alignment horizontal="center"/>
      <protection locked="0"/>
    </xf>
    <xf numFmtId="0" fontId="1" fillId="2" borderId="48" xfId="0" applyFont="1" applyFill="1" applyBorder="1" applyAlignment="1" applyProtection="1">
      <alignment horizontal="center"/>
      <protection locked="0"/>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horizontal="center"/>
    </xf>
    <xf numFmtId="0" fontId="0" fillId="0" borderId="6" xfId="0" applyFont="1" applyBorder="1" applyAlignment="1" applyProtection="1">
      <alignment horizontal="left"/>
      <protection/>
    </xf>
    <xf numFmtId="0" fontId="4" fillId="0" borderId="39" xfId="0" applyFont="1" applyBorder="1" applyAlignment="1" applyProtection="1">
      <alignment horizontal="left"/>
      <protection/>
    </xf>
    <xf numFmtId="0" fontId="0" fillId="0" borderId="49" xfId="0" applyBorder="1" applyAlignment="1">
      <alignment/>
    </xf>
    <xf numFmtId="0" fontId="0" fillId="0" borderId="0" xfId="0" applyFont="1" applyBorder="1" applyAlignment="1">
      <alignment horizontal="right" vertical="justify"/>
    </xf>
    <xf numFmtId="0" fontId="0" fillId="0" borderId="0" xfId="21" applyFont="1" applyBorder="1" applyProtection="1">
      <alignment/>
      <protection/>
    </xf>
    <xf numFmtId="167" fontId="0" fillId="0" borderId="0" xfId="0" applyNumberFormat="1" applyBorder="1" applyAlignment="1" applyProtection="1">
      <alignment/>
      <protection/>
    </xf>
    <xf numFmtId="0" fontId="0" fillId="0" borderId="0" xfId="0" applyAlignment="1">
      <alignment horizontal="left" wrapText="1"/>
    </xf>
    <xf numFmtId="16" fontId="4" fillId="0" borderId="0" xfId="0" applyNumberFormat="1" applyFont="1" applyAlignment="1">
      <alignment horizontal="center" wrapText="1"/>
    </xf>
    <xf numFmtId="0" fontId="4" fillId="0" borderId="0" xfId="0" applyFont="1" applyAlignment="1">
      <alignment wrapText="1"/>
    </xf>
    <xf numFmtId="0" fontId="0" fillId="0" borderId="0" xfId="0" applyAlignment="1" quotePrefix="1">
      <alignment horizontal="left" wrapText="1"/>
    </xf>
    <xf numFmtId="0" fontId="0" fillId="0" borderId="0" xfId="0" applyAlignment="1">
      <alignment wrapText="1"/>
    </xf>
    <xf numFmtId="0" fontId="4" fillId="0" borderId="0" xfId="0" applyFont="1" applyAlignment="1">
      <alignment horizontal="left" wrapText="1"/>
    </xf>
    <xf numFmtId="0" fontId="0" fillId="0" borderId="0" xfId="0" applyNumberFormat="1" applyFont="1" applyAlignment="1">
      <alignment horizontal="left" wrapText="1"/>
    </xf>
    <xf numFmtId="0" fontId="0" fillId="0" borderId="0" xfId="0" applyNumberFormat="1" applyAlignment="1">
      <alignment wrapText="1"/>
    </xf>
    <xf numFmtId="0" fontId="0" fillId="0" borderId="0" xfId="0" applyNumberFormat="1" applyAlignment="1">
      <alignment horizontal="right" wrapText="1"/>
    </xf>
    <xf numFmtId="0" fontId="0" fillId="0" borderId="0" xfId="0" applyNumberFormat="1" applyAlignment="1">
      <alignment horizontal="left" wrapText="1"/>
    </xf>
    <xf numFmtId="167" fontId="0" fillId="0" borderId="5" xfId="0" applyNumberFormat="1" applyFont="1" applyFill="1" applyBorder="1" applyAlignment="1" applyProtection="1">
      <alignment/>
      <protection/>
    </xf>
    <xf numFmtId="0" fontId="1" fillId="0" borderId="0" xfId="0" applyFont="1" applyAlignment="1" applyProtection="1">
      <alignment/>
      <protection/>
    </xf>
    <xf numFmtId="2" fontId="0" fillId="0" borderId="0" xfId="0" applyNumberFormat="1" applyAlignment="1">
      <alignment/>
    </xf>
    <xf numFmtId="0" fontId="0" fillId="0" borderId="24" xfId="21" applyFont="1" applyBorder="1" applyAlignment="1" applyProtection="1">
      <alignment horizontal="center"/>
      <protection/>
    </xf>
    <xf numFmtId="0" fontId="0" fillId="0" borderId="0" xfId="0" applyFont="1" applyBorder="1" applyAlignment="1">
      <alignment/>
    </xf>
    <xf numFmtId="0" fontId="0" fillId="0" borderId="15" xfId="0" applyFont="1" applyBorder="1" applyAlignment="1">
      <alignment/>
    </xf>
    <xf numFmtId="0" fontId="14" fillId="0" borderId="34" xfId="0" applyFont="1" applyBorder="1" applyAlignment="1">
      <alignment/>
    </xf>
    <xf numFmtId="0" fontId="0" fillId="0" borderId="14" xfId="0" applyFont="1" applyBorder="1" applyAlignment="1">
      <alignment/>
    </xf>
    <xf numFmtId="0" fontId="14" fillId="0" borderId="14" xfId="0" applyFont="1" applyBorder="1" applyAlignment="1">
      <alignment/>
    </xf>
    <xf numFmtId="0" fontId="14" fillId="0" borderId="0" xfId="0" applyFont="1" applyBorder="1" applyAlignment="1">
      <alignment/>
    </xf>
    <xf numFmtId="0" fontId="0" fillId="0" borderId="31" xfId="0" applyBorder="1" applyAlignment="1">
      <alignment wrapText="1"/>
    </xf>
    <xf numFmtId="0" fontId="0" fillId="0" borderId="32" xfId="0" applyFont="1" applyBorder="1" applyAlignment="1">
      <alignment/>
    </xf>
    <xf numFmtId="0" fontId="25" fillId="0" borderId="24" xfId="22" applyFont="1" applyBorder="1" applyAlignment="1" quotePrefix="1">
      <alignment horizontal="left" vertical="center" wrapText="1"/>
      <protection/>
    </xf>
    <xf numFmtId="0" fontId="9" fillId="0" borderId="24" xfId="22" applyFont="1" applyBorder="1">
      <alignment/>
      <protection/>
    </xf>
    <xf numFmtId="0" fontId="0" fillId="0" borderId="24" xfId="0" applyBorder="1" applyAlignment="1">
      <alignment/>
    </xf>
    <xf numFmtId="0" fontId="24" fillId="0" borderId="0" xfId="22" applyFont="1" applyAlignment="1">
      <alignment horizontal="center"/>
      <protection/>
    </xf>
    <xf numFmtId="0" fontId="24" fillId="0" borderId="0" xfId="0" applyFont="1" applyAlignment="1">
      <alignment horizontal="center"/>
    </xf>
    <xf numFmtId="0" fontId="4" fillId="0" borderId="0" xfId="21" applyFont="1" applyAlignment="1">
      <alignment horizontal="center"/>
      <protection/>
    </xf>
    <xf numFmtId="0" fontId="0" fillId="0" borderId="0" xfId="21" applyFont="1" applyBorder="1" applyAlignment="1" applyProtection="1">
      <alignment horizontal="left"/>
      <protection/>
    </xf>
    <xf numFmtId="0" fontId="4" fillId="0" borderId="14" xfId="21" applyFont="1" applyBorder="1">
      <alignment/>
      <protection/>
    </xf>
    <xf numFmtId="0" fontId="0" fillId="0" borderId="0" xfId="21" applyNumberFormat="1" applyFont="1">
      <alignment/>
      <protection/>
    </xf>
    <xf numFmtId="0" fontId="0" fillId="0" borderId="13"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21" applyNumberFormat="1" applyFont="1" applyAlignment="1" applyProtection="1">
      <alignment/>
      <protection/>
    </xf>
    <xf numFmtId="2" fontId="0" fillId="0" borderId="5" xfId="0" applyNumberFormat="1" applyBorder="1" applyAlignment="1" applyProtection="1">
      <alignment/>
      <protection hidden="1"/>
    </xf>
    <xf numFmtId="0" fontId="0" fillId="0" borderId="0" xfId="0" applyFont="1" applyBorder="1" applyAlignment="1">
      <alignment horizontal="right" wrapText="1"/>
    </xf>
    <xf numFmtId="0" fontId="5" fillId="0" borderId="0" xfId="0" applyFont="1" applyBorder="1" applyAlignment="1">
      <alignment horizontal="center"/>
    </xf>
    <xf numFmtId="0" fontId="0" fillId="0" borderId="13" xfId="0" applyFont="1" applyBorder="1" applyAlignment="1">
      <alignment horizontal="left" wrapText="1"/>
    </xf>
    <xf numFmtId="0" fontId="0" fillId="0" borderId="32" xfId="0" applyFont="1" applyBorder="1" applyAlignment="1">
      <alignment horizontal="left" wrapText="1"/>
    </xf>
    <xf numFmtId="0" fontId="0" fillId="0" borderId="0" xfId="0" applyFont="1" applyAlignment="1">
      <alignment horizontal="left" wrapText="1"/>
    </xf>
    <xf numFmtId="0" fontId="0" fillId="0" borderId="15" xfId="0" applyFont="1" applyBorder="1" applyAlignment="1">
      <alignment horizontal="left" wrapText="1"/>
    </xf>
    <xf numFmtId="0" fontId="0" fillId="0" borderId="15" xfId="0" applyBorder="1" applyAlignment="1">
      <alignment wrapText="1"/>
    </xf>
    <xf numFmtId="0" fontId="0" fillId="0" borderId="24" xfId="0" applyBorder="1" applyAlignment="1">
      <alignment wrapText="1"/>
    </xf>
    <xf numFmtId="0" fontId="0" fillId="0" borderId="34" xfId="0" applyBorder="1" applyAlignment="1">
      <alignment wrapText="1"/>
    </xf>
    <xf numFmtId="0" fontId="0" fillId="0" borderId="0" xfId="21" applyFont="1" applyAlignment="1">
      <alignment horizontal="left"/>
      <protection/>
    </xf>
    <xf numFmtId="2" fontId="0" fillId="0" borderId="24" xfId="0" applyNumberFormat="1" applyFont="1" applyBorder="1" applyAlignment="1" applyProtection="1">
      <alignment/>
      <protection/>
    </xf>
    <xf numFmtId="3" fontId="0" fillId="0" borderId="0" xfId="0" applyNumberFormat="1" applyAlignment="1">
      <alignment/>
    </xf>
    <xf numFmtId="0" fontId="0" fillId="0" borderId="24" xfId="0" applyBorder="1" applyAlignment="1">
      <alignment/>
    </xf>
    <xf numFmtId="0" fontId="29" fillId="0" borderId="0" xfId="0" applyFont="1" applyBorder="1" applyAlignment="1" applyProtection="1">
      <alignment/>
      <protection/>
    </xf>
    <xf numFmtId="0" fontId="29" fillId="0" borderId="0" xfId="0" applyFont="1" applyAlignment="1">
      <alignment/>
    </xf>
    <xf numFmtId="0" fontId="27" fillId="0" borderId="0" xfId="0" applyFont="1" applyAlignment="1">
      <alignment/>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0" fillId="0" borderId="14" xfId="0" applyBorder="1" applyAlignment="1">
      <alignment/>
    </xf>
    <xf numFmtId="0" fontId="0" fillId="0" borderId="15" xfId="0" applyBorder="1" applyAlignment="1">
      <alignment/>
    </xf>
    <xf numFmtId="0" fontId="0" fillId="0" borderId="14" xfId="0" applyBorder="1" applyAlignment="1">
      <alignment horizontal="right"/>
    </xf>
    <xf numFmtId="0" fontId="0" fillId="0" borderId="33" xfId="0" applyBorder="1" applyAlignment="1">
      <alignment/>
    </xf>
    <xf numFmtId="0" fontId="0" fillId="0" borderId="34" xfId="0" applyBorder="1" applyAlignment="1">
      <alignment/>
    </xf>
    <xf numFmtId="0" fontId="0" fillId="0" borderId="0" xfId="0" applyBorder="1" applyAlignment="1" quotePrefix="1">
      <alignment/>
    </xf>
    <xf numFmtId="0" fontId="0" fillId="4" borderId="24" xfId="0" applyFill="1" applyBorder="1" applyAlignment="1">
      <alignment/>
    </xf>
    <xf numFmtId="2" fontId="0" fillId="4" borderId="24" xfId="0" applyNumberFormat="1" applyFont="1" applyFill="1" applyBorder="1" applyAlignment="1" applyProtection="1">
      <alignment/>
      <protection locked="0"/>
    </xf>
    <xf numFmtId="0" fontId="0" fillId="4" borderId="0" xfId="0" applyFill="1" applyBorder="1" applyAlignment="1">
      <alignment/>
    </xf>
    <xf numFmtId="0" fontId="0" fillId="0" borderId="0" xfId="0" applyBorder="1" applyAlignment="1" quotePrefix="1">
      <alignment horizontal="right"/>
    </xf>
    <xf numFmtId="0" fontId="0" fillId="0" borderId="0" xfId="0" applyBorder="1" applyAlignment="1" quotePrefix="1">
      <alignment horizontal="left"/>
    </xf>
    <xf numFmtId="0" fontId="14" fillId="0" borderId="50" xfId="0" applyFont="1" applyFill="1" applyBorder="1" applyAlignment="1">
      <alignment horizontal="center"/>
    </xf>
    <xf numFmtId="0" fontId="14" fillId="0" borderId="51" xfId="0" applyFont="1" applyFill="1" applyBorder="1" applyAlignment="1" applyProtection="1">
      <alignment horizontal="center"/>
      <protection/>
    </xf>
    <xf numFmtId="0" fontId="14" fillId="0" borderId="52" xfId="0" applyFont="1" applyFill="1" applyBorder="1" applyAlignment="1">
      <alignment horizontal="center"/>
    </xf>
    <xf numFmtId="0" fontId="14" fillId="0" borderId="12" xfId="0" applyFont="1" applyFill="1" applyBorder="1" applyAlignment="1" applyProtection="1">
      <alignment horizontal="center"/>
      <protection/>
    </xf>
    <xf numFmtId="0" fontId="0" fillId="0" borderId="0" xfId="0" applyFont="1" applyAlignment="1">
      <alignment horizontal="left"/>
    </xf>
    <xf numFmtId="0" fontId="0" fillId="0" borderId="0" xfId="0" applyFont="1" applyAlignment="1">
      <alignment/>
    </xf>
    <xf numFmtId="0" fontId="0" fillId="0" borderId="0" xfId="0" applyFont="1" applyAlignment="1" quotePrefix="1">
      <alignment horizontal="left" wrapText="1"/>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30" fillId="0" borderId="0" xfId="0" applyFont="1" applyAlignment="1">
      <alignment/>
    </xf>
    <xf numFmtId="0" fontId="4" fillId="0" borderId="0" xfId="0" applyFont="1" applyBorder="1" applyAlignment="1">
      <alignment horizontal="left"/>
    </xf>
    <xf numFmtId="0" fontId="4" fillId="0" borderId="0" xfId="0" applyFont="1" applyFill="1" applyBorder="1" applyAlignment="1" applyProtection="1">
      <alignment horizontal="left"/>
      <protection/>
    </xf>
    <xf numFmtId="2" fontId="4" fillId="2" borderId="5" xfId="0" applyNumberFormat="1" applyFont="1" applyFill="1" applyBorder="1" applyAlignment="1" applyProtection="1">
      <alignment/>
      <protection locked="0"/>
    </xf>
    <xf numFmtId="0" fontId="0" fillId="0" borderId="0" xfId="0" applyFont="1" applyAlignment="1">
      <alignment wrapText="1"/>
    </xf>
    <xf numFmtId="0" fontId="24" fillId="0" borderId="0" xfId="21" applyFont="1">
      <alignment/>
      <protection/>
    </xf>
    <xf numFmtId="0" fontId="15"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3" fontId="4" fillId="0" borderId="5" xfId="0" applyNumberFormat="1" applyFont="1" applyBorder="1" applyAlignment="1">
      <alignment horizontal="right"/>
    </xf>
    <xf numFmtId="0" fontId="0" fillId="0" borderId="53" xfId="0" applyFont="1" applyFill="1" applyBorder="1" applyAlignment="1" applyProtection="1">
      <alignment horizontal="center"/>
      <protection/>
    </xf>
    <xf numFmtId="0" fontId="0" fillId="0" borderId="54" xfId="0" applyFont="1" applyBorder="1" applyAlignment="1" applyProtection="1">
      <alignment horizontal="center"/>
      <protection/>
    </xf>
    <xf numFmtId="203" fontId="0" fillId="0" borderId="5" xfId="0" applyNumberFormat="1" applyFont="1" applyFill="1" applyBorder="1" applyAlignment="1" applyProtection="1">
      <alignment horizontal="left"/>
      <protection/>
    </xf>
    <xf numFmtId="203" fontId="0" fillId="0" borderId="5" xfId="0" applyNumberFormat="1" applyBorder="1" applyAlignment="1">
      <alignment/>
    </xf>
    <xf numFmtId="203" fontId="0" fillId="0" borderId="5" xfId="0" applyNumberFormat="1" applyBorder="1" applyAlignment="1">
      <alignment horizontal="left"/>
    </xf>
    <xf numFmtId="0" fontId="0" fillId="0" borderId="0" xfId="0" applyBorder="1" applyAlignment="1">
      <alignment/>
    </xf>
    <xf numFmtId="3" fontId="0" fillId="0" borderId="24" xfId="0" applyNumberFormat="1" applyBorder="1" applyAlignment="1">
      <alignment/>
    </xf>
    <xf numFmtId="0" fontId="0" fillId="0" borderId="0" xfId="0" applyAlignment="1">
      <alignment horizontal="left" wrapText="1"/>
    </xf>
    <xf numFmtId="0" fontId="0" fillId="0" borderId="5" xfId="0" applyFont="1" applyBorder="1" applyAlignment="1" applyProtection="1">
      <alignment horizontal="left"/>
      <protection/>
    </xf>
    <xf numFmtId="203" fontId="0" fillId="0" borderId="5" xfId="0" applyNumberFormat="1" applyFont="1" applyBorder="1" applyAlignment="1" applyProtection="1">
      <alignment horizontal="left"/>
      <protection/>
    </xf>
    <xf numFmtId="0" fontId="0" fillId="0" borderId="24" xfId="0" applyFont="1" applyFill="1" applyBorder="1" applyAlignment="1" applyProtection="1">
      <alignment horizontal="left"/>
      <protection/>
    </xf>
    <xf numFmtId="0" fontId="0" fillId="0" borderId="24" xfId="0" applyBorder="1" applyAlignment="1">
      <alignment horizontal="left"/>
    </xf>
    <xf numFmtId="0" fontId="0" fillId="0" borderId="5" xfId="0" applyFont="1" applyFill="1" applyBorder="1" applyAlignment="1" applyProtection="1">
      <alignment horizontal="left"/>
      <protection/>
    </xf>
    <xf numFmtId="0" fontId="0" fillId="0" borderId="5" xfId="0" applyBorder="1" applyAlignment="1">
      <alignment horizontal="left"/>
    </xf>
    <xf numFmtId="14" fontId="0" fillId="0" borderId="0" xfId="0" applyNumberFormat="1" applyFont="1" applyBorder="1" applyAlignment="1" quotePrefix="1">
      <alignment horizontal="center"/>
    </xf>
    <xf numFmtId="0" fontId="0" fillId="0" borderId="55"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applyProtection="1">
      <alignment horizontal="right" vertical="center"/>
      <protection/>
    </xf>
    <xf numFmtId="0" fontId="0" fillId="0" borderId="0" xfId="0" applyFont="1" applyBorder="1" applyAlignment="1">
      <alignment horizontal="right" vertical="center"/>
    </xf>
    <xf numFmtId="0" fontId="0" fillId="0" borderId="54" xfId="0" applyFont="1" applyBorder="1" applyAlignment="1">
      <alignment horizontal="center"/>
    </xf>
    <xf numFmtId="0" fontId="0" fillId="0" borderId="0" xfId="0" applyFont="1" applyAlignment="1">
      <alignment horizontal="right"/>
    </xf>
    <xf numFmtId="0" fontId="0" fillId="0" borderId="15" xfId="0" applyFont="1" applyFill="1" applyBorder="1" applyAlignment="1">
      <alignment horizontal="left"/>
    </xf>
    <xf numFmtId="0" fontId="0" fillId="0" borderId="14" xfId="0" applyFont="1" applyFill="1" applyBorder="1" applyAlignment="1">
      <alignment horizontal="left"/>
    </xf>
    <xf numFmtId="0" fontId="0" fillId="0" borderId="24" xfId="0" applyFont="1" applyFill="1" applyBorder="1" applyAlignment="1" applyProtection="1">
      <alignment horizontal="center"/>
      <protection/>
    </xf>
    <xf numFmtId="0" fontId="0" fillId="0" borderId="53" xfId="0" applyFont="1" applyFill="1" applyBorder="1" applyAlignment="1">
      <alignment horizontal="center"/>
    </xf>
    <xf numFmtId="0" fontId="0" fillId="0" borderId="57" xfId="0" applyFont="1" applyBorder="1" applyAlignment="1">
      <alignment horizontal="center"/>
    </xf>
    <xf numFmtId="0" fontId="0" fillId="0" borderId="0" xfId="0" applyBorder="1" applyAlignment="1">
      <alignment horizontal="left"/>
    </xf>
    <xf numFmtId="49" fontId="0" fillId="2" borderId="5" xfId="0" applyNumberFormat="1" applyFill="1" applyBorder="1" applyAlignment="1" applyProtection="1">
      <alignment/>
      <protection locked="0"/>
    </xf>
    <xf numFmtId="0" fontId="0" fillId="0" borderId="24" xfId="0" applyFont="1" applyBorder="1" applyAlignment="1" applyProtection="1">
      <alignment horizontal="center"/>
      <protection/>
    </xf>
    <xf numFmtId="169" fontId="0" fillId="0" borderId="0" xfId="0" applyNumberFormat="1" applyFont="1" applyBorder="1" applyAlignment="1" applyProtection="1">
      <alignment horizontal="center"/>
      <protection/>
    </xf>
    <xf numFmtId="0" fontId="0" fillId="0" borderId="0" xfId="20" applyFont="1" applyBorder="1" applyAlignment="1" applyProtection="1" quotePrefix="1">
      <alignment horizontal="left"/>
      <protection/>
    </xf>
    <xf numFmtId="167" fontId="0" fillId="0" borderId="24" xfId="0" applyNumberFormat="1" applyFont="1" applyBorder="1" applyAlignment="1" applyProtection="1">
      <alignment horizontal="center"/>
      <protection/>
    </xf>
    <xf numFmtId="167" fontId="0" fillId="0" borderId="5" xfId="0" applyNumberFormat="1" applyFont="1" applyBorder="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lignment horizontal="center"/>
    </xf>
    <xf numFmtId="0" fontId="0" fillId="0" borderId="0" xfId="0" applyAlignment="1" applyProtection="1">
      <alignment horizontal="center"/>
      <protection/>
    </xf>
    <xf numFmtId="0" fontId="0" fillId="0" borderId="5" xfId="0" applyFont="1" applyFill="1" applyBorder="1" applyAlignment="1" applyProtection="1">
      <alignment horizontal="center"/>
      <protection/>
    </xf>
    <xf numFmtId="0" fontId="0" fillId="0" borderId="0" xfId="0" applyAlignment="1">
      <alignment horizontal="left"/>
    </xf>
    <xf numFmtId="0" fontId="0" fillId="3" borderId="0" xfId="0" applyFill="1" applyBorder="1" applyAlignment="1" applyProtection="1">
      <alignment horizontal="center"/>
      <protection/>
    </xf>
    <xf numFmtId="169" fontId="22" fillId="0" borderId="33" xfId="0" applyNumberFormat="1" applyFont="1" applyBorder="1" applyAlignment="1" applyProtection="1">
      <alignment horizontal="center"/>
      <protection/>
    </xf>
    <xf numFmtId="169" fontId="22" fillId="0" borderId="24" xfId="0" applyNumberFormat="1" applyFont="1" applyBorder="1" applyAlignment="1" applyProtection="1">
      <alignment horizontal="center"/>
      <protection/>
    </xf>
    <xf numFmtId="169" fontId="22" fillId="0" borderId="34" xfId="0" applyNumberFormat="1" applyFont="1" applyBorder="1" applyAlignment="1" applyProtection="1">
      <alignment horizontal="center"/>
      <protection/>
    </xf>
    <xf numFmtId="2" fontId="20" fillId="0" borderId="24" xfId="0" applyNumberFormat="1" applyFont="1" applyBorder="1" applyAlignment="1" applyProtection="1">
      <alignment horizontal="center"/>
      <protection/>
    </xf>
    <xf numFmtId="169" fontId="22" fillId="0" borderId="31" xfId="0" applyNumberFormat="1" applyFont="1" applyBorder="1" applyAlignment="1" applyProtection="1">
      <alignment horizontal="center"/>
      <protection/>
    </xf>
    <xf numFmtId="169" fontId="22" fillId="0" borderId="13" xfId="0" applyNumberFormat="1" applyFont="1" applyBorder="1" applyAlignment="1" applyProtection="1">
      <alignment horizontal="center"/>
      <protection/>
    </xf>
    <xf numFmtId="169" fontId="22" fillId="0" borderId="32" xfId="0" applyNumberFormat="1" applyFont="1" applyBorder="1" applyAlignment="1" applyProtection="1">
      <alignment horizontal="center"/>
      <protection/>
    </xf>
    <xf numFmtId="169" fontId="22" fillId="0" borderId="14" xfId="0" applyNumberFormat="1" applyFont="1" applyBorder="1" applyAlignment="1" applyProtection="1">
      <alignment horizontal="center"/>
      <protection/>
    </xf>
    <xf numFmtId="169" fontId="22" fillId="0" borderId="0" xfId="0" applyNumberFormat="1" applyFont="1" applyBorder="1" applyAlignment="1" applyProtection="1">
      <alignment horizontal="center"/>
      <protection/>
    </xf>
    <xf numFmtId="169" fontId="22" fillId="0" borderId="15" xfId="0" applyNumberFormat="1" applyFont="1" applyBorder="1" applyAlignment="1" applyProtection="1">
      <alignment horizontal="center"/>
      <protection/>
    </xf>
    <xf numFmtId="49" fontId="0" fillId="2" borderId="5" xfId="0" applyNumberFormat="1" applyFont="1" applyFill="1" applyBorder="1" applyAlignment="1" applyProtection="1">
      <alignment horizontal="left"/>
      <protection locked="0"/>
    </xf>
    <xf numFmtId="203" fontId="0" fillId="2" borderId="13" xfId="0" applyNumberFormat="1" applyFont="1" applyFill="1" applyBorder="1" applyAlignment="1" applyProtection="1">
      <alignment horizontal="left"/>
      <protection locked="0"/>
    </xf>
    <xf numFmtId="203" fontId="0" fillId="2" borderId="24" xfId="0" applyNumberFormat="1" applyFont="1" applyFill="1" applyBorder="1" applyAlignment="1" applyProtection="1">
      <alignment horizontal="left"/>
      <protection locked="0"/>
    </xf>
    <xf numFmtId="0" fontId="0" fillId="2" borderId="24" xfId="0" applyFont="1" applyFill="1" applyBorder="1" applyAlignment="1" applyProtection="1">
      <alignment horizontal="center"/>
      <protection locked="0"/>
    </xf>
    <xf numFmtId="0" fontId="0" fillId="0" borderId="0" xfId="0" applyFont="1" applyBorder="1" applyAlignment="1" applyProtection="1">
      <alignment horizontal="center"/>
      <protection/>
    </xf>
    <xf numFmtId="0" fontId="0" fillId="2" borderId="24" xfId="0" applyNumberFormat="1" applyFont="1" applyFill="1" applyBorder="1" applyAlignment="1" applyProtection="1">
      <alignment horizontal="center"/>
      <protection locked="0"/>
    </xf>
    <xf numFmtId="0" fontId="20" fillId="0" borderId="24" xfId="0" applyFont="1" applyBorder="1" applyAlignment="1" applyProtection="1">
      <alignment horizontal="center"/>
      <protection/>
    </xf>
    <xf numFmtId="0" fontId="0" fillId="0" borderId="0" xfId="0" applyBorder="1" applyAlignment="1" applyProtection="1">
      <alignment horizontal="center"/>
      <protection/>
    </xf>
    <xf numFmtId="0" fontId="20" fillId="0" borderId="24" xfId="0" applyNumberFormat="1" applyFont="1" applyBorder="1" applyAlignment="1" applyProtection="1">
      <alignment horizontal="center"/>
      <protection/>
    </xf>
    <xf numFmtId="0" fontId="20" fillId="0" borderId="5" xfId="0"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Alignment="1">
      <alignment horizontal="center"/>
    </xf>
    <xf numFmtId="0" fontId="0" fillId="0" borderId="0" xfId="0" applyFont="1" applyAlignment="1" applyProtection="1">
      <alignment horizontal="left"/>
      <protection/>
    </xf>
    <xf numFmtId="0" fontId="0" fillId="0" borderId="0" xfId="0" applyFont="1" applyAlignment="1">
      <alignment/>
    </xf>
    <xf numFmtId="0" fontId="0" fillId="0" borderId="0" xfId="0" applyFont="1" applyBorder="1" applyAlignment="1" applyProtection="1">
      <alignment horizontal="left"/>
      <protection/>
    </xf>
    <xf numFmtId="0" fontId="0" fillId="0" borderId="0" xfId="0" applyFont="1" applyBorder="1" applyAlignment="1">
      <alignment horizontal="left"/>
    </xf>
    <xf numFmtId="49" fontId="0" fillId="2" borderId="13" xfId="0" applyNumberFormat="1" applyFont="1" applyFill="1" applyBorder="1" applyAlignment="1" applyProtection="1">
      <alignment horizontal="left"/>
      <protection locked="0"/>
    </xf>
    <xf numFmtId="0" fontId="0" fillId="2" borderId="13" xfId="0" applyFill="1" applyBorder="1" applyAlignment="1" applyProtection="1">
      <alignment/>
      <protection locked="0"/>
    </xf>
    <xf numFmtId="0" fontId="0" fillId="2" borderId="24" xfId="0" applyFill="1" applyBorder="1" applyAlignment="1" applyProtection="1">
      <alignment/>
      <protection locked="0"/>
    </xf>
    <xf numFmtId="0" fontId="0" fillId="0" borderId="0" xfId="0" applyAlignment="1">
      <alignment/>
    </xf>
    <xf numFmtId="0" fontId="0" fillId="0" borderId="0" xfId="0" applyFont="1" applyAlignment="1" applyProtection="1">
      <alignment horizontal="right"/>
      <protection/>
    </xf>
    <xf numFmtId="1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Alignment="1" applyProtection="1">
      <alignment horizontal="center"/>
      <protection/>
    </xf>
    <xf numFmtId="0" fontId="0" fillId="0" borderId="0" xfId="0" applyFont="1" applyAlignment="1">
      <alignment horizontal="center"/>
    </xf>
    <xf numFmtId="0" fontId="0" fillId="0" borderId="0" xfId="0" applyFont="1" applyBorder="1" applyAlignment="1">
      <alignment horizontal="center"/>
    </xf>
    <xf numFmtId="49" fontId="0" fillId="2" borderId="0" xfId="0" applyNumberFormat="1" applyFont="1" applyFill="1" applyBorder="1" applyAlignment="1" applyProtection="1">
      <alignment horizontal="left"/>
      <protection locked="0"/>
    </xf>
    <xf numFmtId="49" fontId="0" fillId="2" borderId="24" xfId="0" applyNumberFormat="1" applyFont="1" applyFill="1" applyBorder="1" applyAlignment="1" applyProtection="1">
      <alignment horizontal="left"/>
      <protection locked="0"/>
    </xf>
    <xf numFmtId="0" fontId="0" fillId="0" borderId="0" xfId="0" applyFont="1" applyBorder="1" applyAlignment="1">
      <alignment horizontal="right" wrapText="1"/>
    </xf>
    <xf numFmtId="3" fontId="4" fillId="0" borderId="0" xfId="0" applyNumberFormat="1" applyFont="1" applyBorder="1" applyAlignment="1" applyProtection="1">
      <alignment horizontal="right"/>
      <protection/>
    </xf>
    <xf numFmtId="3" fontId="4" fillId="0" borderId="24" xfId="0" applyNumberFormat="1" applyFont="1" applyBorder="1" applyAlignment="1" applyProtection="1">
      <alignment horizontal="right"/>
      <protection/>
    </xf>
    <xf numFmtId="0" fontId="0" fillId="0" borderId="24" xfId="0" applyFont="1" applyBorder="1" applyAlignment="1" applyProtection="1">
      <alignment horizontal="left"/>
      <protection/>
    </xf>
    <xf numFmtId="0" fontId="0" fillId="0" borderId="24" xfId="0" applyBorder="1" applyAlignment="1">
      <alignment/>
    </xf>
    <xf numFmtId="0" fontId="0" fillId="0" borderId="5" xfId="0" applyBorder="1" applyAlignment="1">
      <alignment/>
    </xf>
    <xf numFmtId="3" fontId="0" fillId="0" borderId="5" xfId="0" applyNumberFormat="1" applyBorder="1" applyAlignment="1">
      <alignment/>
    </xf>
    <xf numFmtId="0" fontId="0" fillId="0" borderId="0" xfId="21" applyFont="1" applyAlignment="1">
      <alignment vertical="center"/>
      <protection/>
    </xf>
    <xf numFmtId="0" fontId="27" fillId="0" borderId="0" xfId="21" applyFont="1" applyBorder="1" applyAlignment="1" applyProtection="1">
      <alignment horizontal="left"/>
      <protection/>
    </xf>
    <xf numFmtId="204" fontId="0" fillId="0" borderId="0" xfId="22" applyNumberFormat="1" applyFont="1" applyFill="1" applyBorder="1" applyAlignment="1" applyProtection="1">
      <alignment horizontal="left"/>
      <protection locked="0"/>
    </xf>
    <xf numFmtId="204" fontId="0" fillId="0" borderId="24" xfId="22" applyNumberFormat="1" applyFont="1" applyFill="1" applyBorder="1" applyAlignment="1" applyProtection="1">
      <alignment horizontal="left"/>
      <protection locked="0"/>
    </xf>
    <xf numFmtId="0" fontId="15" fillId="0" borderId="13" xfId="22" applyFont="1" applyBorder="1" applyAlignment="1">
      <alignment horizontal="center"/>
      <protection/>
    </xf>
    <xf numFmtId="0" fontId="0" fillId="0" borderId="13" xfId="0" applyBorder="1" applyAlignment="1">
      <alignment horizontal="center"/>
    </xf>
    <xf numFmtId="0" fontId="15" fillId="2" borderId="13" xfId="22" applyFont="1" applyFill="1" applyBorder="1" applyAlignment="1" applyProtection="1">
      <alignment horizontal="center"/>
      <protection locked="0"/>
    </xf>
    <xf numFmtId="0" fontId="15" fillId="2" borderId="24" xfId="22" applyFont="1" applyFill="1" applyBorder="1" applyAlignment="1" applyProtection="1">
      <alignment horizontal="center"/>
      <protection locked="0"/>
    </xf>
    <xf numFmtId="170" fontId="0" fillId="0" borderId="0" xfId="21" applyNumberFormat="1" applyFont="1" applyAlignment="1" applyProtection="1">
      <alignment horizontal="center"/>
      <protection locked="0"/>
    </xf>
    <xf numFmtId="170" fontId="0" fillId="0" borderId="24" xfId="21" applyNumberFormat="1" applyFont="1" applyBorder="1" applyAlignment="1" applyProtection="1">
      <alignment horizontal="center"/>
      <protection locked="0"/>
    </xf>
    <xf numFmtId="0" fontId="0" fillId="0" borderId="0" xfId="22" applyFont="1" applyBorder="1" applyAlignment="1">
      <alignment horizontal="left"/>
      <protection/>
    </xf>
    <xf numFmtId="0" fontId="0" fillId="0" borderId="0" xfId="0" applyFont="1" applyAlignment="1">
      <alignment horizontal="left"/>
    </xf>
    <xf numFmtId="0" fontId="15" fillId="0" borderId="0" xfId="22" applyFont="1" applyAlignment="1" applyProtection="1">
      <alignment horizontal="left"/>
      <protection locked="0"/>
    </xf>
    <xf numFmtId="0" fontId="15" fillId="0" borderId="24" xfId="22" applyFont="1" applyBorder="1" applyAlignment="1" applyProtection="1">
      <alignment horizontal="left"/>
      <protection locked="0"/>
    </xf>
    <xf numFmtId="0" fontId="0" fillId="0" borderId="0" xfId="22" applyFont="1" applyFill="1" applyBorder="1" applyAlignment="1" applyProtection="1">
      <alignment horizontal="left"/>
      <protection/>
    </xf>
    <xf numFmtId="203" fontId="0" fillId="0" borderId="0" xfId="22" applyNumberFormat="1" applyFont="1" applyFill="1" applyBorder="1" applyAlignment="1" applyProtection="1">
      <alignment horizontal="left"/>
      <protection locked="0"/>
    </xf>
    <xf numFmtId="203" fontId="0" fillId="0" borderId="24" xfId="22" applyNumberFormat="1" applyFont="1" applyFill="1" applyBorder="1" applyAlignment="1" applyProtection="1">
      <alignment horizontal="left"/>
      <protection locked="0"/>
    </xf>
    <xf numFmtId="0" fontId="0" fillId="0" borderId="0" xfId="21" applyFont="1" applyAlignment="1" applyProtection="1">
      <alignment horizontal="center"/>
      <protection locked="0"/>
    </xf>
    <xf numFmtId="0" fontId="0" fillId="0" borderId="24" xfId="21" applyFont="1" applyBorder="1" applyAlignment="1" applyProtection="1">
      <alignment horizontal="center"/>
      <protection locked="0"/>
    </xf>
    <xf numFmtId="0" fontId="0" fillId="0" borderId="0" xfId="21" applyFont="1" applyAlignment="1">
      <alignment horizontal="left"/>
      <protection/>
    </xf>
    <xf numFmtId="167" fontId="0" fillId="0" borderId="31" xfId="21" applyNumberFormat="1" applyFont="1" applyBorder="1" applyAlignment="1" applyProtection="1">
      <alignment horizontal="center"/>
      <protection locked="0"/>
    </xf>
    <xf numFmtId="167" fontId="0" fillId="0" borderId="13" xfId="21" applyNumberFormat="1" applyFont="1" applyBorder="1" applyAlignment="1" applyProtection="1">
      <alignment horizontal="center"/>
      <protection locked="0"/>
    </xf>
    <xf numFmtId="167" fontId="0" fillId="0" borderId="32" xfId="21" applyNumberFormat="1" applyFont="1" applyBorder="1" applyAlignment="1" applyProtection="1">
      <alignment horizontal="center"/>
      <protection locked="0"/>
    </xf>
    <xf numFmtId="167" fontId="0" fillId="0" borderId="33" xfId="21" applyNumberFormat="1" applyFont="1" applyBorder="1" applyAlignment="1" applyProtection="1">
      <alignment horizontal="center"/>
      <protection locked="0"/>
    </xf>
    <xf numFmtId="167" fontId="0" fillId="0" borderId="24" xfId="21" applyNumberFormat="1" applyFont="1" applyBorder="1" applyAlignment="1" applyProtection="1">
      <alignment horizontal="center"/>
      <protection locked="0"/>
    </xf>
    <xf numFmtId="167" fontId="0" fillId="0" borderId="34" xfId="21" applyNumberFormat="1" applyFont="1" applyBorder="1" applyAlignment="1" applyProtection="1">
      <alignment horizontal="center"/>
      <protection locked="0"/>
    </xf>
    <xf numFmtId="0" fontId="0" fillId="0" borderId="14" xfId="21" applyNumberFormat="1" applyFont="1" applyBorder="1" applyAlignment="1">
      <alignment horizontal="left"/>
      <protection/>
    </xf>
    <xf numFmtId="0" fontId="0" fillId="0" borderId="0" xfId="21" applyNumberFormat="1" applyFont="1" applyAlignment="1">
      <alignment horizontal="left"/>
      <protection/>
    </xf>
    <xf numFmtId="2" fontId="0" fillId="0" borderId="31" xfId="21" applyNumberFormat="1" applyFont="1" applyBorder="1" applyAlignment="1" applyProtection="1">
      <alignment horizontal="center"/>
      <protection/>
    </xf>
    <xf numFmtId="0" fontId="0" fillId="0" borderId="13" xfId="21" applyFont="1" applyBorder="1" applyAlignment="1" applyProtection="1">
      <alignment horizontal="center"/>
      <protection/>
    </xf>
    <xf numFmtId="0" fontId="0" fillId="0" borderId="32" xfId="21" applyFont="1" applyBorder="1" applyAlignment="1" applyProtection="1">
      <alignment horizontal="center"/>
      <protection/>
    </xf>
    <xf numFmtId="0" fontId="0" fillId="0" borderId="33" xfId="21" applyFont="1" applyBorder="1" applyAlignment="1" applyProtection="1">
      <alignment horizontal="center"/>
      <protection/>
    </xf>
    <xf numFmtId="0" fontId="0" fillId="0" borderId="24" xfId="21" applyFont="1" applyBorder="1" applyAlignment="1" applyProtection="1">
      <alignment horizontal="center"/>
      <protection/>
    </xf>
    <xf numFmtId="0" fontId="0" fillId="0" borderId="34" xfId="21" applyFont="1" applyBorder="1" applyAlignment="1" applyProtection="1">
      <alignment horizontal="center"/>
      <protection/>
    </xf>
    <xf numFmtId="0" fontId="0" fillId="0" borderId="0" xfId="21" applyFont="1" applyBorder="1" applyAlignment="1">
      <alignment/>
      <protection/>
    </xf>
    <xf numFmtId="0" fontId="0" fillId="0" borderId="13" xfId="21" applyFont="1" applyBorder="1" applyAlignment="1">
      <alignment/>
      <protection/>
    </xf>
    <xf numFmtId="0" fontId="0" fillId="0" borderId="13" xfId="0" applyBorder="1" applyAlignment="1">
      <alignment/>
    </xf>
    <xf numFmtId="0" fontId="0" fillId="0" borderId="0" xfId="21" applyFont="1" applyAlignment="1">
      <alignment/>
      <protection/>
    </xf>
    <xf numFmtId="2" fontId="0" fillId="0" borderId="13" xfId="21" applyNumberFormat="1" applyFont="1" applyBorder="1" applyAlignment="1">
      <alignment horizontal="center"/>
      <protection/>
    </xf>
    <xf numFmtId="0" fontId="0" fillId="0" borderId="13" xfId="21" applyFont="1" applyBorder="1" applyAlignment="1">
      <alignment horizontal="center"/>
      <protection/>
    </xf>
    <xf numFmtId="0" fontId="0" fillId="0" borderId="24" xfId="21" applyFont="1" applyBorder="1" applyAlignment="1">
      <alignment horizontal="center"/>
      <protection/>
    </xf>
    <xf numFmtId="0" fontId="0" fillId="0" borderId="0" xfId="0" applyFont="1" applyAlignment="1">
      <alignment horizontal="left"/>
    </xf>
    <xf numFmtId="0" fontId="0" fillId="0" borderId="31" xfId="21" applyNumberFormat="1" applyFont="1" applyBorder="1" applyAlignment="1" applyProtection="1">
      <alignment horizontal="center" vertical="center"/>
      <protection locked="0"/>
    </xf>
    <xf numFmtId="0" fontId="0" fillId="0" borderId="13" xfId="21" applyNumberFormat="1" applyFont="1" applyBorder="1" applyAlignment="1" applyProtection="1">
      <alignment horizontal="center" vertical="center"/>
      <protection locked="0"/>
    </xf>
    <xf numFmtId="0" fontId="0" fillId="0" borderId="32" xfId="21" applyNumberFormat="1" applyFont="1" applyBorder="1" applyAlignment="1" applyProtection="1">
      <alignment horizontal="center" vertical="center"/>
      <protection locked="0"/>
    </xf>
    <xf numFmtId="0" fontId="0" fillId="0" borderId="33" xfId="21" applyNumberFormat="1" applyFont="1" applyBorder="1" applyAlignment="1" applyProtection="1">
      <alignment horizontal="center" vertical="center"/>
      <protection locked="0"/>
    </xf>
    <xf numFmtId="0" fontId="0" fillId="0" borderId="24" xfId="21" applyNumberFormat="1" applyFont="1" applyBorder="1" applyAlignment="1" applyProtection="1">
      <alignment horizontal="center" vertical="center"/>
      <protection locked="0"/>
    </xf>
    <xf numFmtId="0" fontId="0" fillId="0" borderId="34" xfId="21" applyNumberFormat="1" applyFont="1" applyBorder="1" applyAlignment="1" applyProtection="1">
      <alignment horizontal="center" vertical="center"/>
      <protection locked="0"/>
    </xf>
    <xf numFmtId="167" fontId="0" fillId="0" borderId="31" xfId="21" applyNumberFormat="1" applyFont="1" applyBorder="1" applyAlignment="1" applyProtection="1">
      <alignment horizontal="center" vertical="center"/>
      <protection locked="0"/>
    </xf>
    <xf numFmtId="167" fontId="0" fillId="0" borderId="13" xfId="21" applyNumberFormat="1" applyFont="1" applyBorder="1" applyAlignment="1" applyProtection="1">
      <alignment horizontal="center" vertical="center"/>
      <protection locked="0"/>
    </xf>
    <xf numFmtId="167" fontId="0" fillId="0" borderId="32" xfId="21" applyNumberFormat="1" applyFont="1" applyBorder="1" applyAlignment="1" applyProtection="1">
      <alignment horizontal="center" vertical="center"/>
      <protection locked="0"/>
    </xf>
    <xf numFmtId="167" fontId="0" fillId="0" borderId="33" xfId="21" applyNumberFormat="1" applyFont="1" applyBorder="1" applyAlignment="1" applyProtection="1">
      <alignment horizontal="center" vertical="center"/>
      <protection locked="0"/>
    </xf>
    <xf numFmtId="167" fontId="0" fillId="0" borderId="24" xfId="21" applyNumberFormat="1" applyFont="1" applyBorder="1" applyAlignment="1" applyProtection="1">
      <alignment horizontal="center" vertical="center"/>
      <protection locked="0"/>
    </xf>
    <xf numFmtId="167" fontId="0" fillId="0" borderId="34" xfId="21" applyNumberFormat="1" applyFont="1" applyBorder="1" applyAlignment="1" applyProtection="1">
      <alignment horizontal="center" vertical="center"/>
      <protection locked="0"/>
    </xf>
    <xf numFmtId="0" fontId="0" fillId="0" borderId="0" xfId="21" applyFont="1" applyAlignment="1">
      <alignment horizontal="right" vertical="center" wrapText="1"/>
      <protection/>
    </xf>
    <xf numFmtId="0" fontId="0" fillId="0" borderId="0" xfId="0" applyAlignment="1">
      <alignment horizontal="right" wrapText="1"/>
    </xf>
    <xf numFmtId="0" fontId="15" fillId="0" borderId="0" xfId="21" applyFont="1" applyAlignment="1">
      <alignment horizontal="left" vertical="center"/>
      <protection/>
    </xf>
    <xf numFmtId="0" fontId="0" fillId="0" borderId="13" xfId="21" applyFont="1" applyBorder="1" applyAlignment="1" applyProtection="1">
      <alignment horizontal="left"/>
      <protection/>
    </xf>
    <xf numFmtId="0" fontId="0" fillId="0" borderId="32" xfId="21" applyFont="1" applyBorder="1" applyAlignment="1" applyProtection="1">
      <alignment horizontal="left"/>
      <protection/>
    </xf>
    <xf numFmtId="0" fontId="0" fillId="0" borderId="24" xfId="21" applyFont="1" applyBorder="1" applyAlignment="1" applyProtection="1">
      <alignment horizontal="left"/>
      <protection/>
    </xf>
    <xf numFmtId="0" fontId="0" fillId="0" borderId="34" xfId="21" applyFont="1" applyBorder="1" applyAlignment="1" applyProtection="1">
      <alignment horizontal="left"/>
      <protection/>
    </xf>
    <xf numFmtId="0" fontId="15" fillId="0" borderId="0" xfId="22" applyFont="1" applyFill="1" applyBorder="1" applyAlignment="1" applyProtection="1">
      <alignment horizontal="left"/>
      <protection/>
    </xf>
    <xf numFmtId="0" fontId="15" fillId="0" borderId="0" xfId="22" applyFont="1" applyBorder="1" applyAlignment="1" applyProtection="1">
      <alignment horizontal="left"/>
      <protection/>
    </xf>
    <xf numFmtId="0" fontId="0" fillId="0" borderId="0" xfId="21" applyFont="1" applyBorder="1" applyAlignment="1">
      <alignment horizontal="center"/>
      <protection/>
    </xf>
    <xf numFmtId="0" fontId="0" fillId="0" borderId="0" xfId="0" applyFont="1" applyAlignment="1">
      <alignment/>
    </xf>
    <xf numFmtId="0" fontId="24" fillId="0" borderId="0" xfId="22" applyFont="1" applyAlignment="1">
      <alignment horizontal="center"/>
      <protection/>
    </xf>
    <xf numFmtId="0" fontId="15" fillId="0" borderId="0" xfId="22" applyFont="1" applyAlignment="1">
      <alignment horizontal="center"/>
      <protection/>
    </xf>
    <xf numFmtId="0" fontId="15" fillId="0" borderId="0" xfId="22" applyFont="1" applyBorder="1" applyAlignment="1" applyProtection="1">
      <alignment/>
      <protection/>
    </xf>
    <xf numFmtId="0" fontId="0" fillId="0" borderId="14" xfId="0" applyFont="1"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15" fillId="0" borderId="0" xfId="22" applyNumberFormat="1" applyFont="1" applyAlignment="1" applyProtection="1">
      <alignment horizontal="left"/>
      <protection/>
    </xf>
    <xf numFmtId="0" fontId="15" fillId="0" borderId="24" xfId="22" applyNumberFormat="1" applyFont="1" applyBorder="1" applyAlignment="1" applyProtection="1">
      <alignment horizontal="left"/>
      <protection/>
    </xf>
    <xf numFmtId="0" fontId="0" fillId="0" borderId="1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15" fillId="2" borderId="0" xfId="22" applyFont="1" applyFill="1" applyAlignment="1" applyProtection="1">
      <alignment horizontal="left"/>
      <protection locked="0"/>
    </xf>
    <xf numFmtId="0" fontId="15" fillId="2" borderId="24" xfId="22" applyFont="1" applyFill="1" applyBorder="1" applyAlignment="1" applyProtection="1">
      <alignment horizontal="left"/>
      <protection locked="0"/>
    </xf>
    <xf numFmtId="203" fontId="15" fillId="0" borderId="13" xfId="22" applyNumberFormat="1" applyFont="1" applyBorder="1" applyAlignment="1" applyProtection="1">
      <alignment horizontal="left"/>
      <protection locked="0"/>
    </xf>
    <xf numFmtId="203" fontId="15" fillId="0" borderId="24" xfId="22" applyNumberFormat="1" applyFont="1" applyBorder="1" applyAlignment="1" applyProtection="1">
      <alignment horizontal="left"/>
      <protection locked="0"/>
    </xf>
    <xf numFmtId="0" fontId="0" fillId="0" borderId="31" xfId="21" applyFont="1" applyBorder="1" applyAlignment="1" applyProtection="1">
      <alignment horizontal="center" wrapText="1"/>
      <protection/>
    </xf>
    <xf numFmtId="0" fontId="0" fillId="0" borderId="13" xfId="0" applyBorder="1" applyAlignment="1">
      <alignment horizontal="center" wrapText="1"/>
    </xf>
    <xf numFmtId="0" fontId="0" fillId="0" borderId="32" xfId="0"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4" xfId="21" applyFont="1" applyBorder="1" applyAlignment="1" applyProtection="1">
      <alignment horizontal="center" wrapText="1"/>
      <protection/>
    </xf>
    <xf numFmtId="0" fontId="0" fillId="0" borderId="33" xfId="0" applyBorder="1" applyAlignment="1">
      <alignment horizontal="center" wrapText="1"/>
    </xf>
    <xf numFmtId="0" fontId="0" fillId="0" borderId="24" xfId="0" applyBorder="1" applyAlignment="1">
      <alignment horizontal="center" wrapText="1"/>
    </xf>
    <xf numFmtId="0" fontId="0" fillId="0" borderId="34" xfId="0" applyBorder="1" applyAlignment="1">
      <alignment horizontal="center" wrapText="1"/>
    </xf>
    <xf numFmtId="203" fontId="15" fillId="2" borderId="0" xfId="22" applyNumberFormat="1" applyFont="1" applyFill="1" applyAlignment="1" applyProtection="1">
      <alignment horizontal="left"/>
      <protection locked="0"/>
    </xf>
    <xf numFmtId="203" fontId="15" fillId="2" borderId="24" xfId="22" applyNumberFormat="1" applyFont="1" applyFill="1" applyBorder="1" applyAlignment="1" applyProtection="1">
      <alignment horizontal="left"/>
      <protection locked="0"/>
    </xf>
    <xf numFmtId="0" fontId="0" fillId="0" borderId="0" xfId="21" applyFont="1" applyBorder="1" applyAlignment="1" applyProtection="1">
      <alignment horizontal="left"/>
      <protection/>
    </xf>
    <xf numFmtId="0" fontId="0" fillId="0" borderId="0" xfId="0" applyFont="1" applyBorder="1" applyAlignment="1">
      <alignment/>
    </xf>
    <xf numFmtId="0" fontId="0" fillId="0" borderId="0" xfId="21" applyFont="1" applyAlignment="1" applyProtection="1">
      <alignment horizontal="left"/>
      <protection/>
    </xf>
    <xf numFmtId="0" fontId="0" fillId="0" borderId="0" xfId="21" applyFont="1" applyAlignment="1" applyProtection="1">
      <alignment horizontal="center" vertical="center"/>
      <protection/>
    </xf>
    <xf numFmtId="167" fontId="0" fillId="0" borderId="47" xfId="21" applyNumberFormat="1" applyFont="1" applyBorder="1" applyAlignment="1" applyProtection="1">
      <alignment horizontal="center"/>
      <protection locked="0"/>
    </xf>
    <xf numFmtId="0" fontId="0" fillId="0" borderId="0" xfId="21" applyFont="1" applyAlignment="1">
      <alignment horizontal="center"/>
      <protection/>
    </xf>
    <xf numFmtId="0" fontId="15" fillId="0" borderId="13" xfId="22" applyFont="1" applyBorder="1" applyAlignment="1" applyProtection="1">
      <alignment horizontal="left"/>
      <protection locked="0"/>
    </xf>
    <xf numFmtId="0" fontId="0" fillId="0" borderId="14" xfId="21" applyFont="1" applyBorder="1" applyAlignment="1">
      <alignment horizontal="center" wrapText="1"/>
      <protection/>
    </xf>
    <xf numFmtId="0" fontId="0" fillId="0" borderId="0" xfId="21" applyFont="1" applyBorder="1" applyAlignment="1">
      <alignment horizontal="center" wrapText="1"/>
      <protection/>
    </xf>
    <xf numFmtId="0" fontId="0" fillId="0" borderId="15" xfId="21" applyFont="1" applyBorder="1" applyAlignment="1">
      <alignment horizontal="center" wrapText="1"/>
      <protection/>
    </xf>
    <xf numFmtId="0" fontId="0" fillId="0" borderId="33" xfId="21" applyFont="1" applyBorder="1" applyAlignment="1">
      <alignment horizontal="center" wrapText="1"/>
      <protection/>
    </xf>
    <xf numFmtId="0" fontId="0" fillId="0" borderId="24" xfId="21" applyFont="1" applyBorder="1" applyAlignment="1">
      <alignment horizontal="center" wrapText="1"/>
      <protection/>
    </xf>
    <xf numFmtId="0" fontId="0" fillId="0" borderId="34" xfId="21" applyFont="1" applyBorder="1" applyAlignment="1">
      <alignment horizontal="center" wrapText="1"/>
      <protection/>
    </xf>
    <xf numFmtId="0" fontId="0" fillId="0" borderId="31" xfId="21" applyFont="1" applyBorder="1" applyAlignment="1">
      <alignment horizontal="right"/>
      <protection/>
    </xf>
    <xf numFmtId="0" fontId="0" fillId="0" borderId="13" xfId="0" applyFont="1" applyBorder="1" applyAlignment="1">
      <alignment horizontal="right"/>
    </xf>
    <xf numFmtId="0" fontId="0" fillId="0" borderId="33" xfId="0" applyFont="1" applyBorder="1" applyAlignment="1">
      <alignment horizontal="right"/>
    </xf>
    <xf numFmtId="0" fontId="0" fillId="0" borderId="24" xfId="0" applyFont="1" applyBorder="1" applyAlignment="1">
      <alignment horizontal="right"/>
    </xf>
    <xf numFmtId="0" fontId="0" fillId="0" borderId="0" xfId="0" applyFont="1" applyAlignment="1">
      <alignment horizontal="left"/>
    </xf>
    <xf numFmtId="0" fontId="0" fillId="0" borderId="24" xfId="0" applyFont="1" applyBorder="1" applyAlignment="1">
      <alignment horizontal="left"/>
    </xf>
    <xf numFmtId="203" fontId="15" fillId="2" borderId="13" xfId="22" applyNumberFormat="1" applyFont="1" applyFill="1" applyBorder="1" applyAlignment="1" applyProtection="1">
      <alignment horizontal="left"/>
      <protection locked="0"/>
    </xf>
    <xf numFmtId="203" fontId="15" fillId="0" borderId="0" xfId="22" applyNumberFormat="1" applyFont="1" applyBorder="1" applyAlignment="1" applyProtection="1">
      <alignment horizontal="left"/>
      <protection/>
    </xf>
    <xf numFmtId="203" fontId="15" fillId="0" borderId="24" xfId="22" applyNumberFormat="1" applyFont="1" applyBorder="1" applyAlignment="1" applyProtection="1">
      <alignment horizontal="left"/>
      <protection/>
    </xf>
    <xf numFmtId="170" fontId="0" fillId="0" borderId="47" xfId="21" applyNumberFormat="1" applyFont="1" applyBorder="1" applyAlignment="1" applyProtection="1">
      <alignment horizontal="center"/>
      <protection locked="0"/>
    </xf>
    <xf numFmtId="0" fontId="4" fillId="0" borderId="0" xfId="21" applyFont="1" applyBorder="1" applyAlignment="1">
      <alignment horizontal="center" vertical="center"/>
      <protection/>
    </xf>
    <xf numFmtId="0" fontId="4" fillId="0" borderId="0" xfId="0" applyFont="1" applyBorder="1" applyAlignment="1">
      <alignment horizontal="center" vertical="center"/>
    </xf>
    <xf numFmtId="0" fontId="4" fillId="0" borderId="0" xfId="0" applyFont="1" applyAlignment="1">
      <alignment/>
    </xf>
    <xf numFmtId="0" fontId="15" fillId="2" borderId="13" xfId="22" applyFont="1" applyFill="1" applyBorder="1" applyAlignment="1" applyProtection="1">
      <alignment horizontal="left"/>
      <protection locked="0"/>
    </xf>
    <xf numFmtId="170" fontId="14" fillId="0" borderId="31" xfId="21" applyNumberFormat="1" applyFont="1" applyBorder="1" applyAlignment="1" applyProtection="1">
      <alignment horizontal="center" vertical="center"/>
      <protection locked="0"/>
    </xf>
    <xf numFmtId="170" fontId="14" fillId="0" borderId="13" xfId="21" applyNumberFormat="1" applyFont="1" applyBorder="1" applyAlignment="1" applyProtection="1">
      <alignment horizontal="center" vertical="center"/>
      <protection locked="0"/>
    </xf>
    <xf numFmtId="170" fontId="14" fillId="0" borderId="32" xfId="21" applyNumberFormat="1" applyFont="1" applyBorder="1" applyAlignment="1" applyProtection="1">
      <alignment horizontal="center" vertical="center"/>
      <protection locked="0"/>
    </xf>
    <xf numFmtId="170" fontId="14" fillId="0" borderId="33" xfId="21" applyNumberFormat="1" applyFont="1" applyBorder="1" applyAlignment="1" applyProtection="1">
      <alignment horizontal="center" vertical="center"/>
      <protection/>
    </xf>
    <xf numFmtId="170" fontId="14" fillId="0" borderId="24" xfId="21" applyNumberFormat="1" applyFont="1" applyBorder="1" applyAlignment="1" applyProtection="1">
      <alignment horizontal="center" vertical="center"/>
      <protection/>
    </xf>
    <xf numFmtId="170" fontId="14" fillId="0" borderId="34" xfId="21" applyNumberFormat="1" applyFont="1" applyBorder="1" applyAlignment="1" applyProtection="1">
      <alignment horizontal="center" vertical="center"/>
      <protection/>
    </xf>
    <xf numFmtId="0" fontId="0" fillId="0" borderId="14" xfId="21" applyFont="1" applyBorder="1" applyAlignment="1">
      <alignment horizontal="center"/>
      <protection/>
    </xf>
    <xf numFmtId="0" fontId="0" fillId="0" borderId="14" xfId="21" applyFont="1" applyBorder="1" applyAlignment="1">
      <alignment horizontal="left"/>
      <protection/>
    </xf>
    <xf numFmtId="0" fontId="0" fillId="0" borderId="0" xfId="21" applyFont="1" applyBorder="1" applyAlignment="1">
      <alignment horizontal="left"/>
      <protection/>
    </xf>
    <xf numFmtId="0" fontId="0" fillId="0" borderId="0" xfId="21" applyFont="1" applyAlignment="1" applyProtection="1">
      <alignment horizontal="center"/>
      <protection/>
    </xf>
    <xf numFmtId="2" fontId="0" fillId="0" borderId="47" xfId="21" applyNumberFormat="1" applyFont="1" applyBorder="1" applyAlignment="1" applyProtection="1">
      <alignment horizontal="center"/>
      <protection/>
    </xf>
    <xf numFmtId="0" fontId="0" fillId="0" borderId="13" xfId="21" applyFont="1" applyBorder="1" applyAlignment="1" applyProtection="1">
      <alignment horizontal="right"/>
      <protection/>
    </xf>
    <xf numFmtId="0" fontId="0" fillId="0" borderId="13" xfId="0" applyBorder="1" applyAlignment="1">
      <alignment horizontal="right"/>
    </xf>
    <xf numFmtId="0" fontId="0" fillId="0" borderId="0" xfId="0" applyAlignment="1">
      <alignment horizontal="right"/>
    </xf>
    <xf numFmtId="3" fontId="0" fillId="0" borderId="47" xfId="21" applyNumberFormat="1" applyFont="1" applyBorder="1" applyAlignment="1" applyProtection="1">
      <alignment horizontal="center"/>
      <protection/>
    </xf>
    <xf numFmtId="0" fontId="0" fillId="0" borderId="31" xfId="21" applyFont="1" applyBorder="1" applyAlignment="1" applyProtection="1">
      <alignment horizontal="center"/>
      <protection locked="0"/>
    </xf>
    <xf numFmtId="0" fontId="0" fillId="0" borderId="13" xfId="21" applyFont="1" applyBorder="1" applyAlignment="1" applyProtection="1">
      <alignment horizontal="center"/>
      <protection locked="0"/>
    </xf>
    <xf numFmtId="0" fontId="0" fillId="0" borderId="32" xfId="21" applyFont="1" applyBorder="1" applyAlignment="1" applyProtection="1">
      <alignment horizontal="center"/>
      <protection locked="0"/>
    </xf>
    <xf numFmtId="0" fontId="0" fillId="0" borderId="33" xfId="21" applyFont="1" applyBorder="1" applyAlignment="1" applyProtection="1">
      <alignment horizontal="center"/>
      <protection locked="0"/>
    </xf>
    <xf numFmtId="0" fontId="0" fillId="0" borderId="34" xfId="21" applyFont="1" applyBorder="1" applyAlignment="1" applyProtection="1">
      <alignment horizontal="center"/>
      <protection locked="0"/>
    </xf>
    <xf numFmtId="0" fontId="0" fillId="0" borderId="31" xfId="21" applyFont="1" applyBorder="1" applyAlignment="1">
      <alignment horizontal="center" vertical="center"/>
      <protection/>
    </xf>
    <xf numFmtId="0" fontId="0" fillId="0" borderId="13" xfId="21" applyFont="1" applyBorder="1" applyAlignment="1">
      <alignment horizontal="center" vertical="center"/>
      <protection/>
    </xf>
    <xf numFmtId="0" fontId="0" fillId="0" borderId="32" xfId="21" applyFont="1" applyBorder="1" applyAlignment="1">
      <alignment horizontal="center" vertical="center"/>
      <protection/>
    </xf>
    <xf numFmtId="0" fontId="0" fillId="0" borderId="31" xfId="21" applyFont="1" applyBorder="1" applyAlignment="1">
      <alignment horizontal="center" wrapText="1"/>
      <protection/>
    </xf>
    <xf numFmtId="0" fontId="0" fillId="0" borderId="13" xfId="21" applyFont="1" applyBorder="1" applyAlignment="1">
      <alignment horizontal="center" wrapText="1"/>
      <protection/>
    </xf>
    <xf numFmtId="0" fontId="0" fillId="0" borderId="32" xfId="21" applyFont="1" applyBorder="1" applyAlignment="1">
      <alignment horizontal="center" wrapText="1"/>
      <protection/>
    </xf>
    <xf numFmtId="0" fontId="0" fillId="0" borderId="0" xfId="0" applyAlignment="1">
      <alignment horizontal="center" wrapText="1"/>
    </xf>
    <xf numFmtId="0" fontId="0" fillId="0" borderId="31" xfId="21" applyFont="1" applyBorder="1" applyAlignment="1" applyProtection="1">
      <alignment horizontal="right"/>
      <protection locked="0"/>
    </xf>
    <xf numFmtId="0" fontId="0" fillId="0" borderId="13" xfId="21" applyFont="1" applyBorder="1" applyAlignment="1" applyProtection="1">
      <alignment horizontal="right"/>
      <protection locked="0"/>
    </xf>
    <xf numFmtId="0" fontId="0" fillId="0" borderId="33" xfId="21" applyFont="1" applyBorder="1" applyAlignment="1" applyProtection="1">
      <alignment horizontal="right"/>
      <protection locked="0"/>
    </xf>
    <xf numFmtId="0" fontId="0" fillId="0" borderId="24" xfId="21" applyFont="1" applyBorder="1" applyAlignment="1" applyProtection="1">
      <alignment horizontal="right"/>
      <protection locked="0"/>
    </xf>
    <xf numFmtId="0" fontId="0" fillId="0" borderId="47" xfId="21" applyFont="1" applyBorder="1" applyAlignment="1" applyProtection="1">
      <alignment horizontal="center"/>
      <protection/>
    </xf>
    <xf numFmtId="0" fontId="0" fillId="0" borderId="47" xfId="21" applyFont="1" applyBorder="1" applyAlignment="1" applyProtection="1">
      <alignment horizontal="left"/>
      <protection/>
    </xf>
    <xf numFmtId="0" fontId="0" fillId="0" borderId="13" xfId="22" applyFont="1" applyBorder="1" applyAlignment="1" applyProtection="1">
      <alignment horizontal="right"/>
      <protection/>
    </xf>
    <xf numFmtId="0" fontId="0" fillId="0" borderId="24" xfId="22" applyFont="1" applyBorder="1" applyAlignment="1" applyProtection="1">
      <alignment horizontal="right"/>
      <protection/>
    </xf>
    <xf numFmtId="0" fontId="0" fillId="0" borderId="24" xfId="21" applyFont="1" applyBorder="1" applyAlignment="1" applyProtection="1">
      <alignment horizontal="right"/>
      <protection/>
    </xf>
    <xf numFmtId="0" fontId="0" fillId="0" borderId="31" xfId="21" applyFont="1" applyBorder="1" applyAlignment="1" applyProtection="1">
      <alignment horizontal="left"/>
      <protection/>
    </xf>
    <xf numFmtId="0" fontId="0" fillId="0" borderId="13" xfId="0" applyFont="1" applyBorder="1" applyAlignment="1" applyProtection="1">
      <alignment horizontal="left"/>
      <protection/>
    </xf>
    <xf numFmtId="0" fontId="0" fillId="0" borderId="33" xfId="0" applyFont="1" applyBorder="1" applyAlignment="1" applyProtection="1">
      <alignment horizontal="left"/>
      <protection/>
    </xf>
    <xf numFmtId="0" fontId="0" fillId="0" borderId="13" xfId="22" applyFont="1" applyBorder="1" applyAlignment="1" applyProtection="1">
      <alignment horizontal="left"/>
      <protection/>
    </xf>
    <xf numFmtId="0" fontId="0" fillId="0" borderId="32" xfId="22" applyFont="1" applyBorder="1" applyAlignment="1" applyProtection="1">
      <alignment horizontal="left"/>
      <protection/>
    </xf>
    <xf numFmtId="0" fontId="0" fillId="0" borderId="24" xfId="22" applyFont="1" applyBorder="1" applyAlignment="1" applyProtection="1">
      <alignment horizontal="left"/>
      <protection/>
    </xf>
    <xf numFmtId="0" fontId="0" fillId="0" borderId="34" xfId="22" applyFont="1" applyBorder="1" applyAlignment="1" applyProtection="1">
      <alignment horizontal="left"/>
      <protection/>
    </xf>
    <xf numFmtId="0" fontId="0" fillId="0" borderId="47" xfId="21" applyFont="1" applyBorder="1" applyAlignment="1" applyProtection="1">
      <alignment horizontal="center" wrapText="1"/>
      <protection/>
    </xf>
    <xf numFmtId="0" fontId="0" fillId="0" borderId="13" xfId="22" applyFont="1" applyBorder="1" applyAlignment="1" applyProtection="1" quotePrefix="1">
      <alignment horizontal="left"/>
      <protection/>
    </xf>
    <xf numFmtId="0" fontId="0" fillId="0" borderId="13" xfId="21" applyFont="1" applyBorder="1" applyAlignment="1" applyProtection="1">
      <alignment horizontal="center" vertical="justify"/>
      <protection/>
    </xf>
    <xf numFmtId="0" fontId="0" fillId="0" borderId="0" xfId="21" applyFont="1" applyBorder="1" applyAlignment="1" applyProtection="1">
      <alignment horizontal="center" vertical="justify"/>
      <protection/>
    </xf>
    <xf numFmtId="167" fontId="0" fillId="0" borderId="47" xfId="21" applyNumberFormat="1" applyFont="1" applyBorder="1" applyAlignment="1" applyProtection="1">
      <alignment horizontal="center"/>
      <protection/>
    </xf>
    <xf numFmtId="0" fontId="0" fillId="0" borderId="0" xfId="21" applyFont="1" applyBorder="1" applyAlignment="1" applyProtection="1">
      <alignment horizontal="center" wrapText="1"/>
      <protection/>
    </xf>
    <xf numFmtId="0" fontId="0" fillId="0" borderId="15" xfId="21" applyFont="1" applyBorder="1" applyAlignment="1" applyProtection="1">
      <alignment horizontal="center" wrapText="1"/>
      <protection/>
    </xf>
    <xf numFmtId="0" fontId="0" fillId="0" borderId="33" xfId="21" applyFont="1" applyBorder="1" applyAlignment="1" applyProtection="1">
      <alignment horizontal="center" wrapText="1"/>
      <protection/>
    </xf>
    <xf numFmtId="0" fontId="0" fillId="0" borderId="24" xfId="21" applyFont="1" applyBorder="1" applyAlignment="1" applyProtection="1">
      <alignment horizontal="center" wrapText="1"/>
      <protection/>
    </xf>
    <xf numFmtId="0" fontId="0" fillId="0" borderId="34" xfId="21" applyFont="1" applyBorder="1" applyAlignment="1" applyProtection="1">
      <alignment horizontal="center" wrapText="1"/>
      <protection/>
    </xf>
    <xf numFmtId="0" fontId="0" fillId="0" borderId="21" xfId="21" applyFont="1" applyBorder="1" applyAlignment="1">
      <alignment horizontal="center" vertical="center"/>
      <protection/>
    </xf>
    <xf numFmtId="0" fontId="0" fillId="0" borderId="5" xfId="21" applyFont="1" applyBorder="1" applyAlignment="1">
      <alignment horizontal="center" vertical="center"/>
      <protection/>
    </xf>
    <xf numFmtId="0" fontId="0" fillId="0" borderId="58" xfId="21" applyFont="1" applyBorder="1" applyAlignment="1">
      <alignment horizontal="center" vertical="center"/>
      <protection/>
    </xf>
    <xf numFmtId="0" fontId="0" fillId="0" borderId="33" xfId="21" applyFont="1" applyBorder="1" applyAlignment="1" applyProtection="1">
      <alignment horizontal="left"/>
      <protection/>
    </xf>
    <xf numFmtId="2" fontId="0" fillId="0" borderId="13" xfId="21" applyNumberFormat="1" applyFont="1" applyBorder="1" applyAlignment="1" applyProtection="1">
      <alignment horizontal="center"/>
      <protection/>
    </xf>
    <xf numFmtId="170" fontId="0" fillId="0" borderId="47" xfId="21" applyNumberFormat="1" applyFont="1" applyBorder="1" applyAlignment="1" applyProtection="1" quotePrefix="1">
      <alignment horizontal="center"/>
      <protection locked="0"/>
    </xf>
    <xf numFmtId="0" fontId="0" fillId="0" borderId="33" xfId="21" applyFont="1" applyBorder="1" applyAlignment="1">
      <alignment horizontal="center"/>
      <protection/>
    </xf>
    <xf numFmtId="0" fontId="0" fillId="0" borderId="34" xfId="21" applyFont="1" applyBorder="1" applyAlignment="1">
      <alignment horizontal="center"/>
      <protection/>
    </xf>
    <xf numFmtId="167" fontId="0" fillId="0" borderId="47" xfId="21" applyNumberFormat="1" applyFont="1" applyBorder="1" applyAlignment="1">
      <alignment horizontal="center"/>
      <protection/>
    </xf>
    <xf numFmtId="0" fontId="0" fillId="0" borderId="31" xfId="21" applyFont="1" applyBorder="1" applyAlignment="1">
      <alignment horizontal="center"/>
      <protection/>
    </xf>
    <xf numFmtId="0" fontId="0" fillId="0" borderId="32" xfId="21" applyFont="1" applyBorder="1" applyAlignment="1">
      <alignment horizontal="center"/>
      <protection/>
    </xf>
    <xf numFmtId="0" fontId="0" fillId="0" borderId="15" xfId="21" applyFont="1" applyBorder="1" applyAlignment="1">
      <alignment horizontal="center"/>
      <protection/>
    </xf>
    <xf numFmtId="3" fontId="0" fillId="0" borderId="31" xfId="21" applyNumberFormat="1" applyFont="1" applyBorder="1" applyAlignment="1" applyProtection="1">
      <alignment horizontal="center" vertical="center"/>
      <protection/>
    </xf>
    <xf numFmtId="3" fontId="0" fillId="0" borderId="13" xfId="21" applyNumberFormat="1" applyFont="1" applyBorder="1" applyAlignment="1" applyProtection="1">
      <alignment horizontal="center" vertical="center"/>
      <protection/>
    </xf>
    <xf numFmtId="3" fontId="0" fillId="0" borderId="32" xfId="21" applyNumberFormat="1" applyFont="1" applyBorder="1" applyAlignment="1" applyProtection="1">
      <alignment horizontal="center" vertical="center"/>
      <protection/>
    </xf>
    <xf numFmtId="3" fontId="0" fillId="0" borderId="33" xfId="21" applyNumberFormat="1" applyFont="1" applyBorder="1" applyAlignment="1" applyProtection="1">
      <alignment horizontal="center" vertical="center"/>
      <protection/>
    </xf>
    <xf numFmtId="3" fontId="0" fillId="0" borderId="24" xfId="21" applyNumberFormat="1" applyFont="1" applyBorder="1" applyAlignment="1" applyProtection="1">
      <alignment horizontal="center" vertical="center"/>
      <protection/>
    </xf>
    <xf numFmtId="3" fontId="0" fillId="0" borderId="34" xfId="21" applyNumberFormat="1" applyFont="1" applyBorder="1" applyAlignment="1" applyProtection="1">
      <alignment horizontal="center" vertical="center"/>
      <protection/>
    </xf>
    <xf numFmtId="0" fontId="0" fillId="0" borderId="0" xfId="21" applyFont="1" applyBorder="1" applyAlignment="1">
      <alignment horizontal="center" vertical="center"/>
      <protection/>
    </xf>
    <xf numFmtId="3" fontId="0" fillId="0" borderId="31" xfId="21" applyNumberFormat="1" applyFont="1" applyBorder="1" applyAlignment="1">
      <alignment horizontal="center"/>
      <protection/>
    </xf>
    <xf numFmtId="3" fontId="0" fillId="0" borderId="13" xfId="21" applyNumberFormat="1" applyFont="1" applyBorder="1" applyAlignment="1">
      <alignment horizontal="center"/>
      <protection/>
    </xf>
    <xf numFmtId="3" fontId="0" fillId="0" borderId="32" xfId="21" applyNumberFormat="1" applyFont="1" applyBorder="1" applyAlignment="1">
      <alignment horizontal="center"/>
      <protection/>
    </xf>
    <xf numFmtId="3" fontId="0" fillId="0" borderId="33" xfId="21" applyNumberFormat="1" applyFont="1" applyBorder="1" applyAlignment="1">
      <alignment horizontal="center"/>
      <protection/>
    </xf>
    <xf numFmtId="3" fontId="0" fillId="0" borderId="24" xfId="21" applyNumberFormat="1" applyFont="1" applyBorder="1" applyAlignment="1">
      <alignment horizontal="center"/>
      <protection/>
    </xf>
    <xf numFmtId="3" fontId="0" fillId="0" borderId="34" xfId="21" applyNumberFormat="1" applyFont="1" applyBorder="1" applyAlignment="1">
      <alignment horizontal="center"/>
      <protection/>
    </xf>
    <xf numFmtId="0" fontId="0" fillId="0" borderId="59" xfId="21" applyFont="1" applyBorder="1" applyAlignment="1">
      <alignment horizontal="center" vertical="center"/>
      <protection/>
    </xf>
    <xf numFmtId="0" fontId="0" fillId="0" borderId="60" xfId="21" applyFont="1" applyBorder="1" applyAlignment="1">
      <alignment horizontal="center" vertical="center"/>
      <protection/>
    </xf>
    <xf numFmtId="0" fontId="0" fillId="0" borderId="61" xfId="21" applyFont="1" applyBorder="1" applyAlignment="1">
      <alignment horizontal="center" vertical="center"/>
      <protection/>
    </xf>
    <xf numFmtId="0" fontId="0" fillId="0" borderId="62" xfId="21" applyFont="1" applyBorder="1" applyAlignment="1">
      <alignment horizontal="center" vertical="center"/>
      <protection/>
    </xf>
    <xf numFmtId="0" fontId="0" fillId="0" borderId="63" xfId="21" applyFont="1" applyBorder="1" applyAlignment="1">
      <alignment horizontal="center" vertical="center"/>
      <protection/>
    </xf>
    <xf numFmtId="0" fontId="0" fillId="0" borderId="64" xfId="21" applyFont="1" applyBorder="1" applyAlignment="1">
      <alignment horizontal="center" vertical="center"/>
      <protection/>
    </xf>
    <xf numFmtId="0" fontId="4" fillId="0" borderId="0" xfId="21" applyFont="1" applyAlignment="1">
      <alignment horizontal="center" vertical="center"/>
      <protection/>
    </xf>
    <xf numFmtId="0" fontId="4" fillId="0" borderId="24" xfId="21" applyFont="1" applyBorder="1" applyAlignment="1">
      <alignment horizontal="center" vertical="center"/>
      <protection/>
    </xf>
    <xf numFmtId="3" fontId="0" fillId="0" borderId="31" xfId="21" applyNumberFormat="1" applyFont="1" applyBorder="1" applyAlignment="1" applyProtection="1">
      <alignment horizontal="center"/>
      <protection/>
    </xf>
    <xf numFmtId="3" fontId="0" fillId="0" borderId="13" xfId="21" applyNumberFormat="1" applyFont="1" applyBorder="1" applyAlignment="1" applyProtection="1">
      <alignment horizontal="center"/>
      <protection/>
    </xf>
    <xf numFmtId="3" fontId="0" fillId="0" borderId="32" xfId="21" applyNumberFormat="1" applyFont="1" applyBorder="1" applyAlignment="1" applyProtection="1">
      <alignment horizontal="center"/>
      <protection/>
    </xf>
    <xf numFmtId="3" fontId="0" fillId="0" borderId="33" xfId="21" applyNumberFormat="1" applyFont="1" applyBorder="1" applyAlignment="1" applyProtection="1">
      <alignment horizontal="center"/>
      <protection/>
    </xf>
    <xf numFmtId="3" fontId="0" fillId="0" borderId="24" xfId="21" applyNumberFormat="1" applyFont="1" applyBorder="1" applyAlignment="1" applyProtection="1">
      <alignment horizontal="center"/>
      <protection/>
    </xf>
    <xf numFmtId="3" fontId="0" fillId="0" borderId="34" xfId="21" applyNumberFormat="1" applyFont="1" applyBorder="1" applyAlignment="1" applyProtection="1">
      <alignment horizontal="center"/>
      <protection/>
    </xf>
    <xf numFmtId="0" fontId="0" fillId="0" borderId="33" xfId="21" applyFont="1" applyBorder="1" applyAlignment="1">
      <alignment horizontal="center" vertical="center"/>
      <protection/>
    </xf>
    <xf numFmtId="0" fontId="0" fillId="0" borderId="24" xfId="21" applyFont="1" applyBorder="1" applyAlignment="1">
      <alignment horizontal="center" vertical="center"/>
      <protection/>
    </xf>
    <xf numFmtId="0" fontId="0" fillId="0" borderId="34" xfId="21" applyFont="1" applyBorder="1" applyAlignment="1">
      <alignment horizontal="center" vertical="center"/>
      <protection/>
    </xf>
    <xf numFmtId="0" fontId="0" fillId="0" borderId="31" xfId="21" applyFont="1" applyBorder="1" applyAlignment="1" applyProtection="1">
      <alignment horizontal="center"/>
      <protection/>
    </xf>
    <xf numFmtId="0" fontId="26" fillId="0" borderId="0" xfId="24" applyFont="1" applyBorder="1" applyAlignment="1">
      <alignment horizontal="center" vertical="center"/>
      <protection/>
    </xf>
    <xf numFmtId="0" fontId="15" fillId="0" borderId="0" xfId="22" applyFont="1" applyAlignment="1">
      <alignment horizontal="left"/>
      <protection/>
    </xf>
    <xf numFmtId="0" fontId="15" fillId="0" borderId="0" xfId="22" applyNumberFormat="1" applyFont="1" applyBorder="1" applyAlignment="1" applyProtection="1">
      <alignment horizontal="left"/>
      <protection/>
    </xf>
    <xf numFmtId="0" fontId="0" fillId="0" borderId="0" xfId="0" applyBorder="1" applyAlignment="1" applyProtection="1">
      <alignment horizontal="left"/>
      <protection/>
    </xf>
    <xf numFmtId="0" fontId="0" fillId="0" borderId="24" xfId="0" applyBorder="1" applyAlignment="1" applyProtection="1">
      <alignment horizontal="left"/>
      <protection/>
    </xf>
    <xf numFmtId="0" fontId="15" fillId="0" borderId="13" xfId="22" applyNumberFormat="1" applyFont="1" applyBorder="1" applyAlignment="1" applyProtection="1">
      <alignment horizontal="left"/>
      <protection/>
    </xf>
    <xf numFmtId="0" fontId="0" fillId="0" borderId="13" xfId="0" applyBorder="1" applyAlignment="1" applyProtection="1">
      <alignment horizontal="left"/>
      <protection/>
    </xf>
    <xf numFmtId="0" fontId="0" fillId="0" borderId="13" xfId="0" applyBorder="1" applyAlignment="1">
      <alignment horizontal="left"/>
    </xf>
    <xf numFmtId="0" fontId="15" fillId="0" borderId="0" xfId="22" applyFont="1" applyAlignment="1" applyProtection="1">
      <alignment horizontal="left"/>
      <protection/>
    </xf>
    <xf numFmtId="0" fontId="0" fillId="0" borderId="0" xfId="0" applyAlignment="1" applyProtection="1">
      <alignment/>
      <protection/>
    </xf>
    <xf numFmtId="0" fontId="0" fillId="0" borderId="13" xfId="22" applyFont="1" applyBorder="1" applyAlignment="1">
      <alignment horizontal="left" vertical="center" wrapText="1"/>
      <protection/>
    </xf>
    <xf numFmtId="0" fontId="0" fillId="0" borderId="13"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0" xfId="21" applyFont="1" applyBorder="1" applyAlignment="1" applyProtection="1">
      <alignment horizontal="left" wrapText="1"/>
      <protection/>
    </xf>
    <xf numFmtId="0" fontId="0" fillId="0" borderId="33" xfId="21" applyFont="1" applyBorder="1" applyAlignment="1" applyProtection="1">
      <alignment horizontal="center" vertical="center"/>
      <protection/>
    </xf>
    <xf numFmtId="0" fontId="0" fillId="0" borderId="24" xfId="21" applyFont="1" applyBorder="1" applyAlignment="1" applyProtection="1">
      <alignment horizontal="center" vertical="center"/>
      <protection/>
    </xf>
    <xf numFmtId="0" fontId="0" fillId="0" borderId="34" xfId="21" applyFont="1" applyBorder="1" applyAlignment="1" applyProtection="1">
      <alignment horizontal="center" vertical="center"/>
      <protection/>
    </xf>
    <xf numFmtId="0" fontId="0" fillId="0" borderId="31"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1" xfId="0" applyFont="1" applyBorder="1" applyAlignment="1" applyProtection="1">
      <alignment horizontal="center"/>
      <protection/>
    </xf>
    <xf numFmtId="0" fontId="0" fillId="0" borderId="13"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24" xfId="0" applyBorder="1" applyAlignment="1" applyProtection="1">
      <alignment horizontal="center"/>
      <protection/>
    </xf>
    <xf numFmtId="0" fontId="0" fillId="0" borderId="34" xfId="0" applyBorder="1" applyAlignment="1" applyProtection="1">
      <alignment horizontal="center"/>
      <protection/>
    </xf>
    <xf numFmtId="0" fontId="0" fillId="0" borderId="0" xfId="21" applyFont="1" applyBorder="1" applyAlignment="1" applyProtection="1">
      <alignment horizontal="left"/>
      <protection locked="0"/>
    </xf>
    <xf numFmtId="0" fontId="0" fillId="0" borderId="24" xfId="21" applyFont="1" applyBorder="1" applyAlignment="1" applyProtection="1">
      <alignment horizontal="left"/>
      <protection locked="0"/>
    </xf>
    <xf numFmtId="0" fontId="0" fillId="0" borderId="13" xfId="21" applyFont="1" applyBorder="1" applyAlignment="1">
      <alignment horizontal="right"/>
      <protection/>
    </xf>
    <xf numFmtId="0" fontId="0" fillId="0" borderId="13" xfId="21" applyFont="1" applyBorder="1" applyAlignment="1" applyProtection="1">
      <alignment horizontal="left"/>
      <protection locked="0"/>
    </xf>
    <xf numFmtId="0" fontId="28" fillId="0" borderId="0" xfId="21" applyFont="1" applyAlignment="1">
      <alignment horizontal="left"/>
      <protection/>
    </xf>
    <xf numFmtId="3" fontId="0" fillId="0" borderId="47" xfId="21" applyNumberFormat="1" applyFont="1" applyBorder="1" applyAlignment="1" applyProtection="1">
      <alignment horizontal="center"/>
      <protection locked="0"/>
    </xf>
    <xf numFmtId="0" fontId="0" fillId="0" borderId="0" xfId="0" applyAlignment="1">
      <alignment wrapText="1"/>
    </xf>
    <xf numFmtId="0" fontId="0" fillId="0" borderId="0" xfId="21" applyFont="1" applyAlignment="1" applyProtection="1">
      <alignment/>
      <protection/>
    </xf>
    <xf numFmtId="0" fontId="0" fillId="0" borderId="31" xfId="22" applyFont="1" applyBorder="1" applyAlignment="1" applyProtection="1">
      <alignment horizontal="left"/>
      <protection/>
    </xf>
    <xf numFmtId="0" fontId="0" fillId="0" borderId="14" xfId="22" applyFont="1" applyBorder="1" applyAlignment="1" applyProtection="1">
      <alignment horizontal="left"/>
      <protection/>
    </xf>
    <xf numFmtId="0" fontId="0" fillId="0" borderId="0" xfId="22" applyFont="1" applyBorder="1" applyAlignment="1" applyProtection="1">
      <alignment horizontal="left"/>
      <protection/>
    </xf>
    <xf numFmtId="0" fontId="0" fillId="0" borderId="0" xfId="21" applyFont="1" applyAlignment="1" applyProtection="1">
      <alignment horizontal="center" wrapText="1"/>
      <protection/>
    </xf>
    <xf numFmtId="0" fontId="0" fillId="0" borderId="32" xfId="0" applyBorder="1" applyAlignment="1">
      <alignment/>
    </xf>
    <xf numFmtId="0" fontId="0" fillId="0" borderId="34" xfId="0" applyBorder="1" applyAlignment="1">
      <alignment/>
    </xf>
    <xf numFmtId="0" fontId="15" fillId="0" borderId="0" xfId="21" applyFont="1" applyAlignment="1">
      <alignment horizontal="right"/>
      <protection/>
    </xf>
    <xf numFmtId="0" fontId="15" fillId="0" borderId="0" xfId="21" applyFont="1" applyAlignment="1">
      <alignment horizontal="right" vertical="center"/>
      <protection/>
    </xf>
    <xf numFmtId="0" fontId="0" fillId="0" borderId="33" xfId="0" applyBorder="1" applyAlignment="1">
      <alignment horizontal="left"/>
    </xf>
    <xf numFmtId="0" fontId="6" fillId="0" borderId="14" xfId="23" applyBorder="1" applyAlignment="1">
      <alignment horizontal="center"/>
      <protection/>
    </xf>
    <xf numFmtId="0" fontId="6" fillId="0" borderId="15" xfId="23" applyBorder="1" applyAlignment="1">
      <alignment horizontal="center"/>
      <protection/>
    </xf>
    <xf numFmtId="0" fontId="6" fillId="0" borderId="0" xfId="23" applyBorder="1" applyAlignment="1">
      <alignment horizontal="center"/>
      <protection/>
    </xf>
    <xf numFmtId="0" fontId="6" fillId="0" borderId="14" xfId="23" applyFont="1" applyBorder="1" applyAlignment="1">
      <alignment horizontal="center"/>
      <protection/>
    </xf>
    <xf numFmtId="0" fontId="6" fillId="0" borderId="15" xfId="23" applyFont="1" applyBorder="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diversion2" xfId="21"/>
    <cellStyle name="Normal_eng 8" xfId="22"/>
    <cellStyle name="Normal_stockpond" xfId="23"/>
    <cellStyle name="Normal_waterways" xfId="24"/>
    <cellStyle name="Percent" xfId="25"/>
  </cellStyles>
  <dxfs count="1">
    <dxf>
      <font>
        <strik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47625</xdr:colOff>
      <xdr:row>4</xdr:row>
      <xdr:rowOff>0</xdr:rowOff>
    </xdr:from>
    <xdr:to>
      <xdr:col>33</xdr:col>
      <xdr:colOff>28575</xdr:colOff>
      <xdr:row>7</xdr:row>
      <xdr:rowOff>9525</xdr:rowOff>
    </xdr:to>
    <xdr:pic>
      <xdr:nvPicPr>
        <xdr:cNvPr id="1" name="ComboBox1"/>
        <xdr:cNvPicPr preferRelativeResize="1">
          <a:picLocks noChangeAspect="1"/>
        </xdr:cNvPicPr>
      </xdr:nvPicPr>
      <xdr:blipFill>
        <a:blip r:embed="rId1"/>
        <a:stretch>
          <a:fillRect/>
        </a:stretch>
      </xdr:blipFill>
      <xdr:spPr>
        <a:xfrm>
          <a:off x="5972175" y="590550"/>
          <a:ext cx="161925" cy="200025"/>
        </a:xfrm>
        <a:prstGeom prst="rect">
          <a:avLst/>
        </a:prstGeom>
        <a:noFill/>
        <a:ln w="9525" cmpd="sng">
          <a:noFill/>
        </a:ln>
      </xdr:spPr>
    </xdr:pic>
    <xdr:clientData fPrintsWithSheet="0"/>
  </xdr:twoCellAnchor>
  <xdr:twoCellAnchor editAs="oneCell">
    <xdr:from>
      <xdr:col>35</xdr:col>
      <xdr:colOff>38100</xdr:colOff>
      <xdr:row>2</xdr:row>
      <xdr:rowOff>104775</xdr:rowOff>
    </xdr:from>
    <xdr:to>
      <xdr:col>39</xdr:col>
      <xdr:colOff>85725</xdr:colOff>
      <xdr:row>5</xdr:row>
      <xdr:rowOff>123825</xdr:rowOff>
    </xdr:to>
    <xdr:pic>
      <xdr:nvPicPr>
        <xdr:cNvPr id="2" name="CommandButton1"/>
        <xdr:cNvPicPr preferRelativeResize="1">
          <a:picLocks noChangeAspect="1"/>
        </xdr:cNvPicPr>
      </xdr:nvPicPr>
      <xdr:blipFill>
        <a:blip r:embed="rId2"/>
        <a:stretch>
          <a:fillRect/>
        </a:stretch>
      </xdr:blipFill>
      <xdr:spPr>
        <a:xfrm>
          <a:off x="6505575" y="428625"/>
          <a:ext cx="771525"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285750</xdr:colOff>
      <xdr:row>1</xdr:row>
      <xdr:rowOff>85725</xdr:rowOff>
    </xdr:from>
    <xdr:to>
      <xdr:col>32</xdr:col>
      <xdr:colOff>66675</xdr:colOff>
      <xdr:row>3</xdr:row>
      <xdr:rowOff>57150</xdr:rowOff>
    </xdr:to>
    <xdr:pic>
      <xdr:nvPicPr>
        <xdr:cNvPr id="1" name="CommandButton3"/>
        <xdr:cNvPicPr preferRelativeResize="1">
          <a:picLocks noChangeAspect="1"/>
        </xdr:cNvPicPr>
      </xdr:nvPicPr>
      <xdr:blipFill>
        <a:blip r:embed="rId1"/>
        <a:stretch>
          <a:fillRect/>
        </a:stretch>
      </xdr:blipFill>
      <xdr:spPr>
        <a:xfrm>
          <a:off x="7239000" y="247650"/>
          <a:ext cx="781050" cy="3048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7</xdr:row>
      <xdr:rowOff>133350</xdr:rowOff>
    </xdr:from>
    <xdr:to>
      <xdr:col>13</xdr:col>
      <xdr:colOff>66675</xdr:colOff>
      <xdr:row>17</xdr:row>
      <xdr:rowOff>95250</xdr:rowOff>
    </xdr:to>
    <xdr:grpSp>
      <xdr:nvGrpSpPr>
        <xdr:cNvPr id="1" name="Group 1"/>
        <xdr:cNvGrpSpPr>
          <a:grpSpLocks/>
        </xdr:cNvGrpSpPr>
      </xdr:nvGrpSpPr>
      <xdr:grpSpPr>
        <a:xfrm>
          <a:off x="1076325" y="1600200"/>
          <a:ext cx="4038600" cy="1866900"/>
          <a:chOff x="78" y="99"/>
          <a:chExt cx="383" cy="166"/>
        </a:xfrm>
        <a:solidFill>
          <a:srgbClr val="FFFFFF"/>
        </a:solidFill>
      </xdr:grpSpPr>
      <xdr:sp>
        <xdr:nvSpPr>
          <xdr:cNvPr id="2" name="Line 2"/>
          <xdr:cNvSpPr>
            <a:spLocks/>
          </xdr:cNvSpPr>
        </xdr:nvSpPr>
        <xdr:spPr>
          <a:xfrm>
            <a:off x="78" y="153"/>
            <a:ext cx="383" cy="85"/>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41" y="167"/>
            <a:ext cx="64" cy="5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205" y="221"/>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V="1">
            <a:off x="269" y="136"/>
            <a:ext cx="64" cy="8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333" y="136"/>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397" y="136"/>
            <a:ext cx="64" cy="10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51" y="184"/>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51" y="204"/>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01" y="18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V="1">
            <a:off x="322" y="159"/>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405" y="163"/>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405" y="18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206" y="22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268" y="226"/>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flipV="1">
            <a:off x="334" y="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V="1">
            <a:off x="396" y="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156" y="247"/>
            <a:ext cx="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flipH="1">
            <a:off x="269" y="247"/>
            <a:ext cx="5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295" y="11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flipH="1">
            <a:off x="397" y="111"/>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flipH="1">
            <a:off x="236" y="135"/>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243" y="135"/>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243" y="171"/>
            <a:ext cx="0"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7</xdr:row>
      <xdr:rowOff>133350</xdr:rowOff>
    </xdr:from>
    <xdr:to>
      <xdr:col>13</xdr:col>
      <xdr:colOff>66675</xdr:colOff>
      <xdr:row>17</xdr:row>
      <xdr:rowOff>95250</xdr:rowOff>
    </xdr:to>
    <xdr:grpSp>
      <xdr:nvGrpSpPr>
        <xdr:cNvPr id="1" name="Group 1"/>
        <xdr:cNvGrpSpPr>
          <a:grpSpLocks/>
        </xdr:cNvGrpSpPr>
      </xdr:nvGrpSpPr>
      <xdr:grpSpPr>
        <a:xfrm>
          <a:off x="1076325" y="1600200"/>
          <a:ext cx="4038600" cy="1866900"/>
          <a:chOff x="78" y="99"/>
          <a:chExt cx="383" cy="166"/>
        </a:xfrm>
        <a:solidFill>
          <a:srgbClr val="FFFFFF"/>
        </a:solidFill>
      </xdr:grpSpPr>
      <xdr:sp>
        <xdr:nvSpPr>
          <xdr:cNvPr id="2" name="Line 2"/>
          <xdr:cNvSpPr>
            <a:spLocks/>
          </xdr:cNvSpPr>
        </xdr:nvSpPr>
        <xdr:spPr>
          <a:xfrm>
            <a:off x="78" y="153"/>
            <a:ext cx="383" cy="85"/>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41" y="167"/>
            <a:ext cx="64" cy="5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205" y="221"/>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V="1">
            <a:off x="269" y="136"/>
            <a:ext cx="64" cy="8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333" y="136"/>
            <a:ext cx="6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397" y="136"/>
            <a:ext cx="64" cy="10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51" y="184"/>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51" y="204"/>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01" y="18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V="1">
            <a:off x="322" y="159"/>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405" y="163"/>
            <a:ext cx="0" cy="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405" y="188"/>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206" y="22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268" y="226"/>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flipV="1">
            <a:off x="334" y="99"/>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V="1">
            <a:off x="396" y="99"/>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156" y="247"/>
            <a:ext cx="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flipH="1">
            <a:off x="269" y="247"/>
            <a:ext cx="5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295" y="11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flipH="1">
            <a:off x="397" y="111"/>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flipH="1">
            <a:off x="236" y="135"/>
            <a:ext cx="9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243" y="135"/>
            <a:ext cx="0" cy="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243" y="171"/>
            <a:ext cx="0" cy="4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xdr:colOff>
      <xdr:row>69</xdr:row>
      <xdr:rowOff>95250</xdr:rowOff>
    </xdr:from>
    <xdr:to>
      <xdr:col>97</xdr:col>
      <xdr:colOff>85725</xdr:colOff>
      <xdr:row>75</xdr:row>
      <xdr:rowOff>0</xdr:rowOff>
    </xdr:to>
    <xdr:sp>
      <xdr:nvSpPr>
        <xdr:cNvPr id="1" name="Line 2"/>
        <xdr:cNvSpPr>
          <a:spLocks/>
        </xdr:cNvSpPr>
      </xdr:nvSpPr>
      <xdr:spPr>
        <a:xfrm flipV="1">
          <a:off x="4829175" y="8096250"/>
          <a:ext cx="54197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68</xdr:row>
      <xdr:rowOff>0</xdr:rowOff>
    </xdr:from>
    <xdr:to>
      <xdr:col>56</xdr:col>
      <xdr:colOff>38100</xdr:colOff>
      <xdr:row>74</xdr:row>
      <xdr:rowOff>85725</xdr:rowOff>
    </xdr:to>
    <xdr:sp>
      <xdr:nvSpPr>
        <xdr:cNvPr id="2" name="Line 3"/>
        <xdr:cNvSpPr>
          <a:spLocks/>
        </xdr:cNvSpPr>
      </xdr:nvSpPr>
      <xdr:spPr>
        <a:xfrm flipV="1">
          <a:off x="5133975" y="7886700"/>
          <a:ext cx="7715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47625</xdr:colOff>
      <xdr:row>68</xdr:row>
      <xdr:rowOff>0</xdr:rowOff>
    </xdr:from>
    <xdr:to>
      <xdr:col>61</xdr:col>
      <xdr:colOff>0</xdr:colOff>
      <xdr:row>68</xdr:row>
      <xdr:rowOff>0</xdr:rowOff>
    </xdr:to>
    <xdr:sp>
      <xdr:nvSpPr>
        <xdr:cNvPr id="3" name="Line 4"/>
        <xdr:cNvSpPr>
          <a:spLocks/>
        </xdr:cNvSpPr>
      </xdr:nvSpPr>
      <xdr:spPr>
        <a:xfrm>
          <a:off x="5915025" y="78867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68</xdr:row>
      <xdr:rowOff>0</xdr:rowOff>
    </xdr:from>
    <xdr:to>
      <xdr:col>69</xdr:col>
      <xdr:colOff>57150</xdr:colOff>
      <xdr:row>75</xdr:row>
      <xdr:rowOff>95250</xdr:rowOff>
    </xdr:to>
    <xdr:sp>
      <xdr:nvSpPr>
        <xdr:cNvPr id="4" name="Line 5"/>
        <xdr:cNvSpPr>
          <a:spLocks/>
        </xdr:cNvSpPr>
      </xdr:nvSpPr>
      <xdr:spPr>
        <a:xfrm>
          <a:off x="6391275" y="7886700"/>
          <a:ext cx="89535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66675</xdr:colOff>
      <xdr:row>75</xdr:row>
      <xdr:rowOff>104775</xdr:rowOff>
    </xdr:from>
    <xdr:to>
      <xdr:col>86</xdr:col>
      <xdr:colOff>38100</xdr:colOff>
      <xdr:row>75</xdr:row>
      <xdr:rowOff>104775</xdr:rowOff>
    </xdr:to>
    <xdr:sp>
      <xdr:nvSpPr>
        <xdr:cNvPr id="5" name="Line 6"/>
        <xdr:cNvSpPr>
          <a:spLocks/>
        </xdr:cNvSpPr>
      </xdr:nvSpPr>
      <xdr:spPr>
        <a:xfrm>
          <a:off x="7296150" y="879157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28575</xdr:colOff>
      <xdr:row>70</xdr:row>
      <xdr:rowOff>0</xdr:rowOff>
    </xdr:from>
    <xdr:to>
      <xdr:col>97</xdr:col>
      <xdr:colOff>47625</xdr:colOff>
      <xdr:row>75</xdr:row>
      <xdr:rowOff>104775</xdr:rowOff>
    </xdr:to>
    <xdr:sp>
      <xdr:nvSpPr>
        <xdr:cNvPr id="6" name="Line 7"/>
        <xdr:cNvSpPr>
          <a:spLocks/>
        </xdr:cNvSpPr>
      </xdr:nvSpPr>
      <xdr:spPr>
        <a:xfrm flipV="1">
          <a:off x="9039225" y="8115300"/>
          <a:ext cx="117157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9525</xdr:colOff>
      <xdr:row>68</xdr:row>
      <xdr:rowOff>0</xdr:rowOff>
    </xdr:from>
    <xdr:to>
      <xdr:col>85</xdr:col>
      <xdr:colOff>28575</xdr:colOff>
      <xdr:row>68</xdr:row>
      <xdr:rowOff>0</xdr:rowOff>
    </xdr:to>
    <xdr:sp>
      <xdr:nvSpPr>
        <xdr:cNvPr id="7" name="Line 8"/>
        <xdr:cNvSpPr>
          <a:spLocks/>
        </xdr:cNvSpPr>
      </xdr:nvSpPr>
      <xdr:spPr>
        <a:xfrm>
          <a:off x="6505575" y="78867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76200</xdr:colOff>
      <xdr:row>73</xdr:row>
      <xdr:rowOff>0</xdr:rowOff>
    </xdr:from>
    <xdr:to>
      <xdr:col>74</xdr:col>
      <xdr:colOff>95250</xdr:colOff>
      <xdr:row>73</xdr:row>
      <xdr:rowOff>0</xdr:rowOff>
    </xdr:to>
    <xdr:sp>
      <xdr:nvSpPr>
        <xdr:cNvPr id="8" name="Line 9"/>
        <xdr:cNvSpPr>
          <a:spLocks/>
        </xdr:cNvSpPr>
      </xdr:nvSpPr>
      <xdr:spPr>
        <a:xfrm>
          <a:off x="7096125" y="84582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69</xdr:row>
      <xdr:rowOff>57150</xdr:rowOff>
    </xdr:from>
    <xdr:to>
      <xdr:col>80</xdr:col>
      <xdr:colOff>0</xdr:colOff>
      <xdr:row>69</xdr:row>
      <xdr:rowOff>57150</xdr:rowOff>
    </xdr:to>
    <xdr:sp>
      <xdr:nvSpPr>
        <xdr:cNvPr id="9" name="Line 10"/>
        <xdr:cNvSpPr>
          <a:spLocks/>
        </xdr:cNvSpPr>
      </xdr:nvSpPr>
      <xdr:spPr>
        <a:xfrm>
          <a:off x="7343775" y="80581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85725</xdr:colOff>
      <xdr:row>69</xdr:row>
      <xdr:rowOff>57150</xdr:rowOff>
    </xdr:from>
    <xdr:to>
      <xdr:col>70</xdr:col>
      <xdr:colOff>85725</xdr:colOff>
      <xdr:row>73</xdr:row>
      <xdr:rowOff>0</xdr:rowOff>
    </xdr:to>
    <xdr:sp>
      <xdr:nvSpPr>
        <xdr:cNvPr id="10" name="Line 12"/>
        <xdr:cNvSpPr>
          <a:spLocks/>
        </xdr:cNvSpPr>
      </xdr:nvSpPr>
      <xdr:spPr>
        <a:xfrm flipV="1">
          <a:off x="7419975" y="8058150"/>
          <a:ext cx="0" cy="4000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38100</xdr:colOff>
      <xdr:row>68</xdr:row>
      <xdr:rowOff>9525</xdr:rowOff>
    </xdr:from>
    <xdr:to>
      <xdr:col>74</xdr:col>
      <xdr:colOff>47625</xdr:colOff>
      <xdr:row>73</xdr:row>
      <xdr:rowOff>0</xdr:rowOff>
    </xdr:to>
    <xdr:sp>
      <xdr:nvSpPr>
        <xdr:cNvPr id="11" name="Line 13"/>
        <xdr:cNvSpPr>
          <a:spLocks/>
        </xdr:cNvSpPr>
      </xdr:nvSpPr>
      <xdr:spPr>
        <a:xfrm flipH="1" flipV="1">
          <a:off x="7791450" y="7896225"/>
          <a:ext cx="9525" cy="5619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79</xdr:col>
      <xdr:colOff>28575</xdr:colOff>
      <xdr:row>69</xdr:row>
      <xdr:rowOff>66675</xdr:rowOff>
    </xdr:from>
    <xdr:to>
      <xdr:col>79</xdr:col>
      <xdr:colOff>28575</xdr:colOff>
      <xdr:row>76</xdr:row>
      <xdr:rowOff>0</xdr:rowOff>
    </xdr:to>
    <xdr:sp>
      <xdr:nvSpPr>
        <xdr:cNvPr id="12" name="Line 14"/>
        <xdr:cNvSpPr>
          <a:spLocks/>
        </xdr:cNvSpPr>
      </xdr:nvSpPr>
      <xdr:spPr>
        <a:xfrm>
          <a:off x="8305800" y="8067675"/>
          <a:ext cx="0" cy="733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9525</xdr:colOff>
      <xdr:row>68</xdr:row>
      <xdr:rowOff>0</xdr:rowOff>
    </xdr:from>
    <xdr:to>
      <xdr:col>84</xdr:col>
      <xdr:colOff>9525</xdr:colOff>
      <xdr:row>75</xdr:row>
      <xdr:rowOff>104775</xdr:rowOff>
    </xdr:to>
    <xdr:sp>
      <xdr:nvSpPr>
        <xdr:cNvPr id="13" name="Line 15"/>
        <xdr:cNvSpPr>
          <a:spLocks/>
        </xdr:cNvSpPr>
      </xdr:nvSpPr>
      <xdr:spPr>
        <a:xfrm flipV="1">
          <a:off x="8810625" y="7886700"/>
          <a:ext cx="0" cy="904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57150</xdr:colOff>
      <xdr:row>67</xdr:row>
      <xdr:rowOff>19050</xdr:rowOff>
    </xdr:from>
    <xdr:to>
      <xdr:col>74</xdr:col>
      <xdr:colOff>38100</xdr:colOff>
      <xdr:row>70</xdr:row>
      <xdr:rowOff>76200</xdr:rowOff>
    </xdr:to>
    <xdr:sp>
      <xdr:nvSpPr>
        <xdr:cNvPr id="14" name="Line 16"/>
        <xdr:cNvSpPr>
          <a:spLocks/>
        </xdr:cNvSpPr>
      </xdr:nvSpPr>
      <xdr:spPr>
        <a:xfrm flipH="1" flipV="1">
          <a:off x="7600950" y="7791450"/>
          <a:ext cx="190500" cy="4000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19050</xdr:colOff>
      <xdr:row>69</xdr:row>
      <xdr:rowOff>19050</xdr:rowOff>
    </xdr:from>
    <xdr:to>
      <xdr:col>88</xdr:col>
      <xdr:colOff>0</xdr:colOff>
      <xdr:row>72</xdr:row>
      <xdr:rowOff>66675</xdr:rowOff>
    </xdr:to>
    <xdr:sp>
      <xdr:nvSpPr>
        <xdr:cNvPr id="15" name="Line 20"/>
        <xdr:cNvSpPr>
          <a:spLocks/>
        </xdr:cNvSpPr>
      </xdr:nvSpPr>
      <xdr:spPr>
        <a:xfrm flipH="1">
          <a:off x="8820150" y="8020050"/>
          <a:ext cx="400050" cy="390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88</xdr:row>
      <xdr:rowOff>0</xdr:rowOff>
    </xdr:from>
    <xdr:to>
      <xdr:col>84</xdr:col>
      <xdr:colOff>0</xdr:colOff>
      <xdr:row>90</xdr:row>
      <xdr:rowOff>0</xdr:rowOff>
    </xdr:to>
    <xdr:sp>
      <xdr:nvSpPr>
        <xdr:cNvPr id="16" name="Line 21"/>
        <xdr:cNvSpPr>
          <a:spLocks/>
        </xdr:cNvSpPr>
      </xdr:nvSpPr>
      <xdr:spPr>
        <a:xfrm>
          <a:off x="8801100" y="1015365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88</xdr:row>
      <xdr:rowOff>9525</xdr:rowOff>
    </xdr:from>
    <xdr:to>
      <xdr:col>91</xdr:col>
      <xdr:colOff>0</xdr:colOff>
      <xdr:row>90</xdr:row>
      <xdr:rowOff>0</xdr:rowOff>
    </xdr:to>
    <xdr:sp>
      <xdr:nvSpPr>
        <xdr:cNvPr id="17" name="Line 22"/>
        <xdr:cNvSpPr>
          <a:spLocks/>
        </xdr:cNvSpPr>
      </xdr:nvSpPr>
      <xdr:spPr>
        <a:xfrm>
          <a:off x="9534525" y="10163175"/>
          <a:ext cx="0"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90</xdr:row>
      <xdr:rowOff>9525</xdr:rowOff>
    </xdr:from>
    <xdr:to>
      <xdr:col>91</xdr:col>
      <xdr:colOff>0</xdr:colOff>
      <xdr:row>90</xdr:row>
      <xdr:rowOff>9525</xdr:rowOff>
    </xdr:to>
    <xdr:sp>
      <xdr:nvSpPr>
        <xdr:cNvPr id="18" name="Line 23"/>
        <xdr:cNvSpPr>
          <a:spLocks/>
        </xdr:cNvSpPr>
      </xdr:nvSpPr>
      <xdr:spPr>
        <a:xfrm>
          <a:off x="8801100" y="10391775"/>
          <a:ext cx="733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0</xdr:colOff>
      <xdr:row>88</xdr:row>
      <xdr:rowOff>0</xdr:rowOff>
    </xdr:from>
    <xdr:to>
      <xdr:col>98</xdr:col>
      <xdr:colOff>0</xdr:colOff>
      <xdr:row>98</xdr:row>
      <xdr:rowOff>9525</xdr:rowOff>
    </xdr:to>
    <xdr:sp>
      <xdr:nvSpPr>
        <xdr:cNvPr id="19" name="Line 24"/>
        <xdr:cNvSpPr>
          <a:spLocks/>
        </xdr:cNvSpPr>
      </xdr:nvSpPr>
      <xdr:spPr>
        <a:xfrm>
          <a:off x="10267950" y="10153650"/>
          <a:ext cx="0" cy="1152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88</xdr:row>
      <xdr:rowOff>0</xdr:rowOff>
    </xdr:from>
    <xdr:to>
      <xdr:col>54</xdr:col>
      <xdr:colOff>0</xdr:colOff>
      <xdr:row>93</xdr:row>
      <xdr:rowOff>0</xdr:rowOff>
    </xdr:to>
    <xdr:sp>
      <xdr:nvSpPr>
        <xdr:cNvPr id="20" name="Line 25"/>
        <xdr:cNvSpPr>
          <a:spLocks/>
        </xdr:cNvSpPr>
      </xdr:nvSpPr>
      <xdr:spPr>
        <a:xfrm>
          <a:off x="5657850" y="10153650"/>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0</xdr:colOff>
      <xdr:row>92</xdr:row>
      <xdr:rowOff>85725</xdr:rowOff>
    </xdr:from>
    <xdr:to>
      <xdr:col>100</xdr:col>
      <xdr:colOff>0</xdr:colOff>
      <xdr:row>98</xdr:row>
      <xdr:rowOff>28575</xdr:rowOff>
    </xdr:to>
    <xdr:sp>
      <xdr:nvSpPr>
        <xdr:cNvPr id="21" name="Line 26"/>
        <xdr:cNvSpPr>
          <a:spLocks/>
        </xdr:cNvSpPr>
      </xdr:nvSpPr>
      <xdr:spPr>
        <a:xfrm>
          <a:off x="5448300" y="10696575"/>
          <a:ext cx="502920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9525</xdr:colOff>
      <xdr:row>88</xdr:row>
      <xdr:rowOff>0</xdr:rowOff>
    </xdr:from>
    <xdr:to>
      <xdr:col>77</xdr:col>
      <xdr:colOff>9525</xdr:colOff>
      <xdr:row>98</xdr:row>
      <xdr:rowOff>104775</xdr:rowOff>
    </xdr:to>
    <xdr:sp>
      <xdr:nvSpPr>
        <xdr:cNvPr id="22" name="Line 27"/>
        <xdr:cNvSpPr>
          <a:spLocks/>
        </xdr:cNvSpPr>
      </xdr:nvSpPr>
      <xdr:spPr>
        <a:xfrm>
          <a:off x="8077200" y="101536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0</xdr:colOff>
      <xdr:row>88</xdr:row>
      <xdr:rowOff>19050</xdr:rowOff>
    </xdr:from>
    <xdr:to>
      <xdr:col>69</xdr:col>
      <xdr:colOff>0</xdr:colOff>
      <xdr:row>99</xdr:row>
      <xdr:rowOff>9525</xdr:rowOff>
    </xdr:to>
    <xdr:sp>
      <xdr:nvSpPr>
        <xdr:cNvPr id="23" name="Line 28"/>
        <xdr:cNvSpPr>
          <a:spLocks/>
        </xdr:cNvSpPr>
      </xdr:nvSpPr>
      <xdr:spPr>
        <a:xfrm>
          <a:off x="7229475" y="101727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88</xdr:row>
      <xdr:rowOff>19050</xdr:rowOff>
    </xdr:from>
    <xdr:to>
      <xdr:col>61</xdr:col>
      <xdr:colOff>0</xdr:colOff>
      <xdr:row>99</xdr:row>
      <xdr:rowOff>9525</xdr:rowOff>
    </xdr:to>
    <xdr:sp>
      <xdr:nvSpPr>
        <xdr:cNvPr id="24" name="Line 29"/>
        <xdr:cNvSpPr>
          <a:spLocks/>
        </xdr:cNvSpPr>
      </xdr:nvSpPr>
      <xdr:spPr>
        <a:xfrm>
          <a:off x="6391275" y="101727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9525</xdr:colOff>
      <xdr:row>93</xdr:row>
      <xdr:rowOff>9525</xdr:rowOff>
    </xdr:from>
    <xdr:to>
      <xdr:col>60</xdr:col>
      <xdr:colOff>95250</xdr:colOff>
      <xdr:row>99</xdr:row>
      <xdr:rowOff>9525</xdr:rowOff>
    </xdr:to>
    <xdr:sp>
      <xdr:nvSpPr>
        <xdr:cNvPr id="25" name="Line 30"/>
        <xdr:cNvSpPr>
          <a:spLocks/>
        </xdr:cNvSpPr>
      </xdr:nvSpPr>
      <xdr:spPr>
        <a:xfrm>
          <a:off x="5667375" y="10734675"/>
          <a:ext cx="71437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99</xdr:row>
      <xdr:rowOff>19050</xdr:rowOff>
    </xdr:from>
    <xdr:to>
      <xdr:col>77</xdr:col>
      <xdr:colOff>9525</xdr:colOff>
      <xdr:row>99</xdr:row>
      <xdr:rowOff>19050</xdr:rowOff>
    </xdr:to>
    <xdr:sp>
      <xdr:nvSpPr>
        <xdr:cNvPr id="26" name="Line 31"/>
        <xdr:cNvSpPr>
          <a:spLocks/>
        </xdr:cNvSpPr>
      </xdr:nvSpPr>
      <xdr:spPr>
        <a:xfrm>
          <a:off x="6391275" y="11430000"/>
          <a:ext cx="1685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19050</xdr:colOff>
      <xdr:row>90</xdr:row>
      <xdr:rowOff>9525</xdr:rowOff>
    </xdr:from>
    <xdr:to>
      <xdr:col>84</xdr:col>
      <xdr:colOff>0</xdr:colOff>
      <xdr:row>99</xdr:row>
      <xdr:rowOff>19050</xdr:rowOff>
    </xdr:to>
    <xdr:sp>
      <xdr:nvSpPr>
        <xdr:cNvPr id="27" name="Line 32"/>
        <xdr:cNvSpPr>
          <a:spLocks/>
        </xdr:cNvSpPr>
      </xdr:nvSpPr>
      <xdr:spPr>
        <a:xfrm flipV="1">
          <a:off x="8086725" y="10391775"/>
          <a:ext cx="714375" cy="1038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90</xdr:row>
      <xdr:rowOff>9525</xdr:rowOff>
    </xdr:from>
    <xdr:to>
      <xdr:col>98</xdr:col>
      <xdr:colOff>0</xdr:colOff>
      <xdr:row>98</xdr:row>
      <xdr:rowOff>0</xdr:rowOff>
    </xdr:to>
    <xdr:sp>
      <xdr:nvSpPr>
        <xdr:cNvPr id="28" name="Line 33"/>
        <xdr:cNvSpPr>
          <a:spLocks/>
        </xdr:cNvSpPr>
      </xdr:nvSpPr>
      <xdr:spPr>
        <a:xfrm>
          <a:off x="9534525" y="10391775"/>
          <a:ext cx="733425"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94</xdr:row>
      <xdr:rowOff>0</xdr:rowOff>
    </xdr:from>
    <xdr:to>
      <xdr:col>54</xdr:col>
      <xdr:colOff>0</xdr:colOff>
      <xdr:row>103</xdr:row>
      <xdr:rowOff>0</xdr:rowOff>
    </xdr:to>
    <xdr:sp>
      <xdr:nvSpPr>
        <xdr:cNvPr id="29" name="Line 34"/>
        <xdr:cNvSpPr>
          <a:spLocks/>
        </xdr:cNvSpPr>
      </xdr:nvSpPr>
      <xdr:spPr>
        <a:xfrm>
          <a:off x="5657850" y="1083945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100</xdr:row>
      <xdr:rowOff>0</xdr:rowOff>
    </xdr:from>
    <xdr:to>
      <xdr:col>61</xdr:col>
      <xdr:colOff>0</xdr:colOff>
      <xdr:row>103</xdr:row>
      <xdr:rowOff>9525</xdr:rowOff>
    </xdr:to>
    <xdr:sp>
      <xdr:nvSpPr>
        <xdr:cNvPr id="30" name="Line 35"/>
        <xdr:cNvSpPr>
          <a:spLocks/>
        </xdr:cNvSpPr>
      </xdr:nvSpPr>
      <xdr:spPr>
        <a:xfrm>
          <a:off x="6391275" y="115252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102</xdr:row>
      <xdr:rowOff>57150</xdr:rowOff>
    </xdr:from>
    <xdr:to>
      <xdr:col>61</xdr:col>
      <xdr:colOff>0</xdr:colOff>
      <xdr:row>102</xdr:row>
      <xdr:rowOff>57150</xdr:rowOff>
    </xdr:to>
    <xdr:sp>
      <xdr:nvSpPr>
        <xdr:cNvPr id="31" name="Line 36"/>
        <xdr:cNvSpPr>
          <a:spLocks/>
        </xdr:cNvSpPr>
      </xdr:nvSpPr>
      <xdr:spPr>
        <a:xfrm>
          <a:off x="5657850" y="118110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0</xdr:colOff>
      <xdr:row>100</xdr:row>
      <xdr:rowOff>0</xdr:rowOff>
    </xdr:from>
    <xdr:to>
      <xdr:col>77</xdr:col>
      <xdr:colOff>0</xdr:colOff>
      <xdr:row>103</xdr:row>
      <xdr:rowOff>0</xdr:rowOff>
    </xdr:to>
    <xdr:sp>
      <xdr:nvSpPr>
        <xdr:cNvPr id="32" name="Line 37"/>
        <xdr:cNvSpPr>
          <a:spLocks/>
        </xdr:cNvSpPr>
      </xdr:nvSpPr>
      <xdr:spPr>
        <a:xfrm>
          <a:off x="8067675" y="115252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91</xdr:row>
      <xdr:rowOff>9525</xdr:rowOff>
    </xdr:from>
    <xdr:to>
      <xdr:col>84</xdr:col>
      <xdr:colOff>0</xdr:colOff>
      <xdr:row>103</xdr:row>
      <xdr:rowOff>0</xdr:rowOff>
    </xdr:to>
    <xdr:sp>
      <xdr:nvSpPr>
        <xdr:cNvPr id="33" name="Line 38"/>
        <xdr:cNvSpPr>
          <a:spLocks/>
        </xdr:cNvSpPr>
      </xdr:nvSpPr>
      <xdr:spPr>
        <a:xfrm>
          <a:off x="8801100" y="1050607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91</xdr:row>
      <xdr:rowOff>0</xdr:rowOff>
    </xdr:from>
    <xdr:to>
      <xdr:col>91</xdr:col>
      <xdr:colOff>0</xdr:colOff>
      <xdr:row>103</xdr:row>
      <xdr:rowOff>9525</xdr:rowOff>
    </xdr:to>
    <xdr:sp>
      <xdr:nvSpPr>
        <xdr:cNvPr id="34" name="Line 39"/>
        <xdr:cNvSpPr>
          <a:spLocks/>
        </xdr:cNvSpPr>
      </xdr:nvSpPr>
      <xdr:spPr>
        <a:xfrm>
          <a:off x="9534525" y="1049655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0</xdr:colOff>
      <xdr:row>99</xdr:row>
      <xdr:rowOff>9525</xdr:rowOff>
    </xdr:from>
    <xdr:to>
      <xdr:col>98</xdr:col>
      <xdr:colOff>0</xdr:colOff>
      <xdr:row>103</xdr:row>
      <xdr:rowOff>0</xdr:rowOff>
    </xdr:to>
    <xdr:sp>
      <xdr:nvSpPr>
        <xdr:cNvPr id="35" name="Line 40"/>
        <xdr:cNvSpPr>
          <a:spLocks/>
        </xdr:cNvSpPr>
      </xdr:nvSpPr>
      <xdr:spPr>
        <a:xfrm>
          <a:off x="10267950" y="114204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102</xdr:row>
      <xdr:rowOff>57150</xdr:rowOff>
    </xdr:from>
    <xdr:to>
      <xdr:col>77</xdr:col>
      <xdr:colOff>0</xdr:colOff>
      <xdr:row>102</xdr:row>
      <xdr:rowOff>57150</xdr:rowOff>
    </xdr:to>
    <xdr:sp>
      <xdr:nvSpPr>
        <xdr:cNvPr id="36" name="Line 41"/>
        <xdr:cNvSpPr>
          <a:spLocks/>
        </xdr:cNvSpPr>
      </xdr:nvSpPr>
      <xdr:spPr>
        <a:xfrm>
          <a:off x="6391275" y="11811000"/>
          <a:ext cx="1676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9525</xdr:colOff>
      <xdr:row>102</xdr:row>
      <xdr:rowOff>57150</xdr:rowOff>
    </xdr:from>
    <xdr:to>
      <xdr:col>84</xdr:col>
      <xdr:colOff>0</xdr:colOff>
      <xdr:row>102</xdr:row>
      <xdr:rowOff>57150</xdr:rowOff>
    </xdr:to>
    <xdr:sp>
      <xdr:nvSpPr>
        <xdr:cNvPr id="37" name="Line 42"/>
        <xdr:cNvSpPr>
          <a:spLocks/>
        </xdr:cNvSpPr>
      </xdr:nvSpPr>
      <xdr:spPr>
        <a:xfrm>
          <a:off x="8077200" y="11811000"/>
          <a:ext cx="723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9525</xdr:colOff>
      <xdr:row>90</xdr:row>
      <xdr:rowOff>0</xdr:rowOff>
    </xdr:from>
    <xdr:to>
      <xdr:col>83</xdr:col>
      <xdr:colOff>9525</xdr:colOff>
      <xdr:row>90</xdr:row>
      <xdr:rowOff>0</xdr:rowOff>
    </xdr:to>
    <xdr:sp>
      <xdr:nvSpPr>
        <xdr:cNvPr id="38" name="Line 43"/>
        <xdr:cNvSpPr>
          <a:spLocks/>
        </xdr:cNvSpPr>
      </xdr:nvSpPr>
      <xdr:spPr>
        <a:xfrm flipH="1">
          <a:off x="7553325" y="1038225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47625</xdr:colOff>
      <xdr:row>90</xdr:row>
      <xdr:rowOff>0</xdr:rowOff>
    </xdr:from>
    <xdr:to>
      <xdr:col>74</xdr:col>
      <xdr:colOff>47625</xdr:colOff>
      <xdr:row>99</xdr:row>
      <xdr:rowOff>19050</xdr:rowOff>
    </xdr:to>
    <xdr:sp>
      <xdr:nvSpPr>
        <xdr:cNvPr id="39" name="Line 44"/>
        <xdr:cNvSpPr>
          <a:spLocks/>
        </xdr:cNvSpPr>
      </xdr:nvSpPr>
      <xdr:spPr>
        <a:xfrm>
          <a:off x="7800975" y="10382250"/>
          <a:ext cx="0" cy="1047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102</xdr:row>
      <xdr:rowOff>57150</xdr:rowOff>
    </xdr:from>
    <xdr:to>
      <xdr:col>91</xdr:col>
      <xdr:colOff>0</xdr:colOff>
      <xdr:row>102</xdr:row>
      <xdr:rowOff>57150</xdr:rowOff>
    </xdr:to>
    <xdr:sp>
      <xdr:nvSpPr>
        <xdr:cNvPr id="40" name="Line 45"/>
        <xdr:cNvSpPr>
          <a:spLocks/>
        </xdr:cNvSpPr>
      </xdr:nvSpPr>
      <xdr:spPr>
        <a:xfrm>
          <a:off x="8801100" y="118110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9525</xdr:colOff>
      <xdr:row>102</xdr:row>
      <xdr:rowOff>57150</xdr:rowOff>
    </xdr:from>
    <xdr:to>
      <xdr:col>98</xdr:col>
      <xdr:colOff>9525</xdr:colOff>
      <xdr:row>102</xdr:row>
      <xdr:rowOff>57150</xdr:rowOff>
    </xdr:to>
    <xdr:sp>
      <xdr:nvSpPr>
        <xdr:cNvPr id="41" name="Line 46"/>
        <xdr:cNvSpPr>
          <a:spLocks/>
        </xdr:cNvSpPr>
      </xdr:nvSpPr>
      <xdr:spPr>
        <a:xfrm>
          <a:off x="9544050" y="118110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110</xdr:row>
      <xdr:rowOff>0</xdr:rowOff>
    </xdr:from>
    <xdr:to>
      <xdr:col>84</xdr:col>
      <xdr:colOff>0</xdr:colOff>
      <xdr:row>112</xdr:row>
      <xdr:rowOff>0</xdr:rowOff>
    </xdr:to>
    <xdr:sp>
      <xdr:nvSpPr>
        <xdr:cNvPr id="42" name="Line 47"/>
        <xdr:cNvSpPr>
          <a:spLocks/>
        </xdr:cNvSpPr>
      </xdr:nvSpPr>
      <xdr:spPr>
        <a:xfrm>
          <a:off x="8801100" y="12668250"/>
          <a:ext cx="0" cy="2286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110</xdr:row>
      <xdr:rowOff>9525</xdr:rowOff>
    </xdr:from>
    <xdr:to>
      <xdr:col>91</xdr:col>
      <xdr:colOff>0</xdr:colOff>
      <xdr:row>112</xdr:row>
      <xdr:rowOff>0</xdr:rowOff>
    </xdr:to>
    <xdr:sp>
      <xdr:nvSpPr>
        <xdr:cNvPr id="43" name="Line 48"/>
        <xdr:cNvSpPr>
          <a:spLocks/>
        </xdr:cNvSpPr>
      </xdr:nvSpPr>
      <xdr:spPr>
        <a:xfrm>
          <a:off x="9534525" y="12677775"/>
          <a:ext cx="0" cy="2190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112</xdr:row>
      <xdr:rowOff>9525</xdr:rowOff>
    </xdr:from>
    <xdr:to>
      <xdr:col>91</xdr:col>
      <xdr:colOff>0</xdr:colOff>
      <xdr:row>112</xdr:row>
      <xdr:rowOff>9525</xdr:rowOff>
    </xdr:to>
    <xdr:sp>
      <xdr:nvSpPr>
        <xdr:cNvPr id="44" name="Line 49"/>
        <xdr:cNvSpPr>
          <a:spLocks/>
        </xdr:cNvSpPr>
      </xdr:nvSpPr>
      <xdr:spPr>
        <a:xfrm>
          <a:off x="8801100" y="12906375"/>
          <a:ext cx="7334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0</xdr:colOff>
      <xdr:row>110</xdr:row>
      <xdr:rowOff>0</xdr:rowOff>
    </xdr:from>
    <xdr:to>
      <xdr:col>98</xdr:col>
      <xdr:colOff>0</xdr:colOff>
      <xdr:row>120</xdr:row>
      <xdr:rowOff>9525</xdr:rowOff>
    </xdr:to>
    <xdr:sp>
      <xdr:nvSpPr>
        <xdr:cNvPr id="45" name="Line 50"/>
        <xdr:cNvSpPr>
          <a:spLocks/>
        </xdr:cNvSpPr>
      </xdr:nvSpPr>
      <xdr:spPr>
        <a:xfrm>
          <a:off x="10267950" y="12668250"/>
          <a:ext cx="0" cy="11525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110</xdr:row>
      <xdr:rowOff>0</xdr:rowOff>
    </xdr:from>
    <xdr:to>
      <xdr:col>54</xdr:col>
      <xdr:colOff>0</xdr:colOff>
      <xdr:row>115</xdr:row>
      <xdr:rowOff>0</xdr:rowOff>
    </xdr:to>
    <xdr:sp>
      <xdr:nvSpPr>
        <xdr:cNvPr id="46" name="Line 51"/>
        <xdr:cNvSpPr>
          <a:spLocks/>
        </xdr:cNvSpPr>
      </xdr:nvSpPr>
      <xdr:spPr>
        <a:xfrm>
          <a:off x="5657850" y="12668250"/>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0</xdr:colOff>
      <xdr:row>114</xdr:row>
      <xdr:rowOff>85725</xdr:rowOff>
    </xdr:from>
    <xdr:to>
      <xdr:col>100</xdr:col>
      <xdr:colOff>0</xdr:colOff>
      <xdr:row>120</xdr:row>
      <xdr:rowOff>28575</xdr:rowOff>
    </xdr:to>
    <xdr:sp>
      <xdr:nvSpPr>
        <xdr:cNvPr id="47" name="Line 52"/>
        <xdr:cNvSpPr>
          <a:spLocks/>
        </xdr:cNvSpPr>
      </xdr:nvSpPr>
      <xdr:spPr>
        <a:xfrm>
          <a:off x="5448300" y="13211175"/>
          <a:ext cx="5029200" cy="6286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9525</xdr:colOff>
      <xdr:row>110</xdr:row>
      <xdr:rowOff>0</xdr:rowOff>
    </xdr:from>
    <xdr:to>
      <xdr:col>77</xdr:col>
      <xdr:colOff>9525</xdr:colOff>
      <xdr:row>120</xdr:row>
      <xdr:rowOff>104775</xdr:rowOff>
    </xdr:to>
    <xdr:sp>
      <xdr:nvSpPr>
        <xdr:cNvPr id="48" name="Line 53"/>
        <xdr:cNvSpPr>
          <a:spLocks/>
        </xdr:cNvSpPr>
      </xdr:nvSpPr>
      <xdr:spPr>
        <a:xfrm>
          <a:off x="8077200" y="1266825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0</xdr:colOff>
      <xdr:row>110</xdr:row>
      <xdr:rowOff>19050</xdr:rowOff>
    </xdr:from>
    <xdr:to>
      <xdr:col>69</xdr:col>
      <xdr:colOff>0</xdr:colOff>
      <xdr:row>121</xdr:row>
      <xdr:rowOff>9525</xdr:rowOff>
    </xdr:to>
    <xdr:sp>
      <xdr:nvSpPr>
        <xdr:cNvPr id="49" name="Line 54"/>
        <xdr:cNvSpPr>
          <a:spLocks/>
        </xdr:cNvSpPr>
      </xdr:nvSpPr>
      <xdr:spPr>
        <a:xfrm>
          <a:off x="7229475" y="126873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110</xdr:row>
      <xdr:rowOff>19050</xdr:rowOff>
    </xdr:from>
    <xdr:to>
      <xdr:col>61</xdr:col>
      <xdr:colOff>0</xdr:colOff>
      <xdr:row>121</xdr:row>
      <xdr:rowOff>9525</xdr:rowOff>
    </xdr:to>
    <xdr:sp>
      <xdr:nvSpPr>
        <xdr:cNvPr id="50" name="Line 55"/>
        <xdr:cNvSpPr>
          <a:spLocks/>
        </xdr:cNvSpPr>
      </xdr:nvSpPr>
      <xdr:spPr>
        <a:xfrm>
          <a:off x="6391275" y="12687300"/>
          <a:ext cx="0" cy="1247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9525</xdr:colOff>
      <xdr:row>115</xdr:row>
      <xdr:rowOff>9525</xdr:rowOff>
    </xdr:from>
    <xdr:to>
      <xdr:col>60</xdr:col>
      <xdr:colOff>95250</xdr:colOff>
      <xdr:row>121</xdr:row>
      <xdr:rowOff>9525</xdr:rowOff>
    </xdr:to>
    <xdr:sp>
      <xdr:nvSpPr>
        <xdr:cNvPr id="51" name="Line 56"/>
        <xdr:cNvSpPr>
          <a:spLocks/>
        </xdr:cNvSpPr>
      </xdr:nvSpPr>
      <xdr:spPr>
        <a:xfrm>
          <a:off x="5667375" y="13249275"/>
          <a:ext cx="714375"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121</xdr:row>
      <xdr:rowOff>19050</xdr:rowOff>
    </xdr:from>
    <xdr:to>
      <xdr:col>77</xdr:col>
      <xdr:colOff>9525</xdr:colOff>
      <xdr:row>121</xdr:row>
      <xdr:rowOff>19050</xdr:rowOff>
    </xdr:to>
    <xdr:sp>
      <xdr:nvSpPr>
        <xdr:cNvPr id="52" name="Line 57"/>
        <xdr:cNvSpPr>
          <a:spLocks/>
        </xdr:cNvSpPr>
      </xdr:nvSpPr>
      <xdr:spPr>
        <a:xfrm>
          <a:off x="6391275" y="13944600"/>
          <a:ext cx="1685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19050</xdr:colOff>
      <xdr:row>112</xdr:row>
      <xdr:rowOff>9525</xdr:rowOff>
    </xdr:from>
    <xdr:to>
      <xdr:col>84</xdr:col>
      <xdr:colOff>0</xdr:colOff>
      <xdr:row>121</xdr:row>
      <xdr:rowOff>19050</xdr:rowOff>
    </xdr:to>
    <xdr:sp>
      <xdr:nvSpPr>
        <xdr:cNvPr id="53" name="Line 58"/>
        <xdr:cNvSpPr>
          <a:spLocks/>
        </xdr:cNvSpPr>
      </xdr:nvSpPr>
      <xdr:spPr>
        <a:xfrm flipV="1">
          <a:off x="8086725" y="12906375"/>
          <a:ext cx="714375" cy="1038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112</xdr:row>
      <xdr:rowOff>9525</xdr:rowOff>
    </xdr:from>
    <xdr:to>
      <xdr:col>98</xdr:col>
      <xdr:colOff>0</xdr:colOff>
      <xdr:row>120</xdr:row>
      <xdr:rowOff>0</xdr:rowOff>
    </xdr:to>
    <xdr:sp>
      <xdr:nvSpPr>
        <xdr:cNvPr id="54" name="Line 59"/>
        <xdr:cNvSpPr>
          <a:spLocks/>
        </xdr:cNvSpPr>
      </xdr:nvSpPr>
      <xdr:spPr>
        <a:xfrm>
          <a:off x="9534525" y="12906375"/>
          <a:ext cx="733425"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116</xdr:row>
      <xdr:rowOff>0</xdr:rowOff>
    </xdr:from>
    <xdr:to>
      <xdr:col>54</xdr:col>
      <xdr:colOff>0</xdr:colOff>
      <xdr:row>125</xdr:row>
      <xdr:rowOff>0</xdr:rowOff>
    </xdr:to>
    <xdr:sp>
      <xdr:nvSpPr>
        <xdr:cNvPr id="55" name="Line 60"/>
        <xdr:cNvSpPr>
          <a:spLocks/>
        </xdr:cNvSpPr>
      </xdr:nvSpPr>
      <xdr:spPr>
        <a:xfrm>
          <a:off x="5657850" y="1335405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122</xdr:row>
      <xdr:rowOff>0</xdr:rowOff>
    </xdr:from>
    <xdr:to>
      <xdr:col>61</xdr:col>
      <xdr:colOff>0</xdr:colOff>
      <xdr:row>125</xdr:row>
      <xdr:rowOff>9525</xdr:rowOff>
    </xdr:to>
    <xdr:sp>
      <xdr:nvSpPr>
        <xdr:cNvPr id="56" name="Line 61"/>
        <xdr:cNvSpPr>
          <a:spLocks/>
        </xdr:cNvSpPr>
      </xdr:nvSpPr>
      <xdr:spPr>
        <a:xfrm>
          <a:off x="6391275" y="140398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124</xdr:row>
      <xdr:rowOff>57150</xdr:rowOff>
    </xdr:from>
    <xdr:to>
      <xdr:col>61</xdr:col>
      <xdr:colOff>0</xdr:colOff>
      <xdr:row>124</xdr:row>
      <xdr:rowOff>57150</xdr:rowOff>
    </xdr:to>
    <xdr:sp>
      <xdr:nvSpPr>
        <xdr:cNvPr id="57" name="Line 62"/>
        <xdr:cNvSpPr>
          <a:spLocks/>
        </xdr:cNvSpPr>
      </xdr:nvSpPr>
      <xdr:spPr>
        <a:xfrm>
          <a:off x="5657850" y="143256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0</xdr:colOff>
      <xdr:row>122</xdr:row>
      <xdr:rowOff>0</xdr:rowOff>
    </xdr:from>
    <xdr:to>
      <xdr:col>77</xdr:col>
      <xdr:colOff>0</xdr:colOff>
      <xdr:row>125</xdr:row>
      <xdr:rowOff>0</xdr:rowOff>
    </xdr:to>
    <xdr:sp>
      <xdr:nvSpPr>
        <xdr:cNvPr id="58" name="Line 63"/>
        <xdr:cNvSpPr>
          <a:spLocks/>
        </xdr:cNvSpPr>
      </xdr:nvSpPr>
      <xdr:spPr>
        <a:xfrm>
          <a:off x="8067675" y="140398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113</xdr:row>
      <xdr:rowOff>9525</xdr:rowOff>
    </xdr:from>
    <xdr:to>
      <xdr:col>84</xdr:col>
      <xdr:colOff>0</xdr:colOff>
      <xdr:row>125</xdr:row>
      <xdr:rowOff>0</xdr:rowOff>
    </xdr:to>
    <xdr:sp>
      <xdr:nvSpPr>
        <xdr:cNvPr id="59" name="Line 64"/>
        <xdr:cNvSpPr>
          <a:spLocks/>
        </xdr:cNvSpPr>
      </xdr:nvSpPr>
      <xdr:spPr>
        <a:xfrm>
          <a:off x="8801100" y="1302067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0</xdr:colOff>
      <xdr:row>113</xdr:row>
      <xdr:rowOff>0</xdr:rowOff>
    </xdr:from>
    <xdr:to>
      <xdr:col>91</xdr:col>
      <xdr:colOff>0</xdr:colOff>
      <xdr:row>125</xdr:row>
      <xdr:rowOff>9525</xdr:rowOff>
    </xdr:to>
    <xdr:sp>
      <xdr:nvSpPr>
        <xdr:cNvPr id="60" name="Line 65"/>
        <xdr:cNvSpPr>
          <a:spLocks/>
        </xdr:cNvSpPr>
      </xdr:nvSpPr>
      <xdr:spPr>
        <a:xfrm>
          <a:off x="9534525" y="1301115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98</xdr:col>
      <xdr:colOff>0</xdr:colOff>
      <xdr:row>121</xdr:row>
      <xdr:rowOff>9525</xdr:rowOff>
    </xdr:from>
    <xdr:to>
      <xdr:col>98</xdr:col>
      <xdr:colOff>0</xdr:colOff>
      <xdr:row>125</xdr:row>
      <xdr:rowOff>0</xdr:rowOff>
    </xdr:to>
    <xdr:sp>
      <xdr:nvSpPr>
        <xdr:cNvPr id="61" name="Line 66"/>
        <xdr:cNvSpPr>
          <a:spLocks/>
        </xdr:cNvSpPr>
      </xdr:nvSpPr>
      <xdr:spPr>
        <a:xfrm>
          <a:off x="10267950" y="13935075"/>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124</xdr:row>
      <xdr:rowOff>57150</xdr:rowOff>
    </xdr:from>
    <xdr:to>
      <xdr:col>77</xdr:col>
      <xdr:colOff>0</xdr:colOff>
      <xdr:row>124</xdr:row>
      <xdr:rowOff>57150</xdr:rowOff>
    </xdr:to>
    <xdr:sp>
      <xdr:nvSpPr>
        <xdr:cNvPr id="62" name="Line 67"/>
        <xdr:cNvSpPr>
          <a:spLocks/>
        </xdr:cNvSpPr>
      </xdr:nvSpPr>
      <xdr:spPr>
        <a:xfrm>
          <a:off x="6391275" y="14325600"/>
          <a:ext cx="16764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9525</xdr:colOff>
      <xdr:row>124</xdr:row>
      <xdr:rowOff>57150</xdr:rowOff>
    </xdr:from>
    <xdr:to>
      <xdr:col>84</xdr:col>
      <xdr:colOff>0</xdr:colOff>
      <xdr:row>124</xdr:row>
      <xdr:rowOff>57150</xdr:rowOff>
    </xdr:to>
    <xdr:sp>
      <xdr:nvSpPr>
        <xdr:cNvPr id="63" name="Line 68"/>
        <xdr:cNvSpPr>
          <a:spLocks/>
        </xdr:cNvSpPr>
      </xdr:nvSpPr>
      <xdr:spPr>
        <a:xfrm>
          <a:off x="8077200" y="14325600"/>
          <a:ext cx="723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9525</xdr:colOff>
      <xdr:row>112</xdr:row>
      <xdr:rowOff>0</xdr:rowOff>
    </xdr:from>
    <xdr:to>
      <xdr:col>83</xdr:col>
      <xdr:colOff>9525</xdr:colOff>
      <xdr:row>112</xdr:row>
      <xdr:rowOff>0</xdr:rowOff>
    </xdr:to>
    <xdr:sp>
      <xdr:nvSpPr>
        <xdr:cNvPr id="64" name="Line 69"/>
        <xdr:cNvSpPr>
          <a:spLocks/>
        </xdr:cNvSpPr>
      </xdr:nvSpPr>
      <xdr:spPr>
        <a:xfrm flipH="1">
          <a:off x="7553325" y="1289685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47625</xdr:colOff>
      <xdr:row>112</xdr:row>
      <xdr:rowOff>0</xdr:rowOff>
    </xdr:from>
    <xdr:to>
      <xdr:col>74</xdr:col>
      <xdr:colOff>47625</xdr:colOff>
      <xdr:row>121</xdr:row>
      <xdr:rowOff>19050</xdr:rowOff>
    </xdr:to>
    <xdr:sp>
      <xdr:nvSpPr>
        <xdr:cNvPr id="65" name="Line 70"/>
        <xdr:cNvSpPr>
          <a:spLocks/>
        </xdr:cNvSpPr>
      </xdr:nvSpPr>
      <xdr:spPr>
        <a:xfrm>
          <a:off x="7800975" y="12896850"/>
          <a:ext cx="0" cy="1047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84</xdr:col>
      <xdr:colOff>0</xdr:colOff>
      <xdr:row>124</xdr:row>
      <xdr:rowOff>57150</xdr:rowOff>
    </xdr:from>
    <xdr:to>
      <xdr:col>91</xdr:col>
      <xdr:colOff>0</xdr:colOff>
      <xdr:row>124</xdr:row>
      <xdr:rowOff>57150</xdr:rowOff>
    </xdr:to>
    <xdr:sp>
      <xdr:nvSpPr>
        <xdr:cNvPr id="66" name="Line 71"/>
        <xdr:cNvSpPr>
          <a:spLocks/>
        </xdr:cNvSpPr>
      </xdr:nvSpPr>
      <xdr:spPr>
        <a:xfrm>
          <a:off x="8801100" y="143256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91</xdr:col>
      <xdr:colOff>9525</xdr:colOff>
      <xdr:row>124</xdr:row>
      <xdr:rowOff>57150</xdr:rowOff>
    </xdr:from>
    <xdr:to>
      <xdr:col>98</xdr:col>
      <xdr:colOff>9525</xdr:colOff>
      <xdr:row>124</xdr:row>
      <xdr:rowOff>57150</xdr:rowOff>
    </xdr:to>
    <xdr:sp>
      <xdr:nvSpPr>
        <xdr:cNvPr id="67" name="Line 72"/>
        <xdr:cNvSpPr>
          <a:spLocks/>
        </xdr:cNvSpPr>
      </xdr:nvSpPr>
      <xdr:spPr>
        <a:xfrm>
          <a:off x="9544050" y="14325600"/>
          <a:ext cx="733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47625</xdr:colOff>
      <xdr:row>36</xdr:row>
      <xdr:rowOff>0</xdr:rowOff>
    </xdr:from>
    <xdr:to>
      <xdr:col>44</xdr:col>
      <xdr:colOff>47625</xdr:colOff>
      <xdr:row>46</xdr:row>
      <xdr:rowOff>104775</xdr:rowOff>
    </xdr:to>
    <xdr:sp>
      <xdr:nvSpPr>
        <xdr:cNvPr id="68" name="Line 73"/>
        <xdr:cNvSpPr>
          <a:spLocks/>
        </xdr:cNvSpPr>
      </xdr:nvSpPr>
      <xdr:spPr>
        <a:xfrm>
          <a:off x="4657725" y="4191000"/>
          <a:ext cx="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36</xdr:row>
      <xdr:rowOff>0</xdr:rowOff>
    </xdr:from>
    <xdr:to>
      <xdr:col>44</xdr:col>
      <xdr:colOff>47625</xdr:colOff>
      <xdr:row>38</xdr:row>
      <xdr:rowOff>28575</xdr:rowOff>
    </xdr:to>
    <xdr:sp>
      <xdr:nvSpPr>
        <xdr:cNvPr id="69" name="Line 74"/>
        <xdr:cNvSpPr>
          <a:spLocks/>
        </xdr:cNvSpPr>
      </xdr:nvSpPr>
      <xdr:spPr>
        <a:xfrm flipH="1">
          <a:off x="4610100" y="4191000"/>
          <a:ext cx="47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38</xdr:row>
      <xdr:rowOff>0</xdr:rowOff>
    </xdr:from>
    <xdr:to>
      <xdr:col>44</xdr:col>
      <xdr:colOff>38100</xdr:colOff>
      <xdr:row>38</xdr:row>
      <xdr:rowOff>28575</xdr:rowOff>
    </xdr:to>
    <xdr:sp>
      <xdr:nvSpPr>
        <xdr:cNvPr id="70" name="Line 75"/>
        <xdr:cNvSpPr>
          <a:spLocks/>
        </xdr:cNvSpPr>
      </xdr:nvSpPr>
      <xdr:spPr>
        <a:xfrm flipV="1">
          <a:off x="4610100" y="4419600"/>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46</xdr:row>
      <xdr:rowOff>104775</xdr:rowOff>
    </xdr:from>
    <xdr:to>
      <xdr:col>44</xdr:col>
      <xdr:colOff>38100</xdr:colOff>
      <xdr:row>47</xdr:row>
      <xdr:rowOff>19050</xdr:rowOff>
    </xdr:to>
    <xdr:sp>
      <xdr:nvSpPr>
        <xdr:cNvPr id="71" name="Line 76"/>
        <xdr:cNvSpPr>
          <a:spLocks/>
        </xdr:cNvSpPr>
      </xdr:nvSpPr>
      <xdr:spPr>
        <a:xfrm flipH="1">
          <a:off x="4610100" y="5438775"/>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45</xdr:row>
      <xdr:rowOff>28575</xdr:rowOff>
    </xdr:from>
    <xdr:to>
      <xdr:col>44</xdr:col>
      <xdr:colOff>38100</xdr:colOff>
      <xdr:row>45</xdr:row>
      <xdr:rowOff>57150</xdr:rowOff>
    </xdr:to>
    <xdr:sp>
      <xdr:nvSpPr>
        <xdr:cNvPr id="72" name="Line 77"/>
        <xdr:cNvSpPr>
          <a:spLocks/>
        </xdr:cNvSpPr>
      </xdr:nvSpPr>
      <xdr:spPr>
        <a:xfrm flipH="1">
          <a:off x="4610100" y="5248275"/>
          <a:ext cx="381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45</xdr:row>
      <xdr:rowOff>57150</xdr:rowOff>
    </xdr:from>
    <xdr:to>
      <xdr:col>44</xdr:col>
      <xdr:colOff>0</xdr:colOff>
      <xdr:row>47</xdr:row>
      <xdr:rowOff>28575</xdr:rowOff>
    </xdr:to>
    <xdr:sp>
      <xdr:nvSpPr>
        <xdr:cNvPr id="73" name="Line 78"/>
        <xdr:cNvSpPr>
          <a:spLocks/>
        </xdr:cNvSpPr>
      </xdr:nvSpPr>
      <xdr:spPr>
        <a:xfrm>
          <a:off x="4610100" y="52768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77</xdr:col>
      <xdr:colOff>0</xdr:colOff>
      <xdr:row>122</xdr:row>
      <xdr:rowOff>0</xdr:rowOff>
    </xdr:from>
    <xdr:to>
      <xdr:col>77</xdr:col>
      <xdr:colOff>0</xdr:colOff>
      <xdr:row>125</xdr:row>
      <xdr:rowOff>0</xdr:rowOff>
    </xdr:to>
    <xdr:sp>
      <xdr:nvSpPr>
        <xdr:cNvPr id="74" name="Line 79"/>
        <xdr:cNvSpPr>
          <a:spLocks/>
        </xdr:cNvSpPr>
      </xdr:nvSpPr>
      <xdr:spPr>
        <a:xfrm>
          <a:off x="8067675" y="140398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78</xdr:col>
      <xdr:colOff>76200</xdr:colOff>
      <xdr:row>3</xdr:row>
      <xdr:rowOff>133350</xdr:rowOff>
    </xdr:from>
    <xdr:to>
      <xdr:col>87</xdr:col>
      <xdr:colOff>38100</xdr:colOff>
      <xdr:row>6</xdr:row>
      <xdr:rowOff>38100</xdr:rowOff>
    </xdr:to>
    <xdr:pic>
      <xdr:nvPicPr>
        <xdr:cNvPr id="75" name="CommandButton1"/>
        <xdr:cNvPicPr preferRelativeResize="1">
          <a:picLocks noChangeAspect="0"/>
        </xdr:cNvPicPr>
      </xdr:nvPicPr>
      <xdr:blipFill>
        <a:blip r:embed="rId1"/>
        <a:stretch>
          <a:fillRect/>
        </a:stretch>
      </xdr:blipFill>
      <xdr:spPr>
        <a:xfrm>
          <a:off x="8248650" y="476250"/>
          <a:ext cx="904875" cy="323850"/>
        </a:xfrm>
        <a:prstGeom prst="rect">
          <a:avLst/>
        </a:prstGeom>
        <a:noFill/>
        <a:ln w="9525" cmpd="sng">
          <a:noFill/>
        </a:ln>
      </xdr:spPr>
    </xdr:pic>
    <xdr:clientData fPrintsWithSheet="0"/>
  </xdr:twoCellAnchor>
  <xdr:twoCellAnchor>
    <xdr:from>
      <xdr:col>68</xdr:col>
      <xdr:colOff>0</xdr:colOff>
      <xdr:row>66</xdr:row>
      <xdr:rowOff>104775</xdr:rowOff>
    </xdr:from>
    <xdr:to>
      <xdr:col>70</xdr:col>
      <xdr:colOff>66675</xdr:colOff>
      <xdr:row>71</xdr:row>
      <xdr:rowOff>28575</xdr:rowOff>
    </xdr:to>
    <xdr:sp>
      <xdr:nvSpPr>
        <xdr:cNvPr id="76" name="Line 86"/>
        <xdr:cNvSpPr>
          <a:spLocks/>
        </xdr:cNvSpPr>
      </xdr:nvSpPr>
      <xdr:spPr>
        <a:xfrm>
          <a:off x="7124700" y="7762875"/>
          <a:ext cx="276225" cy="495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79</xdr:col>
      <xdr:colOff>38100</xdr:colOff>
      <xdr:row>66</xdr:row>
      <xdr:rowOff>104775</xdr:rowOff>
    </xdr:from>
    <xdr:to>
      <xdr:col>83</xdr:col>
      <xdr:colOff>9525</xdr:colOff>
      <xdr:row>71</xdr:row>
      <xdr:rowOff>28575</xdr:rowOff>
    </xdr:to>
    <xdr:sp>
      <xdr:nvSpPr>
        <xdr:cNvPr id="77" name="Line 89"/>
        <xdr:cNvSpPr>
          <a:spLocks/>
        </xdr:cNvSpPr>
      </xdr:nvSpPr>
      <xdr:spPr>
        <a:xfrm flipH="1">
          <a:off x="8315325" y="7762875"/>
          <a:ext cx="390525" cy="495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47625</xdr:colOff>
      <xdr:row>73</xdr:row>
      <xdr:rowOff>0</xdr:rowOff>
    </xdr:from>
    <xdr:to>
      <xdr:col>74</xdr:col>
      <xdr:colOff>47625</xdr:colOff>
      <xdr:row>75</xdr:row>
      <xdr:rowOff>85725</xdr:rowOff>
    </xdr:to>
    <xdr:sp>
      <xdr:nvSpPr>
        <xdr:cNvPr id="78" name="Line 90"/>
        <xdr:cNvSpPr>
          <a:spLocks/>
        </xdr:cNvSpPr>
      </xdr:nvSpPr>
      <xdr:spPr>
        <a:xfrm flipH="1" flipV="1">
          <a:off x="7800975" y="8458200"/>
          <a:ext cx="0" cy="314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19050</xdr:colOff>
      <xdr:row>74</xdr:row>
      <xdr:rowOff>19050</xdr:rowOff>
    </xdr:from>
    <xdr:to>
      <xdr:col>74</xdr:col>
      <xdr:colOff>47625</xdr:colOff>
      <xdr:row>75</xdr:row>
      <xdr:rowOff>47625</xdr:rowOff>
    </xdr:to>
    <xdr:sp>
      <xdr:nvSpPr>
        <xdr:cNvPr id="79" name="Line 92"/>
        <xdr:cNvSpPr>
          <a:spLocks/>
        </xdr:cNvSpPr>
      </xdr:nvSpPr>
      <xdr:spPr>
        <a:xfrm flipV="1">
          <a:off x="6934200" y="8591550"/>
          <a:ext cx="866775"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31"/>
  <sheetViews>
    <sheetView showGridLines="0" workbookViewId="0" topLeftCell="A1">
      <selection activeCell="X28" sqref="P28:AD35"/>
    </sheetView>
  </sheetViews>
  <sheetFormatPr defaultColWidth="9.140625" defaultRowHeight="12.75"/>
  <cols>
    <col min="1" max="1" width="90.7109375" style="0" customWidth="1"/>
  </cols>
  <sheetData>
    <row r="1" ht="12.75" customHeight="1">
      <c r="A1" s="477" t="s">
        <v>392</v>
      </c>
    </row>
    <row r="2" ht="12" customHeight="1">
      <c r="A2" s="447" t="s">
        <v>391</v>
      </c>
    </row>
    <row r="3" ht="12.75">
      <c r="A3" s="409"/>
    </row>
    <row r="4" ht="12.75">
      <c r="A4" s="410" t="s">
        <v>309</v>
      </c>
    </row>
    <row r="5" ht="38.25" customHeight="1">
      <c r="A5" s="411" t="s">
        <v>379</v>
      </c>
    </row>
    <row r="6" ht="12.75">
      <c r="A6" s="412"/>
    </row>
    <row r="7" ht="12.75" customHeight="1">
      <c r="A7" s="410" t="s">
        <v>310</v>
      </c>
    </row>
    <row r="8" spans="1:6" ht="38.25">
      <c r="A8" s="408" t="s">
        <v>406</v>
      </c>
      <c r="B8" s="412"/>
      <c r="C8" s="412"/>
      <c r="D8" s="412"/>
      <c r="E8" s="412"/>
      <c r="F8" s="412"/>
    </row>
    <row r="9" ht="12.75">
      <c r="A9" s="408"/>
    </row>
    <row r="10" ht="38.25">
      <c r="A10" s="479" t="s">
        <v>311</v>
      </c>
    </row>
    <row r="11" ht="12.75">
      <c r="A11" s="411"/>
    </row>
    <row r="12" ht="12.75">
      <c r="A12" s="413" t="s">
        <v>386</v>
      </c>
    </row>
    <row r="13" ht="33.75" customHeight="1">
      <c r="A13" s="408" t="s">
        <v>417</v>
      </c>
    </row>
    <row r="14" ht="12.75">
      <c r="A14" s="412"/>
    </row>
    <row r="15" ht="12.75">
      <c r="A15" s="410" t="s">
        <v>387</v>
      </c>
    </row>
    <row r="16" ht="89.25" customHeight="1">
      <c r="A16" s="447" t="s">
        <v>407</v>
      </c>
    </row>
    <row r="17" ht="59.25" customHeight="1">
      <c r="A17" s="414" t="s">
        <v>380</v>
      </c>
    </row>
    <row r="18" ht="12.75">
      <c r="A18" s="412"/>
    </row>
    <row r="19" ht="12.75">
      <c r="A19" s="410" t="s">
        <v>388</v>
      </c>
    </row>
    <row r="20" ht="132.75" customHeight="1">
      <c r="A20" s="411" t="s">
        <v>381</v>
      </c>
    </row>
    <row r="21" ht="48" customHeight="1">
      <c r="A21" s="415" t="s">
        <v>382</v>
      </c>
    </row>
    <row r="22" ht="12.75" customHeight="1">
      <c r="A22" s="415"/>
    </row>
    <row r="23" ht="12.75">
      <c r="A23" s="416" t="s">
        <v>368</v>
      </c>
    </row>
    <row r="24" ht="23.25" customHeight="1">
      <c r="A24" s="410" t="s">
        <v>389</v>
      </c>
    </row>
    <row r="25" ht="90" customHeight="1">
      <c r="A25" s="417" t="s">
        <v>393</v>
      </c>
    </row>
    <row r="26" ht="137.25" customHeight="1">
      <c r="A26" s="412" t="s">
        <v>408</v>
      </c>
    </row>
    <row r="28" ht="12.75">
      <c r="A28" s="410" t="s">
        <v>390</v>
      </c>
    </row>
    <row r="29" ht="63.75">
      <c r="A29" s="412" t="s">
        <v>395</v>
      </c>
    </row>
    <row r="30" ht="49.5" customHeight="1">
      <c r="A30" s="415" t="s">
        <v>312</v>
      </c>
    </row>
    <row r="31" ht="75" customHeight="1">
      <c r="A31" s="412" t="s">
        <v>394</v>
      </c>
    </row>
  </sheetData>
  <sheetProtection password="B271" sheet="1" objects="1" scenarios="1"/>
  <printOptions/>
  <pageMargins left="0.75" right="0.5" top="0.75" bottom="0.75" header="0.5" footer="0.5"/>
  <pageSetup horizontalDpi="600" verticalDpi="600" orientation="portrait" scale="96"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codeName="Sheet5">
    <pageSetUpPr fitToPage="1"/>
  </sheetPr>
  <dimension ref="A1:BC80"/>
  <sheetViews>
    <sheetView showGridLines="0" tabSelected="1" workbookViewId="0" topLeftCell="A1">
      <selection activeCell="G4" sqref="G4:P5"/>
    </sheetView>
  </sheetViews>
  <sheetFormatPr defaultColWidth="9.140625" defaultRowHeight="12.75"/>
  <cols>
    <col min="1" max="18" width="2.7109375" style="24" customWidth="1"/>
    <col min="19" max="20" width="3.7109375" style="24" customWidth="1"/>
    <col min="21" max="48" width="2.7109375" style="24" customWidth="1"/>
    <col min="49" max="52" width="2.7109375" style="24" hidden="1" customWidth="1"/>
    <col min="53" max="55" width="0" style="24" hidden="1" customWidth="1"/>
    <col min="56" max="16384" width="9.140625" style="24" customWidth="1"/>
  </cols>
  <sheetData>
    <row r="1" spans="2:37" ht="12.75" customHeight="1">
      <c r="B1" s="557" t="s">
        <v>124</v>
      </c>
      <c r="C1" s="557"/>
      <c r="D1" s="558"/>
      <c r="E1" s="77"/>
      <c r="F1" s="77"/>
      <c r="G1" s="77"/>
      <c r="H1" s="568" t="s">
        <v>229</v>
      </c>
      <c r="I1" s="569"/>
      <c r="J1" s="569"/>
      <c r="K1" s="569"/>
      <c r="L1" s="569"/>
      <c r="M1" s="569"/>
      <c r="N1" s="569"/>
      <c r="O1" s="569"/>
      <c r="P1" s="569"/>
      <c r="Q1" s="569"/>
      <c r="R1" s="569"/>
      <c r="S1" s="569"/>
      <c r="T1" s="569"/>
      <c r="U1" s="569"/>
      <c r="V1" s="569"/>
      <c r="W1" s="569"/>
      <c r="X1" s="569"/>
      <c r="Y1" s="569"/>
      <c r="Z1" s="569"/>
      <c r="AA1" s="569"/>
      <c r="AB1" s="569"/>
      <c r="AC1" s="77"/>
      <c r="AD1" s="77"/>
      <c r="AE1" s="565" t="s">
        <v>224</v>
      </c>
      <c r="AF1" s="565"/>
      <c r="AG1" s="565"/>
      <c r="AH1" s="565"/>
      <c r="AI1" s="565"/>
      <c r="AJ1" s="78"/>
      <c r="AK1" s="42"/>
    </row>
    <row r="2" spans="1:49" ht="12.75" customHeight="1">
      <c r="A2" s="153" t="s">
        <v>170</v>
      </c>
      <c r="B2" s="559" t="s">
        <v>125</v>
      </c>
      <c r="C2" s="559"/>
      <c r="D2" s="560"/>
      <c r="E2" s="77"/>
      <c r="F2" s="77"/>
      <c r="G2" s="77"/>
      <c r="H2" s="570"/>
      <c r="I2" s="570"/>
      <c r="J2" s="570"/>
      <c r="K2" s="570"/>
      <c r="L2" s="570"/>
      <c r="M2" s="570"/>
      <c r="N2" s="570"/>
      <c r="O2" s="570"/>
      <c r="P2" s="570"/>
      <c r="Q2" s="570"/>
      <c r="R2" s="570"/>
      <c r="S2" s="570"/>
      <c r="T2" s="570"/>
      <c r="U2" s="570"/>
      <c r="V2" s="570"/>
      <c r="W2" s="570"/>
      <c r="X2" s="570"/>
      <c r="Y2" s="570"/>
      <c r="Z2" s="570"/>
      <c r="AA2" s="570"/>
      <c r="AB2" s="570"/>
      <c r="AC2" s="77"/>
      <c r="AD2" s="77"/>
      <c r="AE2" s="566" t="s">
        <v>345</v>
      </c>
      <c r="AF2" s="567"/>
      <c r="AG2" s="567"/>
      <c r="AH2" s="567"/>
      <c r="AI2" s="567"/>
      <c r="AJ2" s="78"/>
      <c r="AK2" s="42"/>
      <c r="AW2" s="395" t="s">
        <v>270</v>
      </c>
    </row>
    <row r="3" spans="1:37" ht="9" customHeight="1">
      <c r="A3" s="43"/>
      <c r="B3" s="79"/>
      <c r="C3" s="79"/>
      <c r="D3" s="79"/>
      <c r="E3" s="79"/>
      <c r="F3" s="79"/>
      <c r="G3" s="79"/>
      <c r="H3" s="79"/>
      <c r="I3" s="79"/>
      <c r="J3" s="79"/>
      <c r="K3" s="80"/>
      <c r="L3" s="79"/>
      <c r="M3" s="79"/>
      <c r="N3" s="79"/>
      <c r="O3" s="79"/>
      <c r="P3" s="79"/>
      <c r="Q3" s="79"/>
      <c r="R3" s="79"/>
      <c r="S3" s="79"/>
      <c r="T3" s="79"/>
      <c r="U3" s="79"/>
      <c r="V3" s="79"/>
      <c r="W3" s="79"/>
      <c r="X3" s="79"/>
      <c r="Y3" s="79"/>
      <c r="Z3" s="79"/>
      <c r="AA3" s="79"/>
      <c r="AB3" s="79"/>
      <c r="AC3" s="79"/>
      <c r="AD3" s="79"/>
      <c r="AE3" s="79"/>
      <c r="AF3" s="79"/>
      <c r="AG3" s="79"/>
      <c r="AH3" s="79"/>
      <c r="AI3" s="79"/>
      <c r="AJ3" s="81"/>
      <c r="AK3" s="44"/>
    </row>
    <row r="4" spans="1:37" ht="12" customHeight="1">
      <c r="A4" s="45"/>
      <c r="B4" s="559" t="s">
        <v>126</v>
      </c>
      <c r="C4" s="560"/>
      <c r="D4" s="560"/>
      <c r="E4" s="564"/>
      <c r="F4" s="564"/>
      <c r="G4" s="571"/>
      <c r="H4" s="571"/>
      <c r="I4" s="571"/>
      <c r="J4" s="571"/>
      <c r="K4" s="571"/>
      <c r="L4" s="571"/>
      <c r="M4" s="571"/>
      <c r="N4" s="571"/>
      <c r="O4" s="571"/>
      <c r="P4" s="571"/>
      <c r="Q4" s="117"/>
      <c r="S4" s="26"/>
      <c r="T4" s="18" t="s">
        <v>173</v>
      </c>
      <c r="U4" s="26"/>
      <c r="V4" s="26"/>
      <c r="W4" s="571"/>
      <c r="X4" s="571"/>
      <c r="Y4" s="571"/>
      <c r="Z4" s="571"/>
      <c r="AA4" s="571"/>
      <c r="AB4" s="571"/>
      <c r="AC4" s="571"/>
      <c r="AD4" s="571"/>
      <c r="AE4" s="571"/>
      <c r="AF4" s="571"/>
      <c r="AG4" s="571"/>
      <c r="AH4" s="82"/>
      <c r="AI4" s="82"/>
      <c r="AJ4" s="82"/>
      <c r="AK4" s="46"/>
    </row>
    <row r="5" spans="1:37" ht="1.5" customHeight="1">
      <c r="A5" s="43"/>
      <c r="B5" s="564"/>
      <c r="C5" s="564"/>
      <c r="D5" s="564"/>
      <c r="E5" s="564"/>
      <c r="F5" s="564"/>
      <c r="G5" s="572"/>
      <c r="H5" s="572"/>
      <c r="I5" s="572"/>
      <c r="J5" s="572"/>
      <c r="K5" s="572"/>
      <c r="L5" s="572"/>
      <c r="M5" s="572"/>
      <c r="N5" s="572"/>
      <c r="O5" s="572"/>
      <c r="P5" s="572"/>
      <c r="Q5" s="117"/>
      <c r="R5" s="26"/>
      <c r="S5" s="26"/>
      <c r="T5" s="26"/>
      <c r="U5" s="26"/>
      <c r="V5" s="26"/>
      <c r="W5" s="572"/>
      <c r="X5" s="572"/>
      <c r="Y5" s="572"/>
      <c r="Z5" s="572"/>
      <c r="AA5" s="572"/>
      <c r="AB5" s="572"/>
      <c r="AC5" s="572"/>
      <c r="AD5" s="572"/>
      <c r="AE5" s="572"/>
      <c r="AF5" s="572"/>
      <c r="AG5" s="572"/>
      <c r="AH5" s="83"/>
      <c r="AI5" s="83"/>
      <c r="AJ5" s="81"/>
      <c r="AK5" s="44"/>
    </row>
    <row r="6" spans="1:37" ht="12" customHeight="1">
      <c r="A6" s="45"/>
      <c r="B6" s="559" t="s">
        <v>127</v>
      </c>
      <c r="C6" s="564"/>
      <c r="D6" s="564"/>
      <c r="E6" s="564"/>
      <c r="F6" s="564"/>
      <c r="G6" s="561"/>
      <c r="H6" s="561"/>
      <c r="I6" s="561"/>
      <c r="J6" s="561"/>
      <c r="K6" s="561"/>
      <c r="L6" s="561"/>
      <c r="M6" s="561"/>
      <c r="N6" s="561"/>
      <c r="O6" s="561"/>
      <c r="P6" s="561"/>
      <c r="Q6" s="117"/>
      <c r="S6" s="26"/>
      <c r="T6" s="18" t="s">
        <v>128</v>
      </c>
      <c r="U6" s="26"/>
      <c r="V6" s="26"/>
      <c r="W6" s="561"/>
      <c r="X6" s="562"/>
      <c r="Y6" s="562"/>
      <c r="Z6" s="562"/>
      <c r="AA6" s="562"/>
      <c r="AB6" s="562"/>
      <c r="AC6" s="562"/>
      <c r="AD6" s="562"/>
      <c r="AE6" s="562"/>
      <c r="AF6" s="562"/>
      <c r="AG6" s="562"/>
      <c r="AH6" s="85"/>
      <c r="AI6" s="85"/>
      <c r="AJ6" s="47"/>
      <c r="AK6" s="46"/>
    </row>
    <row r="7" spans="1:37" ht="1.5" customHeight="1">
      <c r="A7" s="43"/>
      <c r="B7" s="564"/>
      <c r="C7" s="564"/>
      <c r="D7" s="564"/>
      <c r="E7" s="564"/>
      <c r="F7" s="564"/>
      <c r="G7" s="572"/>
      <c r="H7" s="572"/>
      <c r="I7" s="572"/>
      <c r="J7" s="572"/>
      <c r="K7" s="572"/>
      <c r="L7" s="572"/>
      <c r="M7" s="572"/>
      <c r="N7" s="572"/>
      <c r="O7" s="572"/>
      <c r="P7" s="572"/>
      <c r="Q7" s="117"/>
      <c r="R7" s="26"/>
      <c r="S7" s="26"/>
      <c r="T7" s="26"/>
      <c r="U7" s="26"/>
      <c r="V7" s="26"/>
      <c r="W7" s="563"/>
      <c r="X7" s="563"/>
      <c r="Y7" s="563"/>
      <c r="Z7" s="563"/>
      <c r="AA7" s="563"/>
      <c r="AB7" s="563"/>
      <c r="AC7" s="563"/>
      <c r="AD7" s="563"/>
      <c r="AE7" s="563"/>
      <c r="AF7" s="563"/>
      <c r="AG7" s="563"/>
      <c r="AH7" s="86"/>
      <c r="AI7" s="86"/>
      <c r="AJ7" s="87"/>
      <c r="AK7" s="44"/>
    </row>
    <row r="8" spans="1:51" ht="12" customHeight="1">
      <c r="A8" s="45"/>
      <c r="B8" s="559" t="s">
        <v>130</v>
      </c>
      <c r="C8" s="564"/>
      <c r="D8" s="564"/>
      <c r="E8" s="564"/>
      <c r="F8" s="564"/>
      <c r="G8" s="561"/>
      <c r="H8" s="561"/>
      <c r="I8" s="561"/>
      <c r="J8" s="561"/>
      <c r="K8" s="561"/>
      <c r="L8" s="561"/>
      <c r="M8" s="561"/>
      <c r="N8" s="561"/>
      <c r="O8" s="561"/>
      <c r="P8" s="561"/>
      <c r="Q8" s="117"/>
      <c r="S8" s="169"/>
      <c r="T8" s="82" t="s">
        <v>129</v>
      </c>
      <c r="U8" s="169"/>
      <c r="V8" s="169"/>
      <c r="W8" s="546"/>
      <c r="X8" s="546"/>
      <c r="Y8" s="546"/>
      <c r="Z8" s="546"/>
      <c r="AA8" s="546"/>
      <c r="AB8" s="546"/>
      <c r="AC8" s="546"/>
      <c r="AD8" s="546"/>
      <c r="AE8" s="546"/>
      <c r="AF8" s="546"/>
      <c r="AG8" s="546"/>
      <c r="AH8" s="89"/>
      <c r="AI8" s="90"/>
      <c r="AJ8" s="91"/>
      <c r="AK8" s="46"/>
      <c r="AY8" s="24" t="s">
        <v>258</v>
      </c>
    </row>
    <row r="9" spans="1:37" ht="1.5" customHeight="1">
      <c r="A9" s="45"/>
      <c r="B9" s="564"/>
      <c r="C9" s="564"/>
      <c r="D9" s="564"/>
      <c r="E9" s="564"/>
      <c r="F9" s="564"/>
      <c r="G9" s="572"/>
      <c r="H9" s="572"/>
      <c r="I9" s="572"/>
      <c r="J9" s="572"/>
      <c r="K9" s="572"/>
      <c r="L9" s="572"/>
      <c r="M9" s="572"/>
      <c r="N9" s="572"/>
      <c r="O9" s="572"/>
      <c r="P9" s="572"/>
      <c r="Q9" s="117"/>
      <c r="S9" s="169"/>
      <c r="T9" s="169"/>
      <c r="U9" s="169"/>
      <c r="V9" s="169"/>
      <c r="W9" s="547"/>
      <c r="X9" s="547"/>
      <c r="Y9" s="547"/>
      <c r="Z9" s="547"/>
      <c r="AA9" s="547"/>
      <c r="AB9" s="547"/>
      <c r="AC9" s="547"/>
      <c r="AD9" s="547"/>
      <c r="AE9" s="547"/>
      <c r="AF9" s="547"/>
      <c r="AG9" s="547"/>
      <c r="AH9" s="89"/>
      <c r="AI9" s="90"/>
      <c r="AJ9" s="91"/>
      <c r="AK9" s="46"/>
    </row>
    <row r="10" spans="2:52" ht="13.5" customHeight="1">
      <c r="B10" s="528" t="s">
        <v>132</v>
      </c>
      <c r="C10" s="564"/>
      <c r="D10" s="564"/>
      <c r="E10" s="564"/>
      <c r="F10" s="564"/>
      <c r="G10" s="522"/>
      <c r="H10" s="522"/>
      <c r="I10" s="522"/>
      <c r="J10" s="522"/>
      <c r="K10" s="522"/>
      <c r="L10" s="522"/>
      <c r="M10" s="522"/>
      <c r="N10" s="522"/>
      <c r="O10" s="522"/>
      <c r="P10" s="522"/>
      <c r="Q10" s="117"/>
      <c r="S10" s="26"/>
      <c r="T10" s="92" t="s">
        <v>129</v>
      </c>
      <c r="U10" s="26"/>
      <c r="V10" s="26"/>
      <c r="W10" s="545"/>
      <c r="X10" s="545"/>
      <c r="Y10" s="545"/>
      <c r="Z10" s="545"/>
      <c r="AA10" s="545"/>
      <c r="AB10" s="545"/>
      <c r="AC10" s="545"/>
      <c r="AD10" s="545"/>
      <c r="AE10" s="545"/>
      <c r="AF10" s="545"/>
      <c r="AG10" s="545"/>
      <c r="AH10" s="77"/>
      <c r="AI10" s="77"/>
      <c r="AJ10" s="48">
        <f>IF(W6="",1,VLOOKUP(W6,lookup!A5:J109,10))</f>
        <v>1</v>
      </c>
      <c r="AK10" s="42"/>
      <c r="AZ10" s="370">
        <f>IF($W$6="",1,VLOOKUP($W$6,lookup!$A$5:$J$109,10))</f>
        <v>1</v>
      </c>
    </row>
    <row r="11" spans="2:52" ht="9" customHeight="1">
      <c r="B11" s="77"/>
      <c r="C11" s="93"/>
      <c r="D11" s="93"/>
      <c r="E11" s="93"/>
      <c r="F11" s="93"/>
      <c r="G11" s="93"/>
      <c r="H11" s="93"/>
      <c r="I11" s="94"/>
      <c r="J11" s="95"/>
      <c r="K11" s="95"/>
      <c r="L11" s="95"/>
      <c r="M11" s="95"/>
      <c r="N11" s="95"/>
      <c r="O11" s="95"/>
      <c r="P11" s="95"/>
      <c r="Q11" s="77"/>
      <c r="R11" s="96"/>
      <c r="S11" s="77"/>
      <c r="T11" s="92"/>
      <c r="U11" s="92"/>
      <c r="V11" s="92"/>
      <c r="W11" s="92"/>
      <c r="X11" s="97"/>
      <c r="Y11" s="93"/>
      <c r="Z11" s="93"/>
      <c r="AA11" s="93"/>
      <c r="AB11" s="93"/>
      <c r="AC11" s="77"/>
      <c r="AD11" s="77"/>
      <c r="AE11" s="77"/>
      <c r="AF11" s="77"/>
      <c r="AG11" s="77"/>
      <c r="AH11" s="77"/>
      <c r="AI11" s="77"/>
      <c r="AJ11" s="48"/>
      <c r="AK11" s="42"/>
      <c r="AZ11" s="48"/>
    </row>
    <row r="12" spans="2:52" ht="12" customHeight="1">
      <c r="B12" s="339"/>
      <c r="C12" s="340"/>
      <c r="D12" s="340"/>
      <c r="E12" s="340"/>
      <c r="F12" s="340"/>
      <c r="G12" s="340"/>
      <c r="H12" s="340"/>
      <c r="I12" s="340"/>
      <c r="J12" s="340"/>
      <c r="K12" s="340"/>
      <c r="L12" s="340"/>
      <c r="M12" s="340"/>
      <c r="N12" s="340"/>
      <c r="O12" s="340"/>
      <c r="P12" s="340"/>
      <c r="Q12" s="340"/>
      <c r="R12" s="340"/>
      <c r="S12" s="340"/>
      <c r="T12" s="340"/>
      <c r="U12" s="340"/>
      <c r="V12" s="340"/>
      <c r="W12" s="340"/>
      <c r="X12" s="93"/>
      <c r="Y12" s="93"/>
      <c r="Z12" s="93"/>
      <c r="AA12" s="93"/>
      <c r="AB12" s="40" t="s">
        <v>141</v>
      </c>
      <c r="AC12" s="549" t="s">
        <v>31</v>
      </c>
      <c r="AD12" s="549"/>
      <c r="AE12" s="93"/>
      <c r="AF12" s="93"/>
      <c r="AG12" s="93"/>
      <c r="AH12" s="93"/>
      <c r="AI12" s="93"/>
      <c r="AJ12" s="49"/>
      <c r="AK12" s="42"/>
      <c r="AZ12" s="49"/>
    </row>
    <row r="13" spans="2:52" ht="4.5" customHeight="1" thickBot="1">
      <c r="B13" s="93"/>
      <c r="C13" s="93"/>
      <c r="D13" s="93"/>
      <c r="E13" s="93"/>
      <c r="F13" s="93"/>
      <c r="G13" s="93"/>
      <c r="H13" s="93"/>
      <c r="I13" s="88"/>
      <c r="J13" s="88"/>
      <c r="K13" s="88"/>
      <c r="L13" s="88"/>
      <c r="M13" s="88"/>
      <c r="N13" s="88"/>
      <c r="O13" s="88"/>
      <c r="P13" s="88"/>
      <c r="Q13" s="88"/>
      <c r="R13" s="88"/>
      <c r="S13" s="88"/>
      <c r="T13" s="88"/>
      <c r="U13" s="88"/>
      <c r="V13" s="88"/>
      <c r="W13" s="88"/>
      <c r="X13" s="88"/>
      <c r="Y13" s="93"/>
      <c r="Z13" s="93"/>
      <c r="AA13" s="93"/>
      <c r="AB13" s="93"/>
      <c r="AC13" s="88"/>
      <c r="AD13" s="88"/>
      <c r="AE13" s="88"/>
      <c r="AF13" s="88"/>
      <c r="AG13" s="88"/>
      <c r="AH13" s="88"/>
      <c r="AI13" s="88"/>
      <c r="AJ13" s="49"/>
      <c r="AK13" s="42"/>
      <c r="AZ13" s="49"/>
    </row>
    <row r="14" spans="2:52" ht="13.5" customHeight="1">
      <c r="B14" s="98"/>
      <c r="C14" s="99"/>
      <c r="D14" s="99"/>
      <c r="E14" s="99"/>
      <c r="F14" s="99"/>
      <c r="G14" s="99"/>
      <c r="H14" s="99"/>
      <c r="I14" s="372"/>
      <c r="J14" s="372"/>
      <c r="K14" s="372"/>
      <c r="L14" s="372"/>
      <c r="M14" s="372"/>
      <c r="N14" s="372"/>
      <c r="O14" s="372"/>
      <c r="P14" s="372"/>
      <c r="Q14" s="372"/>
      <c r="R14" s="372"/>
      <c r="S14" s="372"/>
      <c r="T14" s="372"/>
      <c r="U14" s="372"/>
      <c r="V14" s="372"/>
      <c r="W14" s="372"/>
      <c r="X14" s="372"/>
      <c r="Y14" s="99"/>
      <c r="Z14" s="99"/>
      <c r="AA14" s="99"/>
      <c r="AB14" s="99"/>
      <c r="AC14" s="372"/>
      <c r="AD14" s="372"/>
      <c r="AE14" s="372"/>
      <c r="AF14" s="372"/>
      <c r="AG14" s="372"/>
      <c r="AH14" s="372"/>
      <c r="AI14" s="373"/>
      <c r="AJ14" s="49"/>
      <c r="AK14" s="42"/>
      <c r="AZ14" s="49"/>
    </row>
    <row r="15" spans="2:52" ht="13.5" customHeight="1">
      <c r="B15" s="100"/>
      <c r="C15" s="559" t="s">
        <v>231</v>
      </c>
      <c r="D15" s="521"/>
      <c r="E15" s="521"/>
      <c r="F15" s="521"/>
      <c r="G15" s="521"/>
      <c r="H15" s="170"/>
      <c r="I15" s="225"/>
      <c r="J15" s="82"/>
      <c r="K15" s="82"/>
      <c r="L15" s="84"/>
      <c r="M15" s="93"/>
      <c r="N15" s="93"/>
      <c r="O15" s="93"/>
      <c r="P15" s="93"/>
      <c r="Q15" s="93"/>
      <c r="R15" s="93"/>
      <c r="S15" s="93"/>
      <c r="T15" s="93"/>
      <c r="U15" s="93"/>
      <c r="V15" s="93"/>
      <c r="W15" s="93"/>
      <c r="X15" s="93"/>
      <c r="Y15" s="93"/>
      <c r="Z15" s="93"/>
      <c r="AA15" s="93"/>
      <c r="AB15" s="93"/>
      <c r="AC15" s="93"/>
      <c r="AD15" s="93"/>
      <c r="AE15" s="93"/>
      <c r="AF15" s="93"/>
      <c r="AG15" s="93"/>
      <c r="AH15" s="93"/>
      <c r="AI15" s="102"/>
      <c r="AJ15" s="49"/>
      <c r="AK15" s="42"/>
      <c r="AW15" s="211"/>
      <c r="AX15" s="211"/>
      <c r="AY15" s="211"/>
      <c r="AZ15" s="211"/>
    </row>
    <row r="16" spans="2:52" ht="13.5" customHeight="1">
      <c r="B16" s="100"/>
      <c r="C16" s="82"/>
      <c r="D16" s="33"/>
      <c r="E16" s="33"/>
      <c r="F16" s="33"/>
      <c r="G16" s="33"/>
      <c r="H16" s="84"/>
      <c r="I16" s="225"/>
      <c r="J16" s="82"/>
      <c r="K16" s="82"/>
      <c r="L16" s="84"/>
      <c r="M16" s="93"/>
      <c r="N16" s="93"/>
      <c r="O16" s="93"/>
      <c r="P16" s="93"/>
      <c r="Q16" s="93"/>
      <c r="R16" s="93"/>
      <c r="S16" s="93"/>
      <c r="T16" s="93"/>
      <c r="U16" s="93"/>
      <c r="V16" s="93"/>
      <c r="W16" s="93"/>
      <c r="X16" s="93"/>
      <c r="Y16" s="93"/>
      <c r="Z16" s="93"/>
      <c r="AA16" s="93"/>
      <c r="AB16" s="93"/>
      <c r="AC16" s="93"/>
      <c r="AD16" s="93"/>
      <c r="AE16" s="93"/>
      <c r="AF16" s="93"/>
      <c r="AG16" s="93"/>
      <c r="AH16" s="93"/>
      <c r="AI16" s="102"/>
      <c r="AJ16" s="49"/>
      <c r="AK16" s="42"/>
      <c r="AW16" s="211"/>
      <c r="AX16" s="211"/>
      <c r="AY16" s="211"/>
      <c r="AZ16" s="211"/>
    </row>
    <row r="17" spans="2:52" ht="13.5" customHeight="1">
      <c r="B17" s="100"/>
      <c r="C17" s="529" t="s">
        <v>143</v>
      </c>
      <c r="D17" s="529"/>
      <c r="E17" s="529"/>
      <c r="F17" s="529"/>
      <c r="G17" s="529"/>
      <c r="H17" s="524">
        <f>IF(OR(H19="",W6=""),"",VLOOKUP($W$6,lookup!$A$5:$I$109,9))</f>
      </c>
      <c r="I17" s="524"/>
      <c r="J17" s="101">
        <f>IF(H19="","",IF(H19&gt;H17,"Stream Obstruction Permit may be needed",""))</f>
      </c>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102"/>
      <c r="AJ17" s="49"/>
      <c r="AK17" s="42"/>
      <c r="AW17" s="211"/>
      <c r="AX17" s="211"/>
      <c r="AY17" s="211"/>
      <c r="AZ17" s="211"/>
    </row>
    <row r="18" spans="2:52" ht="13.5" customHeight="1">
      <c r="B18" s="100"/>
      <c r="C18" s="41"/>
      <c r="D18" s="41"/>
      <c r="E18" s="41"/>
      <c r="F18" s="41"/>
      <c r="G18" s="41"/>
      <c r="H18" s="359"/>
      <c r="I18" s="359"/>
      <c r="J18" s="101"/>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102"/>
      <c r="AJ18" s="49"/>
      <c r="AK18" s="42"/>
      <c r="AW18" s="211"/>
      <c r="AX18" s="211"/>
      <c r="AY18" s="24" t="s">
        <v>259</v>
      </c>
      <c r="AZ18" s="49"/>
    </row>
    <row r="19" spans="2:52" ht="13.5" customHeight="1">
      <c r="B19" s="100"/>
      <c r="C19" s="529" t="s">
        <v>279</v>
      </c>
      <c r="D19" s="529"/>
      <c r="E19" s="529"/>
      <c r="F19" s="529"/>
      <c r="G19" s="529"/>
      <c r="H19" s="518">
        <f>'CN calc'!D48</f>
      </c>
      <c r="I19" s="518"/>
      <c r="J19" s="93" t="s">
        <v>133</v>
      </c>
      <c r="L19" s="93"/>
      <c r="M19" s="523">
        <f>IF(H19="","",ROUND(H19/640,2))</f>
      </c>
      <c r="N19" s="523"/>
      <c r="O19" s="93" t="s">
        <v>412</v>
      </c>
      <c r="P19" s="93"/>
      <c r="Q19" s="531" t="s">
        <v>262</v>
      </c>
      <c r="R19" s="531"/>
      <c r="S19" s="531"/>
      <c r="T19" s="531"/>
      <c r="U19" s="548"/>
      <c r="V19" s="548"/>
      <c r="W19" s="24" t="s">
        <v>220</v>
      </c>
      <c r="Y19" s="552" t="s">
        <v>263</v>
      </c>
      <c r="Z19" s="552"/>
      <c r="AA19" s="552"/>
      <c r="AB19" s="552"/>
      <c r="AC19" s="552"/>
      <c r="AD19" s="552"/>
      <c r="AE19" s="550"/>
      <c r="AF19" s="550"/>
      <c r="AG19" s="24" t="s">
        <v>29</v>
      </c>
      <c r="AI19" s="212"/>
      <c r="AJ19" s="49"/>
      <c r="AW19" s="211"/>
      <c r="AX19" s="211"/>
      <c r="AZ19" s="371" t="str">
        <f>IF($M$19="","true","false")</f>
        <v>true</v>
      </c>
    </row>
    <row r="20" spans="2:52" ht="13.5" customHeight="1">
      <c r="B20" s="100"/>
      <c r="C20" s="525" t="s">
        <v>261</v>
      </c>
      <c r="D20" s="525"/>
      <c r="E20" s="525"/>
      <c r="F20" s="525"/>
      <c r="G20" s="525"/>
      <c r="H20" s="564"/>
      <c r="I20" s="564"/>
      <c r="J20" s="564"/>
      <c r="K20" s="564"/>
      <c r="L20" s="564"/>
      <c r="M20" s="532">
        <f>IF('CN calc'!D49&gt;60,'CN calc'!D49,60)</f>
      </c>
      <c r="N20" s="532"/>
      <c r="O20" s="93"/>
      <c r="P20" s="534" t="s">
        <v>264</v>
      </c>
      <c r="Q20" s="530"/>
      <c r="R20" s="530"/>
      <c r="S20" s="530"/>
      <c r="T20" s="530"/>
      <c r="U20" s="530"/>
      <c r="V20" s="530"/>
      <c r="W20" s="530"/>
      <c r="X20" s="530"/>
      <c r="Y20" s="553">
        <f>IF(OR(M20="",U19="",AE19=""),"",ROUND((U19^0.8*((1000/M20)-9)^0.7)/(1140*AE19^0.5),1))</f>
      </c>
      <c r="Z20" s="553"/>
      <c r="AA20" s="211" t="s">
        <v>265</v>
      </c>
      <c r="AB20" s="211"/>
      <c r="AC20" s="228"/>
      <c r="AI20" s="212"/>
      <c r="AJ20" s="49"/>
      <c r="AZ20" s="49"/>
    </row>
    <row r="21" spans="2:52" ht="13.5" customHeight="1">
      <c r="B21" s="100"/>
      <c r="C21" s="358"/>
      <c r="D21" s="358"/>
      <c r="E21" s="358"/>
      <c r="F21" s="358"/>
      <c r="G21" s="358"/>
      <c r="H21" s="84"/>
      <c r="I21" s="84"/>
      <c r="J21" s="20"/>
      <c r="K21" s="93"/>
      <c r="L21" s="93"/>
      <c r="M21" s="93"/>
      <c r="N21" s="93"/>
      <c r="O21" s="93"/>
      <c r="P21" s="93"/>
      <c r="Q21" s="93"/>
      <c r="R21" s="93"/>
      <c r="S21" s="357"/>
      <c r="T21" s="357"/>
      <c r="U21" s="211"/>
      <c r="V21" s="211"/>
      <c r="W21" s="211"/>
      <c r="X21" s="211"/>
      <c r="Y21" s="211"/>
      <c r="Z21" s="374"/>
      <c r="AA21" s="374"/>
      <c r="AB21" s="211"/>
      <c r="AC21" s="211"/>
      <c r="AD21" s="211"/>
      <c r="AE21" s="211"/>
      <c r="AF21" s="213"/>
      <c r="AG21" s="211"/>
      <c r="AH21" s="211"/>
      <c r="AI21" s="212"/>
      <c r="AJ21" s="49"/>
      <c r="AZ21" s="49"/>
    </row>
    <row r="22" spans="2:52" ht="13.5" customHeight="1">
      <c r="B22" s="100"/>
      <c r="C22" s="549" t="s">
        <v>144</v>
      </c>
      <c r="D22" s="556"/>
      <c r="E22" s="556"/>
      <c r="F22" s="556"/>
      <c r="G22" s="556"/>
      <c r="H22" s="93"/>
      <c r="I22" s="549" t="s">
        <v>145</v>
      </c>
      <c r="J22" s="549"/>
      <c r="K22" s="549"/>
      <c r="L22" s="549"/>
      <c r="M22" s="93"/>
      <c r="N22" s="93"/>
      <c r="O22" s="93"/>
      <c r="P22" s="549" t="s">
        <v>146</v>
      </c>
      <c r="Q22" s="549"/>
      <c r="R22" s="549"/>
      <c r="S22" s="549"/>
      <c r="T22" s="93"/>
      <c r="V22" s="555" t="s">
        <v>178</v>
      </c>
      <c r="W22" s="556"/>
      <c r="X22" s="556"/>
      <c r="Y22" s="556"/>
      <c r="Z22" s="556"/>
      <c r="AA22" s="211"/>
      <c r="AB22" s="211"/>
      <c r="AC22" s="211"/>
      <c r="AD22" s="211"/>
      <c r="AE22" s="211"/>
      <c r="AF22" s="211"/>
      <c r="AG22" s="211"/>
      <c r="AH22" s="211"/>
      <c r="AI22" s="212"/>
      <c r="AJ22" s="49"/>
      <c r="AK22" s="42"/>
      <c r="AW22" s="24" t="s">
        <v>260</v>
      </c>
      <c r="AZ22" s="49"/>
    </row>
    <row r="23" spans="2:54" ht="13.5" customHeight="1">
      <c r="B23" s="104"/>
      <c r="C23" s="559" t="s">
        <v>402</v>
      </c>
      <c r="D23" s="533"/>
      <c r="E23" s="533"/>
      <c r="F23" s="533"/>
      <c r="G23" s="533"/>
      <c r="H23" s="533"/>
      <c r="I23" s="526">
        <f>IF($W$6="","",VLOOKUP($W$6,lookup!$A$5:$H$109,2))</f>
      </c>
      <c r="J23" s="526"/>
      <c r="K23" s="93" t="s">
        <v>147</v>
      </c>
      <c r="L23" s="93"/>
      <c r="M23" s="93"/>
      <c r="N23" s="93"/>
      <c r="O23" s="93"/>
      <c r="P23" s="538">
        <f>IF(OR($M$20="",I23=""),"",(I23-0.2*(1000/$M$20-10))^2/(I23+0.8*(1000/$M$20-10)))</f>
      </c>
      <c r="Q23" s="538"/>
      <c r="R23" s="93" t="s">
        <v>147</v>
      </c>
      <c r="S23" s="93"/>
      <c r="T23" s="93"/>
      <c r="U23" s="93"/>
      <c r="V23" s="93"/>
      <c r="W23" s="551">
        <f>IF(OR(H19="",U19="",AE19=""),"",ROUND(H19*P23*lookup!G116,0))</f>
      </c>
      <c r="X23" s="551"/>
      <c r="Y23" s="93" t="s">
        <v>135</v>
      </c>
      <c r="Z23" s="105">
        <f>IF(ISNUMBER(W23),W23,"")</f>
      </c>
      <c r="AA23" s="93"/>
      <c r="AB23" s="93"/>
      <c r="AC23" s="93"/>
      <c r="AD23" s="93"/>
      <c r="AE23" s="93"/>
      <c r="AI23" s="394"/>
      <c r="AJ23" s="49"/>
      <c r="AK23" s="42"/>
      <c r="AW23" s="539">
        <f>IF(M20="","",ROUND(HLOOKUP(M20,lookup!$A$132:$BD$133,2)/I23,2))</f>
      </c>
      <c r="AX23" s="540"/>
      <c r="AY23" s="540"/>
      <c r="AZ23" s="541"/>
      <c r="BB23" s="24" t="s">
        <v>225</v>
      </c>
    </row>
    <row r="24" spans="2:55" ht="13.5" customHeight="1">
      <c r="B24" s="100"/>
      <c r="C24" s="559" t="s">
        <v>403</v>
      </c>
      <c r="D24" s="533"/>
      <c r="E24" s="533"/>
      <c r="F24" s="533"/>
      <c r="G24" s="533"/>
      <c r="H24" s="533"/>
      <c r="I24" s="527">
        <f>IF($W$6="","",VLOOKUP($W$6,lookup!$A$5:$H$109,4))</f>
      </c>
      <c r="J24" s="527"/>
      <c r="K24" s="93" t="s">
        <v>147</v>
      </c>
      <c r="L24" s="93"/>
      <c r="M24" s="93"/>
      <c r="N24" s="93"/>
      <c r="O24" s="93"/>
      <c r="P24" s="538">
        <f>IF(OR($M$20="",I24=""),"",(I24-0.2*(1000/$M$20-10))^2/(I24+0.8*(1000/$M$20-10)))</f>
      </c>
      <c r="Q24" s="538"/>
      <c r="R24" s="93" t="s">
        <v>147</v>
      </c>
      <c r="S24" s="93"/>
      <c r="T24" s="93"/>
      <c r="U24" s="93"/>
      <c r="V24" s="93"/>
      <c r="W24" s="551">
        <f>IF(OR(H19="",U19="",AE19=""),"",ROUND(H19*P24*lookup!I116,0))</f>
      </c>
      <c r="X24" s="551"/>
      <c r="Y24" s="93" t="s">
        <v>135</v>
      </c>
      <c r="Z24" s="105">
        <f>IF(ISNUMBER(W24),W24,"")</f>
      </c>
      <c r="AA24" s="93"/>
      <c r="AB24" s="93"/>
      <c r="AC24" s="93"/>
      <c r="AD24" s="93"/>
      <c r="AE24" s="93"/>
      <c r="AI24" s="394"/>
      <c r="AJ24" s="49"/>
      <c r="AK24" s="42"/>
      <c r="AO24" s="106"/>
      <c r="AW24" s="542">
        <f>IF(M20="","",ROUND(HLOOKUP(M20,lookup!$A$132:$BD$133,2)/I24,2))</f>
      </c>
      <c r="AX24" s="543"/>
      <c r="AY24" s="543"/>
      <c r="AZ24" s="544"/>
      <c r="BB24" s="342" t="s">
        <v>226</v>
      </c>
      <c r="BC24" s="341">
        <v>2</v>
      </c>
    </row>
    <row r="25" spans="2:55" ht="13.5" customHeight="1">
      <c r="B25" s="100"/>
      <c r="C25" s="559" t="s">
        <v>404</v>
      </c>
      <c r="D25" s="533"/>
      <c r="E25" s="533"/>
      <c r="F25" s="533"/>
      <c r="G25" s="533"/>
      <c r="H25" s="533"/>
      <c r="I25" s="527">
        <f>IF($W$6="","",VLOOKUP($W$6,lookup!$A$5:$H$109,5))</f>
      </c>
      <c r="J25" s="527"/>
      <c r="K25" s="93" t="s">
        <v>147</v>
      </c>
      <c r="L25" s="93"/>
      <c r="M25" s="93"/>
      <c r="N25" s="93"/>
      <c r="O25" s="93"/>
      <c r="P25" s="538">
        <f>IF(OR($M$20="",I25=""),"",(I25-0.2*(1000/$M$20-10))^2/(I25+0.8*(1000/$M$20-10)))</f>
      </c>
      <c r="Q25" s="538"/>
      <c r="R25" s="93" t="s">
        <v>147</v>
      </c>
      <c r="S25" s="93"/>
      <c r="T25" s="93"/>
      <c r="U25" s="93"/>
      <c r="V25" s="93"/>
      <c r="W25" s="554">
        <f>IF(OR(H19="",U19="",AE19=""),"",ROUND(H19*P25*lookup!K116,0))</f>
      </c>
      <c r="X25" s="554"/>
      <c r="Y25" s="93" t="s">
        <v>135</v>
      </c>
      <c r="Z25" s="105">
        <f>IF(ISNUMBER(W25),W25,"")</f>
      </c>
      <c r="AA25" s="93"/>
      <c r="AB25" s="93"/>
      <c r="AC25" s="93"/>
      <c r="AD25" s="93"/>
      <c r="AE25" s="93"/>
      <c r="AI25" s="394"/>
      <c r="AJ25" s="49"/>
      <c r="AK25" s="42"/>
      <c r="AW25" s="535">
        <f>IF(M20="","",ROUND(HLOOKUP(M20,lookup!$A$132:$BD$133,2)/I25,2))</f>
      </c>
      <c r="AX25" s="536"/>
      <c r="AY25" s="536"/>
      <c r="AZ25" s="537"/>
      <c r="BB25" s="342" t="s">
        <v>227</v>
      </c>
      <c r="BC25" s="341">
        <v>1</v>
      </c>
    </row>
    <row r="26" spans="2:37" ht="13.5" customHeight="1">
      <c r="B26" s="214"/>
      <c r="C26" s="215"/>
      <c r="D26" s="216"/>
      <c r="E26" s="216"/>
      <c r="F26" s="216"/>
      <c r="G26" s="216"/>
      <c r="H26" s="216"/>
      <c r="I26" s="217"/>
      <c r="J26" s="217"/>
      <c r="K26" s="216"/>
      <c r="L26" s="216"/>
      <c r="M26" s="216"/>
      <c r="N26" s="216"/>
      <c r="O26" s="216"/>
      <c r="P26" s="218"/>
      <c r="Q26" s="218"/>
      <c r="R26" s="216"/>
      <c r="S26" s="216"/>
      <c r="T26" s="216"/>
      <c r="U26" s="216"/>
      <c r="V26" s="216"/>
      <c r="W26" s="218"/>
      <c r="X26" s="218"/>
      <c r="Y26" s="216"/>
      <c r="Z26" s="219"/>
      <c r="AA26" s="216"/>
      <c r="AB26" s="216"/>
      <c r="AC26" s="216"/>
      <c r="AD26" s="216"/>
      <c r="AE26" s="216"/>
      <c r="AF26" s="220"/>
      <c r="AG26" s="220"/>
      <c r="AH26" s="220"/>
      <c r="AI26" s="221"/>
      <c r="AJ26" s="49"/>
      <c r="AK26" s="42"/>
    </row>
    <row r="27" spans="2:52" ht="13.5" customHeight="1">
      <c r="B27" s="100"/>
      <c r="C27" s="375"/>
      <c r="D27" s="376"/>
      <c r="E27" s="376"/>
      <c r="F27" s="376"/>
      <c r="G27" s="376"/>
      <c r="H27" s="376"/>
      <c r="I27" s="377"/>
      <c r="J27" s="377"/>
      <c r="K27" s="376"/>
      <c r="L27" s="376"/>
      <c r="M27" s="93"/>
      <c r="N27" s="93"/>
      <c r="O27" s="93"/>
      <c r="P27" s="208"/>
      <c r="Q27" s="208"/>
      <c r="R27" s="93"/>
      <c r="S27" s="93"/>
      <c r="T27" s="93"/>
      <c r="U27" s="93"/>
      <c r="V27" s="93"/>
      <c r="W27" s="208"/>
      <c r="X27" s="208"/>
      <c r="Y27" s="93"/>
      <c r="Z27" s="105"/>
      <c r="AA27" s="93"/>
      <c r="AB27" s="93"/>
      <c r="AC27" s="93"/>
      <c r="AD27" s="93"/>
      <c r="AE27" s="93"/>
      <c r="AF27" s="174"/>
      <c r="AG27" s="174"/>
      <c r="AH27" s="174"/>
      <c r="AI27" s="356"/>
      <c r="AJ27" s="49"/>
      <c r="AK27" s="42"/>
      <c r="AZ27" s="49"/>
    </row>
    <row r="28" spans="2:54" ht="13.5" customHeight="1">
      <c r="B28" s="100"/>
      <c r="C28" s="559" t="s">
        <v>231</v>
      </c>
      <c r="D28" s="521"/>
      <c r="E28" s="521"/>
      <c r="F28" s="521"/>
      <c r="G28" s="521"/>
      <c r="H28" s="170"/>
      <c r="I28" s="225"/>
      <c r="J28" s="82"/>
      <c r="K28" s="82"/>
      <c r="L28" s="84"/>
      <c r="M28" s="93"/>
      <c r="N28" s="93"/>
      <c r="O28" s="93"/>
      <c r="P28" s="93"/>
      <c r="Q28" s="93"/>
      <c r="R28" s="93"/>
      <c r="S28" s="93"/>
      <c r="T28" s="93"/>
      <c r="U28" s="93"/>
      <c r="V28" s="93"/>
      <c r="W28" s="93"/>
      <c r="X28" s="93"/>
      <c r="Y28" s="93"/>
      <c r="Z28" s="93"/>
      <c r="AA28" s="93"/>
      <c r="AB28" s="93"/>
      <c r="AC28" s="93"/>
      <c r="AD28" s="93"/>
      <c r="AE28" s="93"/>
      <c r="AF28" s="105"/>
      <c r="AG28" s="105"/>
      <c r="AH28" s="105"/>
      <c r="AI28" s="111"/>
      <c r="BB28" s="24">
        <f>IF(H28=H15,1,2)</f>
        <v>1</v>
      </c>
    </row>
    <row r="29" spans="2:35" ht="13.5" customHeight="1">
      <c r="B29" s="100"/>
      <c r="C29" s="82"/>
      <c r="D29" s="33"/>
      <c r="E29" s="33"/>
      <c r="F29" s="33"/>
      <c r="G29" s="33"/>
      <c r="H29" s="33"/>
      <c r="I29" s="225"/>
      <c r="J29" s="82"/>
      <c r="K29" s="82"/>
      <c r="L29" s="84"/>
      <c r="M29" s="93"/>
      <c r="N29" s="93"/>
      <c r="O29" s="93"/>
      <c r="P29" s="93"/>
      <c r="Q29" s="93"/>
      <c r="R29" s="93"/>
      <c r="S29" s="93"/>
      <c r="T29" s="93"/>
      <c r="U29" s="93"/>
      <c r="V29" s="93"/>
      <c r="W29" s="93"/>
      <c r="X29" s="93"/>
      <c r="Y29" s="93"/>
      <c r="Z29" s="93"/>
      <c r="AA29" s="93"/>
      <c r="AB29" s="93"/>
      <c r="AC29" s="93"/>
      <c r="AD29" s="93"/>
      <c r="AE29" s="93"/>
      <c r="AF29" s="105"/>
      <c r="AG29" s="105"/>
      <c r="AH29" s="105"/>
      <c r="AI29" s="111"/>
    </row>
    <row r="30" spans="2:35" ht="13.5" customHeight="1">
      <c r="B30" s="100"/>
      <c r="C30" s="529" t="s">
        <v>143</v>
      </c>
      <c r="D30" s="529"/>
      <c r="E30" s="529"/>
      <c r="F30" s="529"/>
      <c r="G30" s="529"/>
      <c r="H30" s="524">
        <f>IF(H32="","",VLOOKUP($W$6,lookup!$A$5:$I$109,9))</f>
      </c>
      <c r="I30" s="524"/>
      <c r="J30" s="101">
        <f>IF(H32="","",IF(H32&gt;H30,"Stream Obstruction Permit may be needed",""))</f>
      </c>
      <c r="K30" s="93"/>
      <c r="L30" s="93"/>
      <c r="M30" s="93"/>
      <c r="N30" s="93"/>
      <c r="O30" s="93"/>
      <c r="P30" s="93"/>
      <c r="Q30" s="93"/>
      <c r="R30" s="93"/>
      <c r="S30" s="93"/>
      <c r="T30" s="93"/>
      <c r="U30" s="93"/>
      <c r="V30" s="93"/>
      <c r="W30" s="93"/>
      <c r="X30" s="93"/>
      <c r="Y30" s="93"/>
      <c r="Z30" s="93"/>
      <c r="AA30" s="93"/>
      <c r="AB30" s="93"/>
      <c r="AC30" s="93"/>
      <c r="AD30" s="93"/>
      <c r="AE30" s="93"/>
      <c r="AF30" s="105"/>
      <c r="AG30" s="105"/>
      <c r="AH30" s="105"/>
      <c r="AI30" s="111"/>
    </row>
    <row r="31" spans="2:51" ht="13.5" customHeight="1">
      <c r="B31" s="100"/>
      <c r="C31" s="41"/>
      <c r="D31" s="41"/>
      <c r="E31" s="41"/>
      <c r="F31" s="41"/>
      <c r="G31" s="41"/>
      <c r="H31" s="359"/>
      <c r="I31" s="359"/>
      <c r="J31" s="101"/>
      <c r="K31" s="93"/>
      <c r="L31" s="93"/>
      <c r="M31" s="93"/>
      <c r="N31" s="93"/>
      <c r="O31" s="93"/>
      <c r="P31" s="93"/>
      <c r="Q31" s="93"/>
      <c r="R31" s="93"/>
      <c r="S31" s="93"/>
      <c r="T31" s="93"/>
      <c r="U31" s="93"/>
      <c r="V31" s="93"/>
      <c r="W31" s="93"/>
      <c r="X31" s="93"/>
      <c r="Y31" s="93"/>
      <c r="Z31" s="93"/>
      <c r="AA31" s="93"/>
      <c r="AB31" s="93"/>
      <c r="AC31" s="93"/>
      <c r="AD31" s="93"/>
      <c r="AE31" s="93"/>
      <c r="AF31" s="105"/>
      <c r="AG31" s="105"/>
      <c r="AH31" s="105"/>
      <c r="AI31" s="111"/>
      <c r="AY31" s="24" t="s">
        <v>259</v>
      </c>
    </row>
    <row r="32" spans="2:52" ht="13.5" customHeight="1">
      <c r="B32" s="100"/>
      <c r="C32" s="529" t="s">
        <v>405</v>
      </c>
      <c r="D32" s="529"/>
      <c r="E32" s="529"/>
      <c r="F32" s="529"/>
      <c r="G32" s="529"/>
      <c r="H32" s="518">
        <f>'CN calc'!D106</f>
      </c>
      <c r="I32" s="518"/>
      <c r="J32" s="93" t="s">
        <v>133</v>
      </c>
      <c r="L32" s="93"/>
      <c r="M32" s="523">
        <f>IF(H32="","",ROUND(H32/640,2))</f>
      </c>
      <c r="N32" s="523"/>
      <c r="O32" s="93" t="s">
        <v>412</v>
      </c>
      <c r="Q32" s="531" t="s">
        <v>262</v>
      </c>
      <c r="R32" s="531"/>
      <c r="S32" s="531"/>
      <c r="T32" s="531"/>
      <c r="U32" s="548"/>
      <c r="V32" s="548"/>
      <c r="W32" s="24" t="s">
        <v>220</v>
      </c>
      <c r="Y32" s="552" t="s">
        <v>263</v>
      </c>
      <c r="Z32" s="552"/>
      <c r="AA32" s="552"/>
      <c r="AB32" s="552"/>
      <c r="AC32" s="552"/>
      <c r="AD32" s="552"/>
      <c r="AE32" s="548"/>
      <c r="AF32" s="548"/>
      <c r="AG32" s="24" t="s">
        <v>29</v>
      </c>
      <c r="AH32" s="105"/>
      <c r="AI32" s="111"/>
      <c r="AZ32" s="371" t="str">
        <f>IF(M32="","true","false")</f>
        <v>true</v>
      </c>
    </row>
    <row r="33" spans="2:52" ht="13.5" customHeight="1">
      <c r="B33" s="100"/>
      <c r="C33" s="525" t="s">
        <v>261</v>
      </c>
      <c r="D33" s="525"/>
      <c r="E33" s="525"/>
      <c r="F33" s="525"/>
      <c r="G33" s="525"/>
      <c r="H33" s="564"/>
      <c r="I33" s="564"/>
      <c r="J33" s="564"/>
      <c r="K33" s="564"/>
      <c r="L33" s="564"/>
      <c r="M33" s="532">
        <f>IF('CN calc'!D107&gt;60,'CN calc'!D107,60)</f>
      </c>
      <c r="N33" s="532"/>
      <c r="O33" s="93"/>
      <c r="P33" s="534" t="s">
        <v>264</v>
      </c>
      <c r="Q33" s="530"/>
      <c r="R33" s="530"/>
      <c r="S33" s="530"/>
      <c r="T33" s="530"/>
      <c r="U33" s="530"/>
      <c r="V33" s="530"/>
      <c r="W33" s="530"/>
      <c r="X33" s="530"/>
      <c r="Y33" s="553">
        <f>IF(M33="","",IF(AE32="","",ROUND((U32^0.8*((1000/M33)-9)^0.7)/(1140*AE32^0.5),1)))</f>
      </c>
      <c r="Z33" s="553"/>
      <c r="AA33" s="211" t="s">
        <v>265</v>
      </c>
      <c r="AB33" s="93"/>
      <c r="AC33" s="93"/>
      <c r="AD33" s="93"/>
      <c r="AE33" s="93"/>
      <c r="AF33" s="103"/>
      <c r="AG33" s="105"/>
      <c r="AH33" s="105"/>
      <c r="AI33" s="111"/>
      <c r="AZ33" s="49"/>
    </row>
    <row r="34" spans="2:52" ht="13.5" customHeight="1">
      <c r="B34" s="100"/>
      <c r="C34" s="358"/>
      <c r="D34" s="358"/>
      <c r="E34" s="358"/>
      <c r="F34" s="358"/>
      <c r="G34" s="358"/>
      <c r="H34" s="84"/>
      <c r="I34" s="84"/>
      <c r="J34" s="20"/>
      <c r="K34" s="93"/>
      <c r="L34" s="93"/>
      <c r="M34" s="93"/>
      <c r="N34" s="93"/>
      <c r="O34" s="93"/>
      <c r="P34" s="93"/>
      <c r="Q34" s="93"/>
      <c r="R34" s="93"/>
      <c r="S34" s="357"/>
      <c r="T34" s="357"/>
      <c r="U34" s="93"/>
      <c r="V34" s="93"/>
      <c r="W34" s="93"/>
      <c r="X34" s="93"/>
      <c r="Y34" s="93"/>
      <c r="Z34" s="374"/>
      <c r="AA34" s="374"/>
      <c r="AB34" s="93"/>
      <c r="AC34" s="93"/>
      <c r="AD34" s="93"/>
      <c r="AE34" s="93"/>
      <c r="AF34" s="103"/>
      <c r="AG34" s="105"/>
      <c r="AH34" s="105"/>
      <c r="AI34" s="111"/>
      <c r="AZ34" s="49"/>
    </row>
    <row r="35" spans="2:52" ht="13.5" customHeight="1">
      <c r="B35" s="100"/>
      <c r="C35" s="549" t="s">
        <v>144</v>
      </c>
      <c r="D35" s="556"/>
      <c r="E35" s="556"/>
      <c r="F35" s="556"/>
      <c r="G35" s="556"/>
      <c r="H35" s="93"/>
      <c r="I35" s="549" t="s">
        <v>145</v>
      </c>
      <c r="J35" s="549"/>
      <c r="K35" s="549"/>
      <c r="L35" s="549"/>
      <c r="M35" s="93"/>
      <c r="N35" s="93"/>
      <c r="O35" s="93"/>
      <c r="P35" s="549" t="s">
        <v>146</v>
      </c>
      <c r="Q35" s="549"/>
      <c r="R35" s="549"/>
      <c r="S35" s="549"/>
      <c r="T35" s="93"/>
      <c r="V35" s="555" t="s">
        <v>178</v>
      </c>
      <c r="W35" s="556"/>
      <c r="X35" s="556"/>
      <c r="Y35" s="556"/>
      <c r="Z35" s="556"/>
      <c r="AA35" s="101">
        <f>IF(SUM(AA36:AA38)&gt;0,"Use Q from upper reach","")</f>
      </c>
      <c r="AB35" s="93"/>
      <c r="AC35" s="93"/>
      <c r="AD35" s="93"/>
      <c r="AE35" s="93"/>
      <c r="AF35" s="105"/>
      <c r="AG35" s="105"/>
      <c r="AH35" s="105"/>
      <c r="AI35" s="111"/>
      <c r="AW35" s="24" t="s">
        <v>260</v>
      </c>
      <c r="AZ35" s="49"/>
    </row>
    <row r="36" spans="2:52" ht="13.5" customHeight="1">
      <c r="B36" s="104"/>
      <c r="C36" s="559" t="s">
        <v>402</v>
      </c>
      <c r="D36" s="533"/>
      <c r="E36" s="533"/>
      <c r="F36" s="533"/>
      <c r="G36" s="533"/>
      <c r="H36" s="533"/>
      <c r="I36" s="526">
        <f>IF($W$6="","",VLOOKUP($W$6,lookup!$A$5:$H$109,2))</f>
      </c>
      <c r="J36" s="526"/>
      <c r="K36" s="93" t="s">
        <v>147</v>
      </c>
      <c r="L36" s="93"/>
      <c r="M36" s="93"/>
      <c r="N36" s="93"/>
      <c r="O36" s="93"/>
      <c r="P36" s="538">
        <f>IF(OR($M$33="",I36=""),"",(I36-0.2*(1000/$M$33-10))^2/(I36+0.8*(1000/$M$33-10)))</f>
      </c>
      <c r="Q36" s="538"/>
      <c r="R36" s="93" t="s">
        <v>147</v>
      </c>
      <c r="S36" s="93"/>
      <c r="T36" s="93"/>
      <c r="U36" s="93"/>
      <c r="V36" s="93"/>
      <c r="W36" s="551">
        <f>IF(OR(H32="",U32="",AE32=""),"",ROUND(H32*P36*lookup!G122,0))</f>
      </c>
      <c r="X36" s="551"/>
      <c r="Y36" s="93" t="s">
        <v>135</v>
      </c>
      <c r="AD36" s="93"/>
      <c r="AE36" s="93"/>
      <c r="AI36" s="394"/>
      <c r="AW36" s="539">
        <f>IF($M$33="","",ROUND(HLOOKUP($M$33,lookup!$A$132:$BD$133,2)/I36,2))</f>
      </c>
      <c r="AX36" s="540"/>
      <c r="AY36" s="540"/>
      <c r="AZ36" s="541"/>
    </row>
    <row r="37" spans="2:52" ht="13.5" customHeight="1">
      <c r="B37" s="100"/>
      <c r="C37" s="559" t="s">
        <v>403</v>
      </c>
      <c r="D37" s="533"/>
      <c r="E37" s="533"/>
      <c r="F37" s="533"/>
      <c r="G37" s="533"/>
      <c r="H37" s="533"/>
      <c r="I37" s="527">
        <f>IF($W$6="","",VLOOKUP($W$6,lookup!$A$5:$H$109,4))</f>
      </c>
      <c r="J37" s="527"/>
      <c r="K37" s="93" t="s">
        <v>147</v>
      </c>
      <c r="L37" s="93"/>
      <c r="M37" s="93"/>
      <c r="N37" s="93"/>
      <c r="O37" s="93"/>
      <c r="P37" s="538">
        <f>IF(OR($M$33="",I37=""),"",(I37-0.2*(1000/$M$33-10))^2/(I37+0.8*(1000/$M$33-10)))</f>
      </c>
      <c r="Q37" s="538"/>
      <c r="R37" s="93" t="s">
        <v>147</v>
      </c>
      <c r="S37" s="93"/>
      <c r="T37" s="93"/>
      <c r="U37" s="93"/>
      <c r="V37" s="93"/>
      <c r="W37" s="551">
        <f>IF(OR(H32="",U32="",AE32=""),"",ROUND(H32*P37*lookup!I122,0))</f>
      </c>
      <c r="X37" s="551"/>
      <c r="Y37" s="93" t="s">
        <v>135</v>
      </c>
      <c r="AD37" s="93"/>
      <c r="AE37" s="93"/>
      <c r="AI37" s="394"/>
      <c r="AW37" s="542">
        <f>IF($M$33="","",ROUND(HLOOKUP($M$33,lookup!$A$132:$BD$133,2)/I37,2))</f>
      </c>
      <c r="AX37" s="543"/>
      <c r="AY37" s="543"/>
      <c r="AZ37" s="544"/>
    </row>
    <row r="38" spans="2:52" ht="13.5" customHeight="1">
      <c r="B38" s="100"/>
      <c r="C38" s="559" t="s">
        <v>404</v>
      </c>
      <c r="D38" s="533"/>
      <c r="E38" s="533"/>
      <c r="F38" s="533"/>
      <c r="G38" s="533"/>
      <c r="H38" s="533"/>
      <c r="I38" s="527">
        <f>IF($W$6="","",VLOOKUP($W$6,lookup!$A$5:$H$109,5))</f>
      </c>
      <c r="J38" s="527"/>
      <c r="K38" s="93" t="s">
        <v>147</v>
      </c>
      <c r="L38" s="93"/>
      <c r="M38" s="93"/>
      <c r="N38" s="93"/>
      <c r="O38" s="93"/>
      <c r="P38" s="538">
        <f>IF(OR($M$33="",I38=""),"",(I38-0.2*(1000/$M$33-10))^2/(I38+0.8*(1000/$M$33-10)))</f>
      </c>
      <c r="Q38" s="538"/>
      <c r="R38" s="93" t="s">
        <v>147</v>
      </c>
      <c r="S38" s="93"/>
      <c r="T38" s="93"/>
      <c r="U38" s="93"/>
      <c r="V38" s="93"/>
      <c r="W38" s="554">
        <f>IF(OR(H32="",U32="",AE32=""),"",ROUND(H32*P38*lookup!K122,0))</f>
      </c>
      <c r="X38" s="554"/>
      <c r="Y38" s="93" t="s">
        <v>135</v>
      </c>
      <c r="AD38" s="93"/>
      <c r="AE38" s="93"/>
      <c r="AI38" s="394"/>
      <c r="AW38" s="535">
        <f>IF($M$33="","",ROUND(HLOOKUP($M$33,lookup!$A$132:$BD$133,2)/I38,2))</f>
      </c>
      <c r="AX38" s="536"/>
      <c r="AY38" s="536"/>
      <c r="AZ38" s="537"/>
    </row>
    <row r="39" spans="2:35" ht="13.5" customHeight="1" thickBot="1">
      <c r="B39" s="107"/>
      <c r="C39" s="108"/>
      <c r="D39" s="109"/>
      <c r="E39" s="109"/>
      <c r="F39" s="109"/>
      <c r="G39" s="109"/>
      <c r="H39" s="112"/>
      <c r="I39" s="172"/>
      <c r="J39" s="172"/>
      <c r="K39" s="109"/>
      <c r="L39" s="109"/>
      <c r="M39" s="109"/>
      <c r="N39" s="109"/>
      <c r="O39" s="109"/>
      <c r="P39" s="173"/>
      <c r="Q39" s="173"/>
      <c r="R39" s="109"/>
      <c r="S39" s="109"/>
      <c r="T39" s="109"/>
      <c r="U39" s="109"/>
      <c r="V39" s="109"/>
      <c r="W39" s="173"/>
      <c r="X39" s="173"/>
      <c r="Y39" s="109"/>
      <c r="Z39" s="110"/>
      <c r="AA39" s="222"/>
      <c r="AB39" s="223"/>
      <c r="AC39" s="109"/>
      <c r="AD39" s="109"/>
      <c r="AE39" s="109"/>
      <c r="AF39" s="175"/>
      <c r="AG39" s="175"/>
      <c r="AH39" s="175"/>
      <c r="AI39" s="171"/>
    </row>
    <row r="40" spans="2:35" ht="13.5" customHeight="1">
      <c r="B40" s="93"/>
      <c r="C40" s="207"/>
      <c r="D40" s="93"/>
      <c r="E40" s="93"/>
      <c r="F40" s="93"/>
      <c r="G40" s="93"/>
      <c r="H40" s="20"/>
      <c r="I40" s="88"/>
      <c r="J40" s="88"/>
      <c r="K40" s="93"/>
      <c r="L40" s="93"/>
      <c r="M40" s="93"/>
      <c r="N40" s="93"/>
      <c r="O40" s="93"/>
      <c r="P40" s="208"/>
      <c r="Q40" s="208"/>
      <c r="R40" s="93"/>
      <c r="S40" s="93"/>
      <c r="T40" s="93"/>
      <c r="U40" s="93"/>
      <c r="V40" s="93"/>
      <c r="W40" s="208"/>
      <c r="X40" s="208"/>
      <c r="Y40" s="93"/>
      <c r="Z40" s="105"/>
      <c r="AA40" s="209"/>
      <c r="AB40" s="210"/>
      <c r="AC40" s="93"/>
      <c r="AD40" s="93"/>
      <c r="AE40" s="93"/>
      <c r="AF40" s="174"/>
      <c r="AG40" s="174"/>
      <c r="AH40" s="174"/>
      <c r="AI40" s="174"/>
    </row>
    <row r="41" spans="2:35" ht="13.5" customHeight="1">
      <c r="B41"/>
      <c r="C41"/>
      <c r="D41"/>
      <c r="E41"/>
      <c r="F41"/>
      <c r="G41"/>
      <c r="H41"/>
      <c r="I41"/>
      <c r="J41"/>
      <c r="K41"/>
      <c r="L41"/>
      <c r="M41"/>
      <c r="N41"/>
      <c r="O41"/>
      <c r="P41"/>
      <c r="Q41"/>
      <c r="R41"/>
      <c r="S41"/>
      <c r="T41"/>
      <c r="U41"/>
      <c r="V41"/>
      <c r="W41"/>
      <c r="X41"/>
      <c r="Y41"/>
      <c r="Z41"/>
      <c r="AA41"/>
      <c r="AB41"/>
      <c r="AC41"/>
      <c r="AD41"/>
      <c r="AE41"/>
      <c r="AF41"/>
      <c r="AG41"/>
      <c r="AH41"/>
      <c r="AI41"/>
    </row>
    <row r="42" spans="2:35" ht="13.5" customHeight="1">
      <c r="B42"/>
      <c r="C42"/>
      <c r="D42"/>
      <c r="E42"/>
      <c r="F42"/>
      <c r="G42"/>
      <c r="H42"/>
      <c r="I42"/>
      <c r="J42"/>
      <c r="K42"/>
      <c r="L42"/>
      <c r="M42"/>
      <c r="N42"/>
      <c r="O42"/>
      <c r="P42"/>
      <c r="Q42"/>
      <c r="R42"/>
      <c r="S42"/>
      <c r="T42"/>
      <c r="U42"/>
      <c r="V42"/>
      <c r="W42"/>
      <c r="X42"/>
      <c r="Y42"/>
      <c r="Z42"/>
      <c r="AA42"/>
      <c r="AB42"/>
      <c r="AC42"/>
      <c r="AD42"/>
      <c r="AE42"/>
      <c r="AF42"/>
      <c r="AG42"/>
      <c r="AH42"/>
      <c r="AI42"/>
    </row>
    <row r="43" spans="2:35" ht="13.5" customHeight="1">
      <c r="B43"/>
      <c r="C43"/>
      <c r="D43"/>
      <c r="E43"/>
      <c r="F43"/>
      <c r="G43"/>
      <c r="H43"/>
      <c r="I43"/>
      <c r="J43"/>
      <c r="K43"/>
      <c r="L43"/>
      <c r="M43"/>
      <c r="N43"/>
      <c r="O43"/>
      <c r="P43"/>
      <c r="Q43"/>
      <c r="R43"/>
      <c r="S43"/>
      <c r="T43"/>
      <c r="U43"/>
      <c r="V43"/>
      <c r="W43"/>
      <c r="X43"/>
      <c r="Y43"/>
      <c r="Z43"/>
      <c r="AA43"/>
      <c r="AB43"/>
      <c r="AC43"/>
      <c r="AD43"/>
      <c r="AE43"/>
      <c r="AF43"/>
      <c r="AG43"/>
      <c r="AH43"/>
      <c r="AI43"/>
    </row>
    <row r="44" spans="2:35" ht="13.5" customHeight="1">
      <c r="B44"/>
      <c r="C44"/>
      <c r="D44"/>
      <c r="E44"/>
      <c r="F44"/>
      <c r="G44"/>
      <c r="H44"/>
      <c r="I44"/>
      <c r="J44"/>
      <c r="K44"/>
      <c r="L44"/>
      <c r="M44"/>
      <c r="N44"/>
      <c r="O44"/>
      <c r="P44"/>
      <c r="Q44"/>
      <c r="R44"/>
      <c r="S44"/>
      <c r="T44"/>
      <c r="U44"/>
      <c r="V44"/>
      <c r="W44"/>
      <c r="X44"/>
      <c r="Y44"/>
      <c r="Z44"/>
      <c r="AA44"/>
      <c r="AB44"/>
      <c r="AC44"/>
      <c r="AD44"/>
      <c r="AE44"/>
      <c r="AF44"/>
      <c r="AG44"/>
      <c r="AH44"/>
      <c r="AI44"/>
    </row>
    <row r="45" spans="2:35" ht="13.5" customHeight="1">
      <c r="B45"/>
      <c r="C45"/>
      <c r="D45"/>
      <c r="E45"/>
      <c r="F45"/>
      <c r="G45"/>
      <c r="H45"/>
      <c r="I45"/>
      <c r="J45"/>
      <c r="K45"/>
      <c r="L45"/>
      <c r="M45"/>
      <c r="N45"/>
      <c r="O45"/>
      <c r="P45"/>
      <c r="Q45"/>
      <c r="R45"/>
      <c r="S45"/>
      <c r="T45"/>
      <c r="U45"/>
      <c r="V45"/>
      <c r="W45"/>
      <c r="X45"/>
      <c r="Y45"/>
      <c r="Z45"/>
      <c r="AA45"/>
      <c r="AB45"/>
      <c r="AC45"/>
      <c r="AD45"/>
      <c r="AE45"/>
      <c r="AF45"/>
      <c r="AG45"/>
      <c r="AH45"/>
      <c r="AI45"/>
    </row>
    <row r="46" spans="2:35" ht="13.5" customHeight="1">
      <c r="B46"/>
      <c r="C46"/>
      <c r="D46"/>
      <c r="E46"/>
      <c r="F46"/>
      <c r="G46"/>
      <c r="H46"/>
      <c r="I46"/>
      <c r="J46"/>
      <c r="K46"/>
      <c r="L46"/>
      <c r="M46"/>
      <c r="N46"/>
      <c r="O46"/>
      <c r="P46"/>
      <c r="Q46"/>
      <c r="R46"/>
      <c r="S46"/>
      <c r="T46"/>
      <c r="U46"/>
      <c r="V46"/>
      <c r="W46"/>
      <c r="X46"/>
      <c r="Y46"/>
      <c r="Z46"/>
      <c r="AA46"/>
      <c r="AB46"/>
      <c r="AC46"/>
      <c r="AD46"/>
      <c r="AE46"/>
      <c r="AF46"/>
      <c r="AG46"/>
      <c r="AH46"/>
      <c r="AI46"/>
    </row>
    <row r="47" spans="2:35" ht="13.5" customHeight="1">
      <c r="B47"/>
      <c r="C47"/>
      <c r="D47"/>
      <c r="E47"/>
      <c r="F47"/>
      <c r="G47"/>
      <c r="H47"/>
      <c r="I47"/>
      <c r="J47"/>
      <c r="K47"/>
      <c r="L47"/>
      <c r="M47"/>
      <c r="N47"/>
      <c r="O47"/>
      <c r="P47"/>
      <c r="Q47"/>
      <c r="R47"/>
      <c r="S47"/>
      <c r="T47"/>
      <c r="U47"/>
      <c r="V47"/>
      <c r="W47"/>
      <c r="X47"/>
      <c r="Y47"/>
      <c r="Z47"/>
      <c r="AA47"/>
      <c r="AB47"/>
      <c r="AC47"/>
      <c r="AD47"/>
      <c r="AE47"/>
      <c r="AF47"/>
      <c r="AG47"/>
      <c r="AH47"/>
      <c r="AI47"/>
    </row>
    <row r="48" spans="2:35" ht="13.5" customHeight="1">
      <c r="B48"/>
      <c r="C48"/>
      <c r="D48"/>
      <c r="E48"/>
      <c r="F48"/>
      <c r="G48"/>
      <c r="H48"/>
      <c r="I48"/>
      <c r="J48"/>
      <c r="K48"/>
      <c r="L48"/>
      <c r="M48"/>
      <c r="N48"/>
      <c r="O48"/>
      <c r="P48"/>
      <c r="Q48"/>
      <c r="R48"/>
      <c r="S48"/>
      <c r="T48"/>
      <c r="U48"/>
      <c r="V48"/>
      <c r="W48"/>
      <c r="X48"/>
      <c r="Y48"/>
      <c r="Z48"/>
      <c r="AA48"/>
      <c r="AB48"/>
      <c r="AC48"/>
      <c r="AD48"/>
      <c r="AE48"/>
      <c r="AF48"/>
      <c r="AG48"/>
      <c r="AH48"/>
      <c r="AI48"/>
    </row>
    <row r="49" spans="2:35" ht="13.5" customHeight="1">
      <c r="B49"/>
      <c r="C49"/>
      <c r="D49"/>
      <c r="E49"/>
      <c r="F49"/>
      <c r="G49"/>
      <c r="H49"/>
      <c r="I49"/>
      <c r="J49"/>
      <c r="K49"/>
      <c r="L49"/>
      <c r="M49"/>
      <c r="N49"/>
      <c r="O49"/>
      <c r="P49"/>
      <c r="Q49"/>
      <c r="R49"/>
      <c r="S49"/>
      <c r="T49"/>
      <c r="U49"/>
      <c r="V49"/>
      <c r="W49"/>
      <c r="X49"/>
      <c r="Y49"/>
      <c r="Z49"/>
      <c r="AA49"/>
      <c r="AB49"/>
      <c r="AC49"/>
      <c r="AD49"/>
      <c r="AE49"/>
      <c r="AF49"/>
      <c r="AG49"/>
      <c r="AH49"/>
      <c r="AI49"/>
    </row>
    <row r="50" spans="2:35" ht="13.5" customHeight="1">
      <c r="B50"/>
      <c r="C50"/>
      <c r="D50"/>
      <c r="E50"/>
      <c r="F50"/>
      <c r="G50"/>
      <c r="H50"/>
      <c r="I50"/>
      <c r="J50"/>
      <c r="K50"/>
      <c r="L50"/>
      <c r="M50"/>
      <c r="N50"/>
      <c r="O50"/>
      <c r="P50"/>
      <c r="Q50"/>
      <c r="R50"/>
      <c r="S50"/>
      <c r="T50"/>
      <c r="U50"/>
      <c r="V50"/>
      <c r="W50"/>
      <c r="X50"/>
      <c r="Y50"/>
      <c r="Z50"/>
      <c r="AA50"/>
      <c r="AB50"/>
      <c r="AC50"/>
      <c r="AD50"/>
      <c r="AE50"/>
      <c r="AF50"/>
      <c r="AG50"/>
      <c r="AH50"/>
      <c r="AI50"/>
    </row>
    <row r="51" spans="2:35" ht="13.5" customHeight="1">
      <c r="B51"/>
      <c r="C51"/>
      <c r="D51"/>
      <c r="E51"/>
      <c r="F51"/>
      <c r="G51"/>
      <c r="H51"/>
      <c r="I51"/>
      <c r="J51"/>
      <c r="K51"/>
      <c r="L51"/>
      <c r="M51"/>
      <c r="N51"/>
      <c r="O51"/>
      <c r="P51"/>
      <c r="Q51"/>
      <c r="R51"/>
      <c r="S51"/>
      <c r="T51"/>
      <c r="U51"/>
      <c r="V51"/>
      <c r="W51"/>
      <c r="X51"/>
      <c r="Y51"/>
      <c r="Z51"/>
      <c r="AA51"/>
      <c r="AB51"/>
      <c r="AC51"/>
      <c r="AD51"/>
      <c r="AE51"/>
      <c r="AF51"/>
      <c r="AG51"/>
      <c r="AH51"/>
      <c r="AI51"/>
    </row>
    <row r="52" spans="2:35" ht="13.5" customHeight="1">
      <c r="B52"/>
      <c r="C52"/>
      <c r="D52"/>
      <c r="E52"/>
      <c r="F52"/>
      <c r="G52"/>
      <c r="H52"/>
      <c r="I52"/>
      <c r="J52"/>
      <c r="K52"/>
      <c r="L52"/>
      <c r="M52"/>
      <c r="N52"/>
      <c r="O52"/>
      <c r="P52"/>
      <c r="Q52"/>
      <c r="R52"/>
      <c r="S52"/>
      <c r="T52"/>
      <c r="U52"/>
      <c r="V52"/>
      <c r="W52"/>
      <c r="X52"/>
      <c r="Y52"/>
      <c r="Z52"/>
      <c r="AA52"/>
      <c r="AB52"/>
      <c r="AC52"/>
      <c r="AD52"/>
      <c r="AE52"/>
      <c r="AF52"/>
      <c r="AG52"/>
      <c r="AH52"/>
      <c r="AI52"/>
    </row>
    <row r="53" spans="2:35" ht="13.5" customHeight="1">
      <c r="B53"/>
      <c r="C53"/>
      <c r="D53"/>
      <c r="E53"/>
      <c r="F53"/>
      <c r="G53"/>
      <c r="H53"/>
      <c r="I53"/>
      <c r="J53"/>
      <c r="K53"/>
      <c r="L53"/>
      <c r="M53"/>
      <c r="N53"/>
      <c r="O53"/>
      <c r="P53"/>
      <c r="Q53"/>
      <c r="R53"/>
      <c r="S53"/>
      <c r="T53"/>
      <c r="U53"/>
      <c r="V53"/>
      <c r="W53"/>
      <c r="X53"/>
      <c r="Y53"/>
      <c r="Z53"/>
      <c r="AA53"/>
      <c r="AB53"/>
      <c r="AC53"/>
      <c r="AD53"/>
      <c r="AE53"/>
      <c r="AF53"/>
      <c r="AG53"/>
      <c r="AH53"/>
      <c r="AI53"/>
    </row>
    <row r="54" spans="2:35" ht="13.5" customHeight="1">
      <c r="B54"/>
      <c r="C54"/>
      <c r="D54"/>
      <c r="E54"/>
      <c r="F54"/>
      <c r="G54"/>
      <c r="H54"/>
      <c r="I54"/>
      <c r="J54"/>
      <c r="K54"/>
      <c r="L54"/>
      <c r="M54"/>
      <c r="N54"/>
      <c r="O54"/>
      <c r="P54"/>
      <c r="Q54"/>
      <c r="R54"/>
      <c r="S54"/>
      <c r="T54"/>
      <c r="U54"/>
      <c r="V54"/>
      <c r="W54"/>
      <c r="X54"/>
      <c r="Y54"/>
      <c r="Z54"/>
      <c r="AA54"/>
      <c r="AB54"/>
      <c r="AC54"/>
      <c r="AD54"/>
      <c r="AE54"/>
      <c r="AF54"/>
      <c r="AG54"/>
      <c r="AH54"/>
      <c r="AI54"/>
    </row>
    <row r="55" spans="2:35" ht="13.5" customHeight="1">
      <c r="B55"/>
      <c r="C55"/>
      <c r="D55"/>
      <c r="E55"/>
      <c r="F55"/>
      <c r="G55"/>
      <c r="H55"/>
      <c r="I55"/>
      <c r="J55"/>
      <c r="K55"/>
      <c r="L55"/>
      <c r="M55"/>
      <c r="N55"/>
      <c r="O55"/>
      <c r="P55"/>
      <c r="Q55"/>
      <c r="R55"/>
      <c r="S55"/>
      <c r="T55"/>
      <c r="U55"/>
      <c r="V55"/>
      <c r="W55"/>
      <c r="X55"/>
      <c r="Y55"/>
      <c r="Z55"/>
      <c r="AA55"/>
      <c r="AB55"/>
      <c r="AC55"/>
      <c r="AD55"/>
      <c r="AE55"/>
      <c r="AF55"/>
      <c r="AG55"/>
      <c r="AH55"/>
      <c r="AI55"/>
    </row>
    <row r="56" spans="2:35" ht="13.5" customHeight="1">
      <c r="B56"/>
      <c r="C56"/>
      <c r="D56"/>
      <c r="E56"/>
      <c r="F56"/>
      <c r="G56"/>
      <c r="H56"/>
      <c r="I56"/>
      <c r="J56"/>
      <c r="K56"/>
      <c r="L56"/>
      <c r="M56"/>
      <c r="N56"/>
      <c r="O56"/>
      <c r="P56"/>
      <c r="Q56"/>
      <c r="R56"/>
      <c r="S56"/>
      <c r="T56"/>
      <c r="U56"/>
      <c r="V56"/>
      <c r="W56"/>
      <c r="X56"/>
      <c r="Y56"/>
      <c r="Z56"/>
      <c r="AA56"/>
      <c r="AB56"/>
      <c r="AC56"/>
      <c r="AD56"/>
      <c r="AE56"/>
      <c r="AF56"/>
      <c r="AG56"/>
      <c r="AH56"/>
      <c r="AI56"/>
    </row>
    <row r="57" spans="2:35" ht="13.5" customHeight="1">
      <c r="B57"/>
      <c r="C57"/>
      <c r="D57"/>
      <c r="E57"/>
      <c r="F57"/>
      <c r="G57"/>
      <c r="H57"/>
      <c r="I57"/>
      <c r="J57"/>
      <c r="K57"/>
      <c r="L57"/>
      <c r="M57"/>
      <c r="N57"/>
      <c r="O57"/>
      <c r="P57"/>
      <c r="Q57"/>
      <c r="R57"/>
      <c r="S57"/>
      <c r="T57"/>
      <c r="U57"/>
      <c r="V57"/>
      <c r="W57"/>
      <c r="X57"/>
      <c r="Y57"/>
      <c r="Z57"/>
      <c r="AA57"/>
      <c r="AB57"/>
      <c r="AC57"/>
      <c r="AD57"/>
      <c r="AE57"/>
      <c r="AF57"/>
      <c r="AG57"/>
      <c r="AH57"/>
      <c r="AI57"/>
    </row>
    <row r="58" spans="2:35" ht="13.5" customHeight="1">
      <c r="B58"/>
      <c r="C58"/>
      <c r="D58"/>
      <c r="E58"/>
      <c r="F58"/>
      <c r="G58"/>
      <c r="H58"/>
      <c r="I58"/>
      <c r="J58"/>
      <c r="K58"/>
      <c r="L58"/>
      <c r="M58"/>
      <c r="N58"/>
      <c r="O58"/>
      <c r="P58"/>
      <c r="Q58"/>
      <c r="R58"/>
      <c r="S58"/>
      <c r="T58"/>
      <c r="U58"/>
      <c r="V58"/>
      <c r="W58"/>
      <c r="X58"/>
      <c r="Y58"/>
      <c r="Z58"/>
      <c r="AA58"/>
      <c r="AB58"/>
      <c r="AC58"/>
      <c r="AD58"/>
      <c r="AE58"/>
      <c r="AF58"/>
      <c r="AG58"/>
      <c r="AH58"/>
      <c r="AI58"/>
    </row>
    <row r="59" spans="2:35" ht="13.5" customHeight="1">
      <c r="B59"/>
      <c r="C59"/>
      <c r="D59"/>
      <c r="E59"/>
      <c r="F59"/>
      <c r="G59"/>
      <c r="H59"/>
      <c r="I59"/>
      <c r="J59"/>
      <c r="K59"/>
      <c r="L59"/>
      <c r="M59"/>
      <c r="N59"/>
      <c r="O59"/>
      <c r="P59"/>
      <c r="Q59"/>
      <c r="R59"/>
      <c r="S59"/>
      <c r="T59"/>
      <c r="U59"/>
      <c r="V59"/>
      <c r="W59"/>
      <c r="X59"/>
      <c r="Y59"/>
      <c r="Z59"/>
      <c r="AA59"/>
      <c r="AB59"/>
      <c r="AC59"/>
      <c r="AD59"/>
      <c r="AE59"/>
      <c r="AF59"/>
      <c r="AG59"/>
      <c r="AH59"/>
      <c r="AI59"/>
    </row>
    <row r="60" spans="2:35" ht="13.5" customHeight="1">
      <c r="B60"/>
      <c r="C60"/>
      <c r="D60"/>
      <c r="E60"/>
      <c r="F60"/>
      <c r="G60"/>
      <c r="H60"/>
      <c r="I60"/>
      <c r="J60"/>
      <c r="K60"/>
      <c r="L60"/>
      <c r="M60"/>
      <c r="N60"/>
      <c r="O60"/>
      <c r="P60"/>
      <c r="Q60"/>
      <c r="R60"/>
      <c r="S60"/>
      <c r="T60"/>
      <c r="U60"/>
      <c r="V60"/>
      <c r="W60"/>
      <c r="X60"/>
      <c r="Y60"/>
      <c r="Z60"/>
      <c r="AA60"/>
      <c r="AB60"/>
      <c r="AC60"/>
      <c r="AD60"/>
      <c r="AE60"/>
      <c r="AF60"/>
      <c r="AG60"/>
      <c r="AH60"/>
      <c r="AI60"/>
    </row>
    <row r="61" spans="2:35" ht="13.5" customHeight="1">
      <c r="B61"/>
      <c r="C61"/>
      <c r="D61"/>
      <c r="E61"/>
      <c r="F61"/>
      <c r="G61"/>
      <c r="H61"/>
      <c r="I61"/>
      <c r="J61"/>
      <c r="K61"/>
      <c r="L61"/>
      <c r="M61"/>
      <c r="N61"/>
      <c r="O61"/>
      <c r="P61"/>
      <c r="Q61"/>
      <c r="R61"/>
      <c r="S61"/>
      <c r="T61"/>
      <c r="U61"/>
      <c r="V61"/>
      <c r="W61"/>
      <c r="X61"/>
      <c r="Y61"/>
      <c r="Z61"/>
      <c r="AA61"/>
      <c r="AB61"/>
      <c r="AC61"/>
      <c r="AD61"/>
      <c r="AE61"/>
      <c r="AF61"/>
      <c r="AG61"/>
      <c r="AH61"/>
      <c r="AI61"/>
    </row>
    <row r="62" spans="2:35" ht="12.75">
      <c r="B62"/>
      <c r="C62"/>
      <c r="D62"/>
      <c r="E62"/>
      <c r="F62"/>
      <c r="G62"/>
      <c r="H62"/>
      <c r="I62"/>
      <c r="J62"/>
      <c r="K62"/>
      <c r="L62"/>
      <c r="M62"/>
      <c r="N62"/>
      <c r="O62"/>
      <c r="P62"/>
      <c r="Q62"/>
      <c r="R62"/>
      <c r="S62"/>
      <c r="T62"/>
      <c r="U62"/>
      <c r="V62"/>
      <c r="W62"/>
      <c r="X62"/>
      <c r="Y62"/>
      <c r="Z62"/>
      <c r="AA62"/>
      <c r="AB62"/>
      <c r="AC62"/>
      <c r="AD62"/>
      <c r="AE62"/>
      <c r="AF62"/>
      <c r="AG62"/>
      <c r="AH62"/>
      <c r="AI62"/>
    </row>
    <row r="63" spans="2:35" ht="12.75">
      <c r="B63"/>
      <c r="C63"/>
      <c r="D63"/>
      <c r="E63"/>
      <c r="F63"/>
      <c r="G63"/>
      <c r="H63"/>
      <c r="I63"/>
      <c r="J63"/>
      <c r="K63"/>
      <c r="L63"/>
      <c r="M63"/>
      <c r="N63"/>
      <c r="O63"/>
      <c r="P63"/>
      <c r="Q63"/>
      <c r="R63"/>
      <c r="S63"/>
      <c r="T63"/>
      <c r="U63"/>
      <c r="V63"/>
      <c r="W63"/>
      <c r="X63"/>
      <c r="Y63"/>
      <c r="Z63"/>
      <c r="AA63"/>
      <c r="AB63"/>
      <c r="AC63"/>
      <c r="AD63"/>
      <c r="AE63"/>
      <c r="AF63"/>
      <c r="AG63"/>
      <c r="AH63"/>
      <c r="AI63"/>
    </row>
    <row r="64" spans="2:35" ht="12.75">
      <c r="B64"/>
      <c r="C64"/>
      <c r="D64"/>
      <c r="E64"/>
      <c r="F64"/>
      <c r="G64"/>
      <c r="H64"/>
      <c r="I64"/>
      <c r="J64"/>
      <c r="K64"/>
      <c r="L64"/>
      <c r="M64"/>
      <c r="N64"/>
      <c r="O64"/>
      <c r="P64"/>
      <c r="Q64"/>
      <c r="R64"/>
      <c r="S64"/>
      <c r="T64"/>
      <c r="U64"/>
      <c r="V64"/>
      <c r="W64"/>
      <c r="X64"/>
      <c r="Y64"/>
      <c r="Z64"/>
      <c r="AA64"/>
      <c r="AB64"/>
      <c r="AC64"/>
      <c r="AD64"/>
      <c r="AE64"/>
      <c r="AF64"/>
      <c r="AG64"/>
      <c r="AH64"/>
      <c r="AI64"/>
    </row>
    <row r="65" spans="2:35" ht="12.75">
      <c r="B65"/>
      <c r="C65"/>
      <c r="D65"/>
      <c r="E65"/>
      <c r="F65"/>
      <c r="G65"/>
      <c r="H65"/>
      <c r="I65"/>
      <c r="J65"/>
      <c r="K65"/>
      <c r="L65"/>
      <c r="M65"/>
      <c r="N65"/>
      <c r="O65"/>
      <c r="P65"/>
      <c r="Q65"/>
      <c r="R65"/>
      <c r="S65"/>
      <c r="T65"/>
      <c r="U65"/>
      <c r="V65"/>
      <c r="W65"/>
      <c r="X65"/>
      <c r="Y65"/>
      <c r="Z65"/>
      <c r="AA65"/>
      <c r="AB65"/>
      <c r="AC65"/>
      <c r="AD65"/>
      <c r="AE65"/>
      <c r="AF65"/>
      <c r="AG65"/>
      <c r="AH65"/>
      <c r="AI65"/>
    </row>
    <row r="66" spans="2:35" ht="12.75">
      <c r="B66"/>
      <c r="C66"/>
      <c r="D66"/>
      <c r="E66"/>
      <c r="F66"/>
      <c r="G66"/>
      <c r="H66"/>
      <c r="I66"/>
      <c r="J66"/>
      <c r="K66"/>
      <c r="L66"/>
      <c r="M66"/>
      <c r="N66"/>
      <c r="O66"/>
      <c r="P66"/>
      <c r="Q66"/>
      <c r="R66"/>
      <c r="S66"/>
      <c r="T66"/>
      <c r="U66"/>
      <c r="V66"/>
      <c r="W66"/>
      <c r="X66"/>
      <c r="Y66"/>
      <c r="Z66"/>
      <c r="AA66"/>
      <c r="AB66"/>
      <c r="AC66"/>
      <c r="AD66"/>
      <c r="AE66"/>
      <c r="AF66"/>
      <c r="AG66"/>
      <c r="AH66"/>
      <c r="AI66"/>
    </row>
    <row r="67" spans="2:35" ht="12.75">
      <c r="B67"/>
      <c r="C67"/>
      <c r="D67"/>
      <c r="E67"/>
      <c r="F67"/>
      <c r="G67"/>
      <c r="H67"/>
      <c r="I67"/>
      <c r="J67"/>
      <c r="K67"/>
      <c r="L67"/>
      <c r="M67"/>
      <c r="N67"/>
      <c r="O67"/>
      <c r="P67"/>
      <c r="Q67"/>
      <c r="R67"/>
      <c r="S67"/>
      <c r="T67"/>
      <c r="U67"/>
      <c r="V67"/>
      <c r="W67"/>
      <c r="X67"/>
      <c r="Y67"/>
      <c r="Z67"/>
      <c r="AA67"/>
      <c r="AB67"/>
      <c r="AC67"/>
      <c r="AD67"/>
      <c r="AE67"/>
      <c r="AF67"/>
      <c r="AG67"/>
      <c r="AH67"/>
      <c r="AI67"/>
    </row>
    <row r="68" spans="2:35" ht="12.75">
      <c r="B68"/>
      <c r="C68"/>
      <c r="D68"/>
      <c r="E68"/>
      <c r="F68"/>
      <c r="G68"/>
      <c r="H68"/>
      <c r="I68"/>
      <c r="J68"/>
      <c r="K68"/>
      <c r="L68"/>
      <c r="M68"/>
      <c r="N68"/>
      <c r="O68"/>
      <c r="P68"/>
      <c r="Q68"/>
      <c r="R68"/>
      <c r="S68"/>
      <c r="T68"/>
      <c r="U68"/>
      <c r="V68"/>
      <c r="W68"/>
      <c r="X68"/>
      <c r="Y68"/>
      <c r="Z68"/>
      <c r="AA68"/>
      <c r="AB68"/>
      <c r="AC68"/>
      <c r="AD68"/>
      <c r="AE68"/>
      <c r="AF68"/>
      <c r="AG68"/>
      <c r="AH68"/>
      <c r="AI68"/>
    </row>
    <row r="69" spans="2:35" ht="12.75">
      <c r="B69"/>
      <c r="C69"/>
      <c r="D69"/>
      <c r="E69"/>
      <c r="F69"/>
      <c r="G69"/>
      <c r="H69"/>
      <c r="I69"/>
      <c r="J69"/>
      <c r="K69"/>
      <c r="L69"/>
      <c r="M69"/>
      <c r="N69"/>
      <c r="O69"/>
      <c r="P69"/>
      <c r="Q69"/>
      <c r="R69"/>
      <c r="S69"/>
      <c r="T69"/>
      <c r="U69"/>
      <c r="V69"/>
      <c r="W69"/>
      <c r="X69"/>
      <c r="Y69"/>
      <c r="Z69"/>
      <c r="AA69"/>
      <c r="AB69"/>
      <c r="AC69"/>
      <c r="AD69"/>
      <c r="AE69"/>
      <c r="AF69"/>
      <c r="AG69"/>
      <c r="AH69"/>
      <c r="AI69"/>
    </row>
    <row r="70" spans="2:35" ht="12.75">
      <c r="B70"/>
      <c r="C70"/>
      <c r="D70"/>
      <c r="E70"/>
      <c r="F70"/>
      <c r="G70"/>
      <c r="H70"/>
      <c r="I70"/>
      <c r="J70"/>
      <c r="K70"/>
      <c r="L70"/>
      <c r="M70"/>
      <c r="N70"/>
      <c r="O70"/>
      <c r="P70"/>
      <c r="Q70"/>
      <c r="R70"/>
      <c r="S70"/>
      <c r="T70"/>
      <c r="U70"/>
      <c r="V70"/>
      <c r="W70"/>
      <c r="X70"/>
      <c r="Y70"/>
      <c r="Z70"/>
      <c r="AA70"/>
      <c r="AB70"/>
      <c r="AC70"/>
      <c r="AD70"/>
      <c r="AE70"/>
      <c r="AF70"/>
      <c r="AG70"/>
      <c r="AH70"/>
      <c r="AI70"/>
    </row>
    <row r="71" spans="2:35" ht="12.75">
      <c r="B71"/>
      <c r="C71"/>
      <c r="D71"/>
      <c r="E71"/>
      <c r="F71"/>
      <c r="G71"/>
      <c r="H71"/>
      <c r="I71"/>
      <c r="J71"/>
      <c r="K71"/>
      <c r="L71"/>
      <c r="M71"/>
      <c r="N71"/>
      <c r="O71"/>
      <c r="P71"/>
      <c r="Q71"/>
      <c r="R71"/>
      <c r="S71"/>
      <c r="T71"/>
      <c r="U71"/>
      <c r="V71"/>
      <c r="W71"/>
      <c r="X71"/>
      <c r="Y71"/>
      <c r="Z71"/>
      <c r="AA71"/>
      <c r="AB71"/>
      <c r="AC71"/>
      <c r="AD71"/>
      <c r="AE71"/>
      <c r="AF71"/>
      <c r="AG71"/>
      <c r="AH71"/>
      <c r="AI71"/>
    </row>
    <row r="72" spans="2:35" ht="12.75">
      <c r="B72"/>
      <c r="C72"/>
      <c r="D72"/>
      <c r="E72"/>
      <c r="F72"/>
      <c r="G72"/>
      <c r="H72"/>
      <c r="I72"/>
      <c r="J72"/>
      <c r="K72"/>
      <c r="L72"/>
      <c r="M72"/>
      <c r="N72"/>
      <c r="O72"/>
      <c r="P72"/>
      <c r="Q72"/>
      <c r="R72"/>
      <c r="S72"/>
      <c r="T72"/>
      <c r="U72"/>
      <c r="V72"/>
      <c r="W72"/>
      <c r="X72"/>
      <c r="Y72"/>
      <c r="Z72"/>
      <c r="AA72"/>
      <c r="AB72"/>
      <c r="AC72"/>
      <c r="AD72"/>
      <c r="AE72"/>
      <c r="AF72"/>
      <c r="AG72"/>
      <c r="AH72"/>
      <c r="AI72"/>
    </row>
    <row r="73" spans="2:35" ht="12.75">
      <c r="B73"/>
      <c r="C73"/>
      <c r="D73"/>
      <c r="E73"/>
      <c r="F73"/>
      <c r="G73"/>
      <c r="H73"/>
      <c r="I73"/>
      <c r="J73"/>
      <c r="K73"/>
      <c r="L73"/>
      <c r="M73"/>
      <c r="N73"/>
      <c r="O73"/>
      <c r="P73"/>
      <c r="Q73"/>
      <c r="R73"/>
      <c r="S73"/>
      <c r="T73"/>
      <c r="U73"/>
      <c r="V73"/>
      <c r="W73"/>
      <c r="X73"/>
      <c r="Y73"/>
      <c r="Z73"/>
      <c r="AA73"/>
      <c r="AB73"/>
      <c r="AC73"/>
      <c r="AD73"/>
      <c r="AE73"/>
      <c r="AF73"/>
      <c r="AG73"/>
      <c r="AH73"/>
      <c r="AI73"/>
    </row>
    <row r="74" spans="2:35" ht="12.75">
      <c r="B74"/>
      <c r="C74"/>
      <c r="D74"/>
      <c r="E74"/>
      <c r="F74"/>
      <c r="G74"/>
      <c r="H74"/>
      <c r="I74"/>
      <c r="J74"/>
      <c r="K74"/>
      <c r="L74"/>
      <c r="M74"/>
      <c r="N74"/>
      <c r="O74"/>
      <c r="P74"/>
      <c r="Q74"/>
      <c r="R74"/>
      <c r="S74"/>
      <c r="T74"/>
      <c r="U74"/>
      <c r="V74"/>
      <c r="W74"/>
      <c r="X74"/>
      <c r="Y74"/>
      <c r="Z74"/>
      <c r="AA74"/>
      <c r="AB74"/>
      <c r="AC74"/>
      <c r="AD74"/>
      <c r="AE74"/>
      <c r="AF74"/>
      <c r="AG74"/>
      <c r="AH74"/>
      <c r="AI74"/>
    </row>
    <row r="75" spans="2:35" ht="12.75">
      <c r="B75"/>
      <c r="C75"/>
      <c r="D75"/>
      <c r="E75"/>
      <c r="F75"/>
      <c r="G75"/>
      <c r="H75"/>
      <c r="I75"/>
      <c r="J75"/>
      <c r="K75"/>
      <c r="L75"/>
      <c r="M75"/>
      <c r="N75"/>
      <c r="O75"/>
      <c r="P75"/>
      <c r="Q75"/>
      <c r="R75"/>
      <c r="S75"/>
      <c r="T75"/>
      <c r="U75"/>
      <c r="V75"/>
      <c r="W75"/>
      <c r="X75"/>
      <c r="Y75"/>
      <c r="Z75"/>
      <c r="AA75"/>
      <c r="AB75"/>
      <c r="AC75"/>
      <c r="AD75"/>
      <c r="AE75"/>
      <c r="AF75"/>
      <c r="AG75"/>
      <c r="AH75"/>
      <c r="AI75"/>
    </row>
    <row r="76" spans="2:35" ht="12.75">
      <c r="B76"/>
      <c r="C76"/>
      <c r="D76"/>
      <c r="E76"/>
      <c r="F76"/>
      <c r="G76"/>
      <c r="H76"/>
      <c r="I76"/>
      <c r="J76"/>
      <c r="K76"/>
      <c r="L76"/>
      <c r="M76"/>
      <c r="N76"/>
      <c r="O76"/>
      <c r="P76"/>
      <c r="Q76"/>
      <c r="R76"/>
      <c r="S76"/>
      <c r="T76"/>
      <c r="U76"/>
      <c r="V76"/>
      <c r="W76"/>
      <c r="X76"/>
      <c r="Y76"/>
      <c r="Z76"/>
      <c r="AA76"/>
      <c r="AB76"/>
      <c r="AC76"/>
      <c r="AD76"/>
      <c r="AE76"/>
      <c r="AF76"/>
      <c r="AG76"/>
      <c r="AH76"/>
      <c r="AI76"/>
    </row>
    <row r="77" spans="2:35" ht="12.75">
      <c r="B77"/>
      <c r="C77"/>
      <c r="D77"/>
      <c r="E77"/>
      <c r="F77"/>
      <c r="G77"/>
      <c r="H77"/>
      <c r="I77"/>
      <c r="J77"/>
      <c r="K77"/>
      <c r="L77"/>
      <c r="M77"/>
      <c r="N77"/>
      <c r="O77"/>
      <c r="P77"/>
      <c r="Q77"/>
      <c r="R77"/>
      <c r="S77"/>
      <c r="T77"/>
      <c r="U77"/>
      <c r="V77"/>
      <c r="W77"/>
      <c r="X77"/>
      <c r="Y77"/>
      <c r="Z77"/>
      <c r="AA77"/>
      <c r="AB77"/>
      <c r="AC77"/>
      <c r="AD77"/>
      <c r="AE77"/>
      <c r="AF77"/>
      <c r="AG77"/>
      <c r="AH77"/>
      <c r="AI77"/>
    </row>
    <row r="78" spans="2:35" ht="12.75">
      <c r="B78"/>
      <c r="C78"/>
      <c r="D78"/>
      <c r="E78"/>
      <c r="F78"/>
      <c r="G78"/>
      <c r="H78"/>
      <c r="I78"/>
      <c r="J78"/>
      <c r="K78"/>
      <c r="L78"/>
      <c r="M78"/>
      <c r="N78"/>
      <c r="O78"/>
      <c r="P78"/>
      <c r="Q78"/>
      <c r="R78"/>
      <c r="S78"/>
      <c r="T78"/>
      <c r="U78"/>
      <c r="V78"/>
      <c r="W78"/>
      <c r="X78"/>
      <c r="Y78"/>
      <c r="Z78"/>
      <c r="AA78"/>
      <c r="AB78"/>
      <c r="AC78"/>
      <c r="AD78"/>
      <c r="AE78"/>
      <c r="AF78"/>
      <c r="AG78"/>
      <c r="AH78"/>
      <c r="AI78"/>
    </row>
    <row r="79" spans="2:35" ht="12.75">
      <c r="B79"/>
      <c r="C79"/>
      <c r="D79"/>
      <c r="E79"/>
      <c r="F79"/>
      <c r="G79"/>
      <c r="H79"/>
      <c r="I79"/>
      <c r="J79"/>
      <c r="K79"/>
      <c r="L79"/>
      <c r="M79"/>
      <c r="N79"/>
      <c r="O79"/>
      <c r="P79"/>
      <c r="Q79"/>
      <c r="R79"/>
      <c r="S79"/>
      <c r="T79"/>
      <c r="U79"/>
      <c r="V79"/>
      <c r="W79"/>
      <c r="X79"/>
      <c r="Y79"/>
      <c r="Z79"/>
      <c r="AA79"/>
      <c r="AB79"/>
      <c r="AC79"/>
      <c r="AD79"/>
      <c r="AE79"/>
      <c r="AF79"/>
      <c r="AG79"/>
      <c r="AH79"/>
      <c r="AI79"/>
    </row>
    <row r="80" spans="2:35" ht="12.75">
      <c r="B80"/>
      <c r="C80"/>
      <c r="D80"/>
      <c r="E80"/>
      <c r="F80"/>
      <c r="G80"/>
      <c r="H80"/>
      <c r="I80"/>
      <c r="J80"/>
      <c r="K80"/>
      <c r="L80"/>
      <c r="M80"/>
      <c r="N80"/>
      <c r="O80"/>
      <c r="P80"/>
      <c r="Q80"/>
      <c r="R80"/>
      <c r="S80"/>
      <c r="T80"/>
      <c r="U80"/>
      <c r="V80"/>
      <c r="W80"/>
      <c r="X80"/>
      <c r="Y80"/>
      <c r="Z80"/>
      <c r="AA80"/>
      <c r="AB80"/>
      <c r="AC80"/>
      <c r="AD80"/>
      <c r="AE80"/>
      <c r="AF80"/>
      <c r="AG80"/>
      <c r="AH80"/>
      <c r="AI80"/>
    </row>
  </sheetData>
  <sheetProtection password="B271" sheet="1" objects="1" scenarios="1"/>
  <mergeCells count="84">
    <mergeCell ref="G4:P5"/>
    <mergeCell ref="C38:H38"/>
    <mergeCell ref="C35:G35"/>
    <mergeCell ref="I35:L35"/>
    <mergeCell ref="C28:G28"/>
    <mergeCell ref="I38:J38"/>
    <mergeCell ref="C30:G30"/>
    <mergeCell ref="C32:G32"/>
    <mergeCell ref="I36:J36"/>
    <mergeCell ref="H32:I32"/>
    <mergeCell ref="P37:Q37"/>
    <mergeCell ref="P33:X33"/>
    <mergeCell ref="C36:H36"/>
    <mergeCell ref="C37:H37"/>
    <mergeCell ref="C33:L33"/>
    <mergeCell ref="M33:N33"/>
    <mergeCell ref="P36:Q36"/>
    <mergeCell ref="W36:X36"/>
    <mergeCell ref="I37:J37"/>
    <mergeCell ref="V35:Z35"/>
    <mergeCell ref="P35:S35"/>
    <mergeCell ref="H30:I30"/>
    <mergeCell ref="I24:J24"/>
    <mergeCell ref="C25:H25"/>
    <mergeCell ref="M32:N32"/>
    <mergeCell ref="P25:Q25"/>
    <mergeCell ref="B10:F10"/>
    <mergeCell ref="B8:F9"/>
    <mergeCell ref="C17:G17"/>
    <mergeCell ref="C19:G19"/>
    <mergeCell ref="C15:G15"/>
    <mergeCell ref="G10:P10"/>
    <mergeCell ref="G8:P9"/>
    <mergeCell ref="M19:N19"/>
    <mergeCell ref="H17:I17"/>
    <mergeCell ref="H19:I19"/>
    <mergeCell ref="Q19:T19"/>
    <mergeCell ref="M20:N20"/>
    <mergeCell ref="Q32:T32"/>
    <mergeCell ref="C24:H24"/>
    <mergeCell ref="C20:L20"/>
    <mergeCell ref="I22:L22"/>
    <mergeCell ref="I23:J23"/>
    <mergeCell ref="C22:G22"/>
    <mergeCell ref="I25:J25"/>
    <mergeCell ref="C23:H23"/>
    <mergeCell ref="AW23:AZ23"/>
    <mergeCell ref="W23:X23"/>
    <mergeCell ref="P20:X20"/>
    <mergeCell ref="P23:Q23"/>
    <mergeCell ref="P22:S22"/>
    <mergeCell ref="AW25:AZ25"/>
    <mergeCell ref="W24:X24"/>
    <mergeCell ref="P38:Q38"/>
    <mergeCell ref="W38:X38"/>
    <mergeCell ref="AW38:AZ38"/>
    <mergeCell ref="AW36:AZ36"/>
    <mergeCell ref="AW37:AZ37"/>
    <mergeCell ref="Y32:AD32"/>
    <mergeCell ref="P24:Q24"/>
    <mergeCell ref="AW24:AZ24"/>
    <mergeCell ref="B1:D1"/>
    <mergeCell ref="B2:D2"/>
    <mergeCell ref="W6:AG7"/>
    <mergeCell ref="B4:F5"/>
    <mergeCell ref="B6:F7"/>
    <mergeCell ref="AE1:AI1"/>
    <mergeCell ref="AE2:AI2"/>
    <mergeCell ref="H1:AB2"/>
    <mergeCell ref="W4:AG5"/>
    <mergeCell ref="G6:P7"/>
    <mergeCell ref="W37:X37"/>
    <mergeCell ref="Y19:AD19"/>
    <mergeCell ref="Y20:Z20"/>
    <mergeCell ref="W25:X25"/>
    <mergeCell ref="Y33:Z33"/>
    <mergeCell ref="V22:Z22"/>
    <mergeCell ref="U19:V19"/>
    <mergeCell ref="W10:AG10"/>
    <mergeCell ref="W8:AG9"/>
    <mergeCell ref="AE32:AF32"/>
    <mergeCell ref="U32:V32"/>
    <mergeCell ref="AC12:AD12"/>
    <mergeCell ref="AE19:AF19"/>
  </mergeCells>
  <dataValidations count="5">
    <dataValidation type="decimal" allowBlank="1" showInputMessage="1" showErrorMessage="1" errorTitle="ACRES TO LARGE" error="Acres must be between 1 and 2000." sqref="H19:I19">
      <formula1>1</formula1>
      <formula2>2000.1</formula2>
    </dataValidation>
    <dataValidation type="decimal" allowBlank="1" showInputMessage="1" showErrorMessage="1" errorTitle="ACRES TO LARGE" error="Acres must be tetween 1 and 2000." sqref="H32:I32">
      <formula1>1</formula1>
      <formula2>2000.1</formula2>
    </dataValidation>
    <dataValidation type="decimal" allowBlank="1" showInputMessage="1" showErrorMessage="1" errorTitle="HYDRAULIC LENGTH" error="Length must be between 200 and 26,000 feet." sqref="U32:V32 U19:V19">
      <formula1>199.9</formula1>
      <formula2>26000.1</formula2>
    </dataValidation>
    <dataValidation type="decimal" allowBlank="1" showInputMessage="1" showErrorMessage="1" errorTitle="WRONG SLOPE" error="Slope must be between 0.3 and 64 percent." sqref="AE32:AF32 AE19:AF19">
      <formula1>0.29</formula1>
      <formula2>64.1</formula2>
    </dataValidation>
    <dataValidation type="custom" allowBlank="1" showInputMessage="1" showErrorMessage="1" errorTitle="Diversion numbers are the same" error="Use a different number for this diversion" sqref="H28">
      <formula1>BB28&gt;1</formula1>
    </dataValidation>
  </dataValidations>
  <printOptions/>
  <pageMargins left="0.75" right="0.5" top="0.75" bottom="0.25" header="0.5" footer="0.5"/>
  <pageSetup blackAndWhite="1" fitToHeight="1" fitToWidth="1" horizontalDpi="300" verticalDpi="300" orientation="portrait" scale="90" r:id="rId2"/>
  <drawing r:id="rId1"/>
</worksheet>
</file>

<file path=xl/worksheets/sheet3.xml><?xml version="1.0" encoding="utf-8"?>
<worksheet xmlns="http://schemas.openxmlformats.org/spreadsheetml/2006/main" xmlns:r="http://schemas.openxmlformats.org/officeDocument/2006/relationships">
  <sheetPr codeName="Sheet16"/>
  <dimension ref="A1:AB117"/>
  <sheetViews>
    <sheetView showGridLines="0" workbookViewId="0" topLeftCell="A1">
      <selection activeCell="X28" sqref="P28:AD35"/>
    </sheetView>
  </sheetViews>
  <sheetFormatPr defaultColWidth="9.140625" defaultRowHeight="12.75"/>
  <cols>
    <col min="1" max="1" width="3.7109375" style="0" customWidth="1"/>
    <col min="2" max="2" width="16.7109375" style="0" bestFit="1" customWidth="1"/>
    <col min="3" max="3" width="48.7109375" style="0" customWidth="1"/>
    <col min="4" max="4" width="5.00390625" style="0" customWidth="1"/>
    <col min="5" max="5" width="4.00390625" style="0" customWidth="1"/>
    <col min="6" max="6" width="5.00390625" style="0" customWidth="1"/>
    <col min="7" max="7" width="3.7109375" style="0" customWidth="1"/>
    <col min="8" max="8" width="5.00390625" style="0" customWidth="1"/>
    <col min="9" max="9" width="3.7109375" style="0" customWidth="1"/>
    <col min="10" max="10" width="5.00390625" style="0" customWidth="1"/>
    <col min="11" max="11" width="3.7109375" style="0" customWidth="1"/>
    <col min="12" max="12" width="3.7109375" style="0" hidden="1" customWidth="1"/>
    <col min="13" max="19" width="9.140625" style="0" hidden="1" customWidth="1"/>
    <col min="20" max="20" width="6.57421875" style="0" hidden="1" customWidth="1"/>
    <col min="21" max="28" width="9.140625" style="0" hidden="1" customWidth="1"/>
    <col min="29" max="29" width="5.00390625" style="0" hidden="1" customWidth="1"/>
    <col min="30" max="35" width="5.00390625" style="0" customWidth="1"/>
  </cols>
  <sheetData>
    <row r="1" spans="2:11" ht="12.75" customHeight="1">
      <c r="B1" s="15" t="s">
        <v>124</v>
      </c>
      <c r="C1" s="15"/>
      <c r="D1" s="15"/>
      <c r="E1" s="15"/>
      <c r="F1" s="15"/>
      <c r="G1" s="15"/>
      <c r="H1" s="515" t="s">
        <v>224</v>
      </c>
      <c r="I1" s="515"/>
      <c r="J1" s="515"/>
      <c r="K1" s="515"/>
    </row>
    <row r="2" spans="2:11" ht="13.5" customHeight="1">
      <c r="B2" s="19" t="s">
        <v>125</v>
      </c>
      <c r="C2" s="506" t="s">
        <v>230</v>
      </c>
      <c r="D2" s="556"/>
      <c r="E2" s="556"/>
      <c r="F2" s="556"/>
      <c r="G2" s="18"/>
      <c r="H2" s="512" t="s">
        <v>314</v>
      </c>
      <c r="I2" s="513"/>
      <c r="J2" s="513"/>
      <c r="K2" s="564"/>
    </row>
    <row r="3" spans="2:11" ht="12.75" customHeight="1">
      <c r="B3" s="19"/>
      <c r="C3" s="84"/>
      <c r="D3" s="14"/>
      <c r="E3" s="14"/>
      <c r="F3" s="18"/>
      <c r="G3" s="18"/>
      <c r="H3" s="113"/>
      <c r="I3" s="114"/>
      <c r="J3" s="114"/>
      <c r="K3" s="18"/>
    </row>
    <row r="4" spans="2:11" ht="12.75">
      <c r="B4" s="19" t="s">
        <v>126</v>
      </c>
      <c r="C4" s="18">
        <f>IF('Hyd Sum'!G4="","",'Hyd Sum'!G4)</f>
      </c>
      <c r="E4" s="510" t="s">
        <v>171</v>
      </c>
      <c r="F4" s="511"/>
      <c r="G4" s="502">
        <f>IF('Hyd Sum'!W4="","",'Hyd Sum'!W4)</f>
      </c>
      <c r="H4" s="503"/>
      <c r="I4" s="503"/>
      <c r="J4" s="503"/>
      <c r="K4" s="503"/>
    </row>
    <row r="5" spans="2:11" ht="12.75">
      <c r="B5" s="19" t="s">
        <v>168</v>
      </c>
      <c r="C5" s="21">
        <f>IF('Hyd Sum'!G6="","",'Hyd Sum'!G6)</f>
      </c>
      <c r="E5" s="516" t="s">
        <v>128</v>
      </c>
      <c r="F5" s="517"/>
      <c r="G5" s="504">
        <f>IF('Hyd Sum'!W6="","",'Hyd Sum'!W6)</f>
      </c>
      <c r="H5" s="505"/>
      <c r="I5" s="505"/>
      <c r="J5" s="505"/>
      <c r="K5" s="505"/>
    </row>
    <row r="6" spans="2:11" ht="12.75">
      <c r="B6" s="19" t="s">
        <v>130</v>
      </c>
      <c r="C6" s="115">
        <f>IF('Hyd Sum'!G8="","",'Hyd Sum'!G8)</f>
      </c>
      <c r="E6" s="511" t="s">
        <v>129</v>
      </c>
      <c r="F6" s="511"/>
      <c r="G6" s="494">
        <f>IF('Hyd Sum'!W8="","",'Hyd Sum'!W8)</f>
      </c>
      <c r="H6" s="495"/>
      <c r="I6" s="495"/>
      <c r="J6" s="495"/>
      <c r="K6" s="495"/>
    </row>
    <row r="7" spans="2:11" ht="12.75">
      <c r="B7" s="19" t="s">
        <v>132</v>
      </c>
      <c r="C7" s="116">
        <f>IF('Hyd Sum'!G10="","",'Hyd Sum'!G10)</f>
      </c>
      <c r="E7" s="511" t="s">
        <v>129</v>
      </c>
      <c r="F7" s="497"/>
      <c r="G7" s="494">
        <f>IF('Hyd Sum'!W10="","",'Hyd Sum'!W10)</f>
      </c>
      <c r="H7" s="496"/>
      <c r="I7" s="496"/>
      <c r="J7" s="496"/>
      <c r="K7" s="496"/>
    </row>
    <row r="8" spans="2:11" ht="12.75" customHeight="1">
      <c r="B8" s="19"/>
      <c r="C8" s="118"/>
      <c r="D8" s="19"/>
      <c r="E8" s="117"/>
      <c r="F8" s="23"/>
      <c r="G8" s="34"/>
      <c r="H8" s="34"/>
      <c r="I8" s="34"/>
      <c r="J8" s="34"/>
      <c r="K8" s="34"/>
    </row>
    <row r="9" spans="3:11" ht="12.75" customHeight="1">
      <c r="C9" s="352"/>
      <c r="D9" s="556" t="s">
        <v>231</v>
      </c>
      <c r="E9" s="556"/>
      <c r="F9" s="556"/>
      <c r="G9" s="143">
        <f>IF('Hyd Sum'!H15="","",'Hyd Sum'!H15)</f>
      </c>
      <c r="I9" s="25"/>
      <c r="J9" s="19"/>
      <c r="K9" s="34"/>
    </row>
    <row r="10" spans="2:11" ht="12.75" customHeight="1" thickBot="1">
      <c r="B10" s="338">
        <f>IF('Design (1)'!M24=25,"AMC II Curve Numbers (CN) must be used for 25-year, 24-hour frequency storm","")</f>
      </c>
      <c r="C10" s="118"/>
      <c r="D10" s="19"/>
      <c r="E10" s="117"/>
      <c r="F10" s="23"/>
      <c r="G10" s="34"/>
      <c r="H10" s="34"/>
      <c r="I10" s="34"/>
      <c r="J10" s="34"/>
      <c r="K10" s="34"/>
    </row>
    <row r="11" spans="2:11" ht="12.75">
      <c r="B11" s="473" t="s">
        <v>371</v>
      </c>
      <c r="C11" s="474" t="s">
        <v>372</v>
      </c>
      <c r="D11" s="507" t="s">
        <v>32</v>
      </c>
      <c r="E11" s="508"/>
      <c r="F11" s="508"/>
      <c r="G11" s="508"/>
      <c r="H11" s="508"/>
      <c r="I11" s="508"/>
      <c r="J11" s="508"/>
      <c r="K11" s="509"/>
    </row>
    <row r="12" spans="2:11" ht="13.5" thickBot="1">
      <c r="B12" s="475" t="s">
        <v>373</v>
      </c>
      <c r="C12" s="476" t="s">
        <v>374</v>
      </c>
      <c r="D12" s="492" t="s">
        <v>33</v>
      </c>
      <c r="E12" s="493"/>
      <c r="F12" s="492" t="s">
        <v>34</v>
      </c>
      <c r="G12" s="493"/>
      <c r="H12" s="492" t="s">
        <v>35</v>
      </c>
      <c r="I12" s="493"/>
      <c r="J12" s="492" t="s">
        <v>36</v>
      </c>
      <c r="K12" s="493"/>
    </row>
    <row r="13" spans="2:11" ht="12.75">
      <c r="B13" s="119"/>
      <c r="C13" s="12"/>
      <c r="D13" s="120" t="s">
        <v>38</v>
      </c>
      <c r="E13" s="16" t="s">
        <v>123</v>
      </c>
      <c r="F13" s="120" t="s">
        <v>38</v>
      </c>
      <c r="G13" s="16" t="s">
        <v>123</v>
      </c>
      <c r="H13" s="120" t="s">
        <v>38</v>
      </c>
      <c r="I13" s="16" t="s">
        <v>123</v>
      </c>
      <c r="J13" s="120" t="s">
        <v>38</v>
      </c>
      <c r="K13" s="13" t="s">
        <v>123</v>
      </c>
    </row>
    <row r="14" spans="2:17" ht="12.75">
      <c r="B14" s="121" t="s">
        <v>37</v>
      </c>
      <c r="C14" s="122" t="s">
        <v>232</v>
      </c>
      <c r="D14" s="396"/>
      <c r="E14" s="123">
        <v>75</v>
      </c>
      <c r="F14" s="396"/>
      <c r="G14" s="123">
        <v>84</v>
      </c>
      <c r="H14" s="396"/>
      <c r="I14" s="123">
        <v>89</v>
      </c>
      <c r="J14" s="396"/>
      <c r="K14" s="124">
        <v>92</v>
      </c>
      <c r="N14">
        <f aca="true" t="shared" si="0" ref="N14:N28">D14*E14</f>
        <v>0</v>
      </c>
      <c r="O14">
        <f aca="true" t="shared" si="1" ref="O14:O28">F14*G14</f>
        <v>0</v>
      </c>
      <c r="P14">
        <f aca="true" t="shared" si="2" ref="P14:P28">H14*I14</f>
        <v>0</v>
      </c>
      <c r="Q14">
        <f aca="true" t="shared" si="3" ref="Q14:Q28">J14*K14</f>
        <v>0</v>
      </c>
    </row>
    <row r="15" spans="2:17" ht="12.75">
      <c r="B15" s="121" t="s">
        <v>37</v>
      </c>
      <c r="C15" s="122" t="s">
        <v>233</v>
      </c>
      <c r="D15" s="396"/>
      <c r="E15" s="123">
        <v>70</v>
      </c>
      <c r="F15" s="396"/>
      <c r="G15" s="123">
        <v>79</v>
      </c>
      <c r="H15" s="396"/>
      <c r="I15" s="123">
        <v>85</v>
      </c>
      <c r="J15" s="396"/>
      <c r="K15" s="124">
        <v>88</v>
      </c>
      <c r="N15">
        <f t="shared" si="0"/>
        <v>0</v>
      </c>
      <c r="O15">
        <f t="shared" si="1"/>
        <v>0</v>
      </c>
      <c r="P15">
        <f t="shared" si="2"/>
        <v>0</v>
      </c>
      <c r="Q15">
        <f t="shared" si="3"/>
        <v>0</v>
      </c>
    </row>
    <row r="16" spans="2:17" ht="12.75">
      <c r="B16" s="121" t="s">
        <v>37</v>
      </c>
      <c r="C16" s="122" t="s">
        <v>234</v>
      </c>
      <c r="D16" s="396"/>
      <c r="E16" s="123">
        <v>69</v>
      </c>
      <c r="F16" s="396"/>
      <c r="G16" s="123">
        <v>78</v>
      </c>
      <c r="H16" s="396"/>
      <c r="I16" s="123">
        <v>85</v>
      </c>
      <c r="J16" s="396"/>
      <c r="K16" s="124">
        <v>88</v>
      </c>
      <c r="N16">
        <f t="shared" si="0"/>
        <v>0</v>
      </c>
      <c r="O16">
        <f t="shared" si="1"/>
        <v>0</v>
      </c>
      <c r="P16">
        <f t="shared" si="2"/>
        <v>0</v>
      </c>
      <c r="Q16">
        <f t="shared" si="3"/>
        <v>0</v>
      </c>
    </row>
    <row r="17" spans="2:17" ht="12.75">
      <c r="B17" s="121" t="s">
        <v>37</v>
      </c>
      <c r="C17" s="122" t="s">
        <v>235</v>
      </c>
      <c r="D17" s="396"/>
      <c r="E17" s="123">
        <v>67</v>
      </c>
      <c r="F17" s="396"/>
      <c r="G17" s="123">
        <v>77</v>
      </c>
      <c r="H17" s="396"/>
      <c r="I17" s="123">
        <v>82</v>
      </c>
      <c r="J17" s="396"/>
      <c r="K17" s="124">
        <v>86</v>
      </c>
      <c r="N17">
        <f t="shared" si="0"/>
        <v>0</v>
      </c>
      <c r="O17">
        <f t="shared" si="1"/>
        <v>0</v>
      </c>
      <c r="P17">
        <f t="shared" si="2"/>
        <v>0</v>
      </c>
      <c r="Q17">
        <f t="shared" si="3"/>
        <v>0</v>
      </c>
    </row>
    <row r="18" spans="2:17" ht="12.75">
      <c r="B18" s="121" t="s">
        <v>37</v>
      </c>
      <c r="C18" s="122" t="s">
        <v>236</v>
      </c>
      <c r="D18" s="396"/>
      <c r="E18" s="123">
        <v>64</v>
      </c>
      <c r="F18" s="396"/>
      <c r="G18" s="123">
        <v>72</v>
      </c>
      <c r="H18" s="396"/>
      <c r="I18" s="123">
        <v>78</v>
      </c>
      <c r="J18" s="396"/>
      <c r="K18" s="124">
        <v>81</v>
      </c>
      <c r="N18">
        <f t="shared" si="0"/>
        <v>0</v>
      </c>
      <c r="O18">
        <f t="shared" si="1"/>
        <v>0</v>
      </c>
      <c r="P18">
        <f t="shared" si="2"/>
        <v>0</v>
      </c>
      <c r="Q18">
        <f t="shared" si="3"/>
        <v>0</v>
      </c>
    </row>
    <row r="19" spans="2:17" ht="12.75">
      <c r="B19" s="121" t="s">
        <v>37</v>
      </c>
      <c r="C19" s="122" t="s">
        <v>237</v>
      </c>
      <c r="D19" s="396"/>
      <c r="E19" s="123">
        <v>63</v>
      </c>
      <c r="F19" s="396"/>
      <c r="G19" s="123">
        <v>74</v>
      </c>
      <c r="H19" s="396"/>
      <c r="I19" s="123">
        <v>82</v>
      </c>
      <c r="J19" s="396"/>
      <c r="K19" s="124">
        <v>85</v>
      </c>
      <c r="N19">
        <f t="shared" si="0"/>
        <v>0</v>
      </c>
      <c r="O19">
        <f t="shared" si="1"/>
        <v>0</v>
      </c>
      <c r="P19">
        <f t="shared" si="2"/>
        <v>0</v>
      </c>
      <c r="Q19">
        <f t="shared" si="3"/>
        <v>0</v>
      </c>
    </row>
    <row r="20" spans="2:17" ht="12.75">
      <c r="B20" s="121" t="s">
        <v>37</v>
      </c>
      <c r="C20" s="122" t="s">
        <v>238</v>
      </c>
      <c r="D20" s="396"/>
      <c r="E20" s="123">
        <v>61</v>
      </c>
      <c r="F20" s="396"/>
      <c r="G20" s="123">
        <v>73</v>
      </c>
      <c r="H20" s="396"/>
      <c r="I20" s="123">
        <v>81</v>
      </c>
      <c r="J20" s="396"/>
      <c r="K20" s="124">
        <v>84</v>
      </c>
      <c r="N20">
        <f t="shared" si="0"/>
        <v>0</v>
      </c>
      <c r="O20">
        <f t="shared" si="1"/>
        <v>0</v>
      </c>
      <c r="P20">
        <f t="shared" si="2"/>
        <v>0</v>
      </c>
      <c r="Q20">
        <f t="shared" si="3"/>
        <v>0</v>
      </c>
    </row>
    <row r="21" spans="2:17" ht="12.75">
      <c r="B21" s="121" t="s">
        <v>37</v>
      </c>
      <c r="C21" s="122" t="s">
        <v>239</v>
      </c>
      <c r="D21" s="396"/>
      <c r="E21" s="123">
        <v>59</v>
      </c>
      <c r="F21" s="396"/>
      <c r="G21" s="123">
        <v>70</v>
      </c>
      <c r="H21" s="396"/>
      <c r="I21" s="123">
        <v>78</v>
      </c>
      <c r="J21" s="396"/>
      <c r="K21" s="124">
        <v>81</v>
      </c>
      <c r="N21">
        <f t="shared" si="0"/>
        <v>0</v>
      </c>
      <c r="O21">
        <f t="shared" si="1"/>
        <v>0</v>
      </c>
      <c r="P21">
        <f t="shared" si="2"/>
        <v>0</v>
      </c>
      <c r="Q21">
        <f t="shared" si="3"/>
        <v>0</v>
      </c>
    </row>
    <row r="22" spans="2:17" ht="12.75">
      <c r="B22" s="121" t="s">
        <v>37</v>
      </c>
      <c r="C22" s="122" t="s">
        <v>240</v>
      </c>
      <c r="D22" s="396"/>
      <c r="E22" s="123">
        <v>50</v>
      </c>
      <c r="F22" s="396"/>
      <c r="G22" s="123">
        <v>60</v>
      </c>
      <c r="H22" s="396"/>
      <c r="I22" s="123">
        <v>67</v>
      </c>
      <c r="J22" s="396"/>
      <c r="K22" s="124">
        <v>70</v>
      </c>
      <c r="N22">
        <f t="shared" si="0"/>
        <v>0</v>
      </c>
      <c r="O22">
        <f t="shared" si="1"/>
        <v>0</v>
      </c>
      <c r="P22">
        <f t="shared" si="2"/>
        <v>0</v>
      </c>
      <c r="Q22">
        <f t="shared" si="3"/>
        <v>0</v>
      </c>
    </row>
    <row r="23" spans="2:17" ht="12.75">
      <c r="B23" s="121" t="s">
        <v>37</v>
      </c>
      <c r="C23" s="122" t="s">
        <v>241</v>
      </c>
      <c r="D23" s="396"/>
      <c r="E23" s="123">
        <v>68</v>
      </c>
      <c r="F23" s="396"/>
      <c r="G23" s="123">
        <v>79</v>
      </c>
      <c r="H23" s="396"/>
      <c r="I23" s="123">
        <v>86</v>
      </c>
      <c r="J23" s="396"/>
      <c r="K23" s="124">
        <v>89</v>
      </c>
      <c r="N23">
        <f t="shared" si="0"/>
        <v>0</v>
      </c>
      <c r="O23">
        <f t="shared" si="1"/>
        <v>0</v>
      </c>
      <c r="P23">
        <f t="shared" si="2"/>
        <v>0</v>
      </c>
      <c r="Q23">
        <f t="shared" si="3"/>
        <v>0</v>
      </c>
    </row>
    <row r="24" spans="2:17" ht="12.75">
      <c r="B24" s="121" t="s">
        <v>37</v>
      </c>
      <c r="C24" s="122" t="s">
        <v>242</v>
      </c>
      <c r="D24" s="396"/>
      <c r="E24" s="123">
        <v>50</v>
      </c>
      <c r="F24" s="396"/>
      <c r="G24" s="123">
        <v>69</v>
      </c>
      <c r="H24" s="396"/>
      <c r="I24" s="123">
        <v>79</v>
      </c>
      <c r="J24" s="396"/>
      <c r="K24" s="124">
        <v>84</v>
      </c>
      <c r="N24">
        <f t="shared" si="0"/>
        <v>0</v>
      </c>
      <c r="O24">
        <f t="shared" si="1"/>
        <v>0</v>
      </c>
      <c r="P24">
        <f t="shared" si="2"/>
        <v>0</v>
      </c>
      <c r="Q24">
        <f t="shared" si="3"/>
        <v>0</v>
      </c>
    </row>
    <row r="25" spans="2:27" ht="12.75">
      <c r="B25" s="121" t="s">
        <v>37</v>
      </c>
      <c r="C25" s="122" t="s">
        <v>243</v>
      </c>
      <c r="D25" s="396"/>
      <c r="E25" s="123">
        <v>50</v>
      </c>
      <c r="F25" s="396"/>
      <c r="G25" s="123">
        <v>61</v>
      </c>
      <c r="H25" s="396"/>
      <c r="I25" s="123">
        <v>74</v>
      </c>
      <c r="J25" s="396"/>
      <c r="K25" s="124">
        <v>80</v>
      </c>
      <c r="N25">
        <f t="shared" si="0"/>
        <v>0</v>
      </c>
      <c r="O25">
        <f t="shared" si="1"/>
        <v>0</v>
      </c>
      <c r="P25">
        <f t="shared" si="2"/>
        <v>0</v>
      </c>
      <c r="Q25">
        <f t="shared" si="3"/>
        <v>0</v>
      </c>
      <c r="AA25">
        <v>0</v>
      </c>
    </row>
    <row r="26" spans="2:28" ht="12.75">
      <c r="B26" s="121" t="s">
        <v>37</v>
      </c>
      <c r="C26" s="122" t="s">
        <v>244</v>
      </c>
      <c r="D26" s="396"/>
      <c r="E26" s="123">
        <v>50</v>
      </c>
      <c r="F26" s="396"/>
      <c r="G26" s="123">
        <v>66</v>
      </c>
      <c r="H26" s="396"/>
      <c r="I26" s="123">
        <v>77</v>
      </c>
      <c r="J26" s="396"/>
      <c r="K26" s="124">
        <v>83</v>
      </c>
      <c r="N26">
        <f t="shared" si="0"/>
        <v>0</v>
      </c>
      <c r="O26">
        <f t="shared" si="1"/>
        <v>0</v>
      </c>
      <c r="P26">
        <f t="shared" si="2"/>
        <v>0</v>
      </c>
      <c r="Q26">
        <f t="shared" si="3"/>
        <v>0</v>
      </c>
      <c r="AA26">
        <v>1</v>
      </c>
      <c r="AB26" t="s">
        <v>150</v>
      </c>
    </row>
    <row r="27" spans="2:28" ht="12.75">
      <c r="B27" s="121" t="s">
        <v>37</v>
      </c>
      <c r="C27" s="122" t="s">
        <v>245</v>
      </c>
      <c r="D27" s="396"/>
      <c r="E27" s="123">
        <v>50</v>
      </c>
      <c r="F27" s="396"/>
      <c r="G27" s="123">
        <v>60</v>
      </c>
      <c r="H27" s="396"/>
      <c r="I27" s="123">
        <v>73</v>
      </c>
      <c r="J27" s="396"/>
      <c r="K27" s="124">
        <v>79</v>
      </c>
      <c r="N27">
        <f t="shared" si="0"/>
        <v>0</v>
      </c>
      <c r="O27">
        <f t="shared" si="1"/>
        <v>0</v>
      </c>
      <c r="P27">
        <f t="shared" si="2"/>
        <v>0</v>
      </c>
      <c r="Q27">
        <f t="shared" si="3"/>
        <v>0</v>
      </c>
      <c r="AA27">
        <v>10</v>
      </c>
      <c r="AB27" t="s">
        <v>149</v>
      </c>
    </row>
    <row r="28" spans="2:28" ht="12.75">
      <c r="B28" s="121" t="s">
        <v>37</v>
      </c>
      <c r="C28" s="122" t="s">
        <v>246</v>
      </c>
      <c r="D28" s="396"/>
      <c r="E28" s="123">
        <v>72</v>
      </c>
      <c r="F28" s="396"/>
      <c r="G28" s="123">
        <v>82</v>
      </c>
      <c r="H28" s="396"/>
      <c r="I28" s="123">
        <v>87</v>
      </c>
      <c r="J28" s="396"/>
      <c r="K28" s="124">
        <v>89</v>
      </c>
      <c r="N28">
        <f t="shared" si="0"/>
        <v>0</v>
      </c>
      <c r="O28">
        <f t="shared" si="1"/>
        <v>0</v>
      </c>
      <c r="P28">
        <f t="shared" si="2"/>
        <v>0</v>
      </c>
      <c r="Q28">
        <f t="shared" si="3"/>
        <v>0</v>
      </c>
      <c r="AA28">
        <v>11</v>
      </c>
      <c r="AB28" t="s">
        <v>157</v>
      </c>
    </row>
    <row r="29" spans="2:28" ht="12.75">
      <c r="B29" s="125">
        <f>IF('Hyd Sum'!$AJ$10=2,RCNTables!$B$19,IF('Hyd Sum'!$AJ$10=3,RCNTables!$B$34,IF('Hyd Sum'!$AJ$10=4,RCNTables!$B$49,IF('Hyd Sum'!$AJ$10=5,RCNTables!$B$64,""))))</f>
      </c>
      <c r="C29" s="126">
        <f>IF('Hyd Sum'!$AJ$10=2,RCNTables!$C$19,IF('Hyd Sum'!$AJ$10=3,RCNTables!$C$34,IF('Hyd Sum'!$AJ$10=4,RCNTables!$C$49,IF('Hyd Sum'!$AJ$10=5,RCNTables!$C$64,""))))</f>
      </c>
      <c r="D29" s="396"/>
      <c r="E29" s="127">
        <f>IF('Hyd Sum'!$AJ$10=2,RCNTables!$D$19,IF('Hyd Sum'!$AJ$10=3,RCNTables!$D$34,IF('Hyd Sum'!$AJ$10=4,RCNTables!$D$49,IF('Hyd Sum'!$AJ$10=5,RCNTables!$D$64,""))))</f>
      </c>
      <c r="F29" s="396"/>
      <c r="G29" s="127">
        <f>IF('Hyd Sum'!$AJ$10=2,RCNTables!$F$19,IF('Hyd Sum'!$AJ$10=3,RCNTables!$F$34,IF('Hyd Sum'!$AJ$10=4,RCNTables!$F$49,IF('Hyd Sum'!$AJ$10=5,RCNTables!$F$64,""))))</f>
      </c>
      <c r="H29" s="396"/>
      <c r="I29" s="127">
        <f>IF('Hyd Sum'!$AJ$10=2,RCNTables!$H$19,IF('Hyd Sum'!$AJ$10=3,RCNTables!$H$34,IF('Hyd Sum'!$AJ$10=4,RCNTables!$H$49,IF('Hyd Sum'!$AJ$10=5,RCNTables!$H$64,""))))</f>
      </c>
      <c r="J29" s="396"/>
      <c r="K29" s="128">
        <f>IF('Hyd Sum'!$AJ$10=2,RCNTables!$J$19,IF('Hyd Sum'!$AJ$10=3,RCNTables!$J$34,IF('Hyd Sum'!$AJ$10=4,RCNTables!$J$49,IF('Hyd Sum'!$AJ$10=5,RCNTables!$J$64,""))))</f>
      </c>
      <c r="N29">
        <f>IF('Hyd Sum'!$AJ$10=1,0,D29*E29)</f>
        <v>0</v>
      </c>
      <c r="O29">
        <f>IF('Hyd Sum'!$AJ$10=1,0,F29*G29)</f>
        <v>0</v>
      </c>
      <c r="P29">
        <f>IF('Hyd Sum'!$AJ$10=1,0,H29*I29)</f>
        <v>0</v>
      </c>
      <c r="Q29">
        <f>IF('Hyd Sum'!$AJ$10=1,0,J29*K29)</f>
        <v>0</v>
      </c>
      <c r="AA29">
        <v>100</v>
      </c>
      <c r="AB29" t="s">
        <v>148</v>
      </c>
    </row>
    <row r="30" spans="2:28" ht="12.75">
      <c r="B30" s="125">
        <f>IF('Hyd Sum'!$AJ$10=2,RCNTables!$B$20,IF('Hyd Sum'!$AJ$10=3,RCNTables!$B$35,IF('Hyd Sum'!$AJ$10=4,RCNTables!$B$50,IF('Hyd Sum'!$AJ$10=5,RCNTables!$B$65,""))))</f>
      </c>
      <c r="C30" s="126">
        <f>IF('Hyd Sum'!$AJ$10=2,RCNTables!$C$20,IF('Hyd Sum'!$AJ$10=3,RCNTables!$C$35,IF('Hyd Sum'!$AJ$10=4,RCNTables!$C$50,IF('Hyd Sum'!$AJ$10=5,RCNTables!$C$65,""))))</f>
      </c>
      <c r="D30" s="396"/>
      <c r="E30" s="127">
        <f>IF('Hyd Sum'!$AJ$10=2,RCNTables!$D$20,IF('Hyd Sum'!$AJ$10=3,RCNTables!$D$35,IF('Hyd Sum'!$AJ$10=4,RCNTables!$D$50,IF('Hyd Sum'!$AJ$10=5,RCNTables!$D$65,""))))</f>
      </c>
      <c r="F30" s="396"/>
      <c r="G30" s="127">
        <f>IF('Hyd Sum'!$AJ$10=2,RCNTables!$F$20,IF('Hyd Sum'!$AJ$10=3,RCNTables!$F$35,IF('Hyd Sum'!$AJ$10=4,RCNTables!$F$50,IF('Hyd Sum'!$AJ$10=5,RCNTables!$F$65,""))))</f>
      </c>
      <c r="H30" s="396"/>
      <c r="I30" s="127">
        <f>IF('Hyd Sum'!$AJ$10=2,RCNTables!$H$20,IF('Hyd Sum'!$AJ$10=3,RCNTables!$H$35,IF('Hyd Sum'!$AJ$10=4,RCNTables!$H$50,IF('Hyd Sum'!$AJ$10=5,RCNTables!$H$65,""))))</f>
      </c>
      <c r="J30" s="396"/>
      <c r="K30" s="128">
        <f>IF('Hyd Sum'!$AJ$10=2,RCNTables!$J$20,IF('Hyd Sum'!$AJ$10=3,RCNTables!$J$35,IF('Hyd Sum'!$AJ$10=4,RCNTables!$J$50,IF('Hyd Sum'!$AJ$10=5,RCNTables!$J$65,""))))</f>
      </c>
      <c r="N30">
        <f>IF('Hyd Sum'!$AJ$10=1,0,D30*E30)</f>
        <v>0</v>
      </c>
      <c r="O30">
        <f>IF('Hyd Sum'!$AJ$10=1,0,F30*G30)</f>
        <v>0</v>
      </c>
      <c r="P30">
        <f>IF('Hyd Sum'!$AJ$10=1,0,H30*I30)</f>
        <v>0</v>
      </c>
      <c r="Q30">
        <f>IF('Hyd Sum'!$AJ$10=1,0,J30*K30)</f>
        <v>0</v>
      </c>
      <c r="AA30">
        <v>101</v>
      </c>
      <c r="AB30" t="s">
        <v>158</v>
      </c>
    </row>
    <row r="31" spans="2:28" ht="12.75">
      <c r="B31" s="125">
        <f>IF('Hyd Sum'!$AJ$10=2,RCNTables!$B$21,IF('Hyd Sum'!$AJ$10=3,RCNTables!$B$36,IF('Hyd Sum'!$AJ$10=4,RCNTables!$B$51,IF('Hyd Sum'!$AJ$10=5,RCNTables!$B$66,""))))</f>
      </c>
      <c r="C31" s="126">
        <f>IF('Hyd Sum'!$AJ$10=2,RCNTables!$C$21,IF('Hyd Sum'!$AJ$10=3,RCNTables!$C$36,IF('Hyd Sum'!$AJ$10=4,RCNTables!$C$51,IF('Hyd Sum'!$AJ$10=5,RCNTables!$C$66,""))))</f>
      </c>
      <c r="D31" s="396"/>
      <c r="E31" s="127">
        <f>IF('Hyd Sum'!$AJ$10=2,RCNTables!$D$21,IF('Hyd Sum'!$AJ$10=3,RCNTables!$D$36,IF('Hyd Sum'!$AJ$10=4,RCNTables!$D$51,IF('Hyd Sum'!$AJ$10=5,RCNTables!$D$66,""))))</f>
      </c>
      <c r="F31" s="396"/>
      <c r="G31" s="127">
        <f>IF('Hyd Sum'!$AJ$10=2,RCNTables!$F$21,IF('Hyd Sum'!$AJ$10=3,RCNTables!$F$36,IF('Hyd Sum'!$AJ$10=4,RCNTables!$F$51,IF('Hyd Sum'!$AJ$10=5,RCNTables!$F$66,""))))</f>
      </c>
      <c r="H31" s="396"/>
      <c r="I31" s="127">
        <f>IF('Hyd Sum'!$AJ$10=2,RCNTables!$H$21,IF('Hyd Sum'!$AJ$10=3,RCNTables!$H$36,IF('Hyd Sum'!$AJ$10=4,RCNTables!$H$51,IF('Hyd Sum'!$AJ$10=5,RCNTables!$H$66,""))))</f>
      </c>
      <c r="J31" s="396"/>
      <c r="K31" s="128">
        <f>IF('Hyd Sum'!$AJ$10=2,RCNTables!$J$21,IF('Hyd Sum'!$AJ$10=3,RCNTables!$J$36,IF('Hyd Sum'!$AJ$10=4,RCNTables!$J$51,IF('Hyd Sum'!$AJ$10=5,RCNTables!$J$66,""))))</f>
      </c>
      <c r="N31">
        <f>IF('Hyd Sum'!$AJ$10=1,0,D31*E31)</f>
        <v>0</v>
      </c>
      <c r="O31">
        <f>IF('Hyd Sum'!$AJ$10=1,0,F31*G31)</f>
        <v>0</v>
      </c>
      <c r="P31">
        <f>IF('Hyd Sum'!$AJ$10=1,0,H31*I31)</f>
        <v>0</v>
      </c>
      <c r="Q31">
        <f>IF('Hyd Sum'!$AJ$10=1,0,J31*K31)</f>
        <v>0</v>
      </c>
      <c r="AA31">
        <v>110</v>
      </c>
      <c r="AB31" t="s">
        <v>159</v>
      </c>
    </row>
    <row r="32" spans="2:28" ht="12.75">
      <c r="B32" s="125">
        <f>IF('Hyd Sum'!$AJ$10=2,RCNTables!$B$22,IF('Hyd Sum'!$AJ$10=3,RCNTables!$B$37,IF('Hyd Sum'!$AJ$10=4,RCNTables!$B$52,IF('Hyd Sum'!$AJ$10=5,RCNTables!$B$67,""))))</f>
      </c>
      <c r="C32" s="126">
        <f>IF('Hyd Sum'!$AJ$10=2,RCNTables!$C$22,IF('Hyd Sum'!$AJ$10=3,RCNTables!$C$37,IF('Hyd Sum'!$AJ$10=4,RCNTables!$C$52,IF('Hyd Sum'!$AJ$10=5,RCNTables!$C$67,""))))</f>
      </c>
      <c r="D32" s="396"/>
      <c r="E32" s="127">
        <f>IF('Hyd Sum'!$AJ$10=2,RCNTables!$D$22,IF('Hyd Sum'!$AJ$10=3,RCNTables!$D$37,IF('Hyd Sum'!$AJ$10=4,RCNTables!$D$52,IF('Hyd Sum'!$AJ$10=5,RCNTables!$D$67,""))))</f>
      </c>
      <c r="F32" s="396"/>
      <c r="G32" s="127">
        <f>IF('Hyd Sum'!$AJ$10=2,RCNTables!$F$22,IF('Hyd Sum'!$AJ$10=3,RCNTables!$F$37,IF('Hyd Sum'!$AJ$10=4,RCNTables!$F$52,IF('Hyd Sum'!$AJ$10=5,RCNTables!$F$67,""))))</f>
      </c>
      <c r="H32" s="396"/>
      <c r="I32" s="127">
        <f>IF('Hyd Sum'!$AJ$10=2,RCNTables!$H$22,IF('Hyd Sum'!$AJ$10=3,RCNTables!$H$37,IF('Hyd Sum'!$AJ$10=4,RCNTables!$H$52,IF('Hyd Sum'!$AJ$10=5,RCNTables!$H$67,""))))</f>
      </c>
      <c r="J32" s="396"/>
      <c r="K32" s="128">
        <f>IF('Hyd Sum'!$AJ$10=2,RCNTables!$J$22,IF('Hyd Sum'!$AJ$10=3,RCNTables!$J$37,IF('Hyd Sum'!$AJ$10=4,RCNTables!$J$52,IF('Hyd Sum'!$AJ$10=5,RCNTables!$J$67,""))))</f>
      </c>
      <c r="N32">
        <f>IF('Hyd Sum'!$AJ$10=1,0,D32*E32)</f>
        <v>0</v>
      </c>
      <c r="O32">
        <f>IF('Hyd Sum'!$AJ$10=1,0,F32*G32)</f>
        <v>0</v>
      </c>
      <c r="P32">
        <f>IF('Hyd Sum'!$AJ$10=1,0,H32*I32)</f>
        <v>0</v>
      </c>
      <c r="Q32">
        <f>IF('Hyd Sum'!$AJ$10=1,0,J32*K32)</f>
        <v>0</v>
      </c>
      <c r="AA32">
        <v>111</v>
      </c>
      <c r="AB32" t="s">
        <v>160</v>
      </c>
    </row>
    <row r="33" spans="2:28" ht="12.75">
      <c r="B33" s="125">
        <f>IF('Hyd Sum'!$AJ$10=2,RCNTables!$B$23,IF('Hyd Sum'!$AJ$10=3,RCNTables!$B$38,IF('Hyd Sum'!$AJ$10=4,RCNTables!$B$53,IF('Hyd Sum'!$AJ$10=5,RCNTables!$B$68,""))))</f>
      </c>
      <c r="C33" s="126">
        <f>IF('Hyd Sum'!$AJ$10=2,RCNTables!$C$23,IF('Hyd Sum'!$AJ$10=3,RCNTables!$C$38,IF('Hyd Sum'!$AJ$10=4,RCNTables!$C$53,IF('Hyd Sum'!$AJ$10=5,RCNTables!$C$68,""))))</f>
      </c>
      <c r="D33" s="396"/>
      <c r="E33" s="127">
        <f>IF('Hyd Sum'!$AJ$10=2,RCNTables!$D$23,IF('Hyd Sum'!$AJ$10=3,RCNTables!$D$38,IF('Hyd Sum'!$AJ$10=4,RCNTables!$D$53,IF('Hyd Sum'!$AJ$10=5,RCNTables!$D$68,""))))</f>
      </c>
      <c r="F33" s="396"/>
      <c r="G33" s="127">
        <f>IF('Hyd Sum'!$AJ$10=2,RCNTables!$F$23,IF('Hyd Sum'!$AJ$10=3,RCNTables!$F$38,IF('Hyd Sum'!$AJ$10=4,RCNTables!$F$53,IF('Hyd Sum'!$AJ$10=5,RCNTables!$F$68,""))))</f>
      </c>
      <c r="H33" s="396"/>
      <c r="I33" s="127">
        <f>IF('Hyd Sum'!$AJ$10=2,RCNTables!$H$23,IF('Hyd Sum'!$AJ$10=3,RCNTables!$H$38,IF('Hyd Sum'!$AJ$10=4,RCNTables!$H$53,IF('Hyd Sum'!$AJ$10=5,RCNTables!$H$68,""))))</f>
      </c>
      <c r="J33" s="396"/>
      <c r="K33" s="128">
        <f>IF('Hyd Sum'!$AJ$10=2,RCNTables!$J$23,IF('Hyd Sum'!$AJ$10=3,RCNTables!$J$38,IF('Hyd Sum'!$AJ$10=4,RCNTables!$J$53,IF('Hyd Sum'!$AJ$10=5,RCNTables!$J$68,""))))</f>
      </c>
      <c r="N33">
        <f>IF('Hyd Sum'!$AJ$10=1,0,D33*E33)</f>
        <v>0</v>
      </c>
      <c r="O33">
        <f>IF('Hyd Sum'!$AJ$10=1,0,F33*G33)</f>
        <v>0</v>
      </c>
      <c r="P33">
        <f>IF('Hyd Sum'!$AJ$10=1,0,H33*I33)</f>
        <v>0</v>
      </c>
      <c r="Q33">
        <f>IF('Hyd Sum'!$AJ$10=1,0,J33*K33)</f>
        <v>0</v>
      </c>
      <c r="AA33">
        <v>1000</v>
      </c>
      <c r="AB33" t="s">
        <v>142</v>
      </c>
    </row>
    <row r="34" spans="2:28" ht="12.75">
      <c r="B34" s="125">
        <f>IF('Hyd Sum'!$AJ$10=2,RCNTables!$B$24,IF('Hyd Sum'!$AJ$10=3,RCNTables!$B$39,IF('Hyd Sum'!$AJ$10=4,RCNTables!$B$54,IF('Hyd Sum'!$AJ$10=5,RCNTables!$B$69,""))))</f>
      </c>
      <c r="C34" s="126">
        <f>IF('Hyd Sum'!$AJ$10=2,RCNTables!$C$24,IF('Hyd Sum'!$AJ$10=3,RCNTables!$C$39,IF('Hyd Sum'!$AJ$10=4,RCNTables!$C$54,IF('Hyd Sum'!$AJ$10=5,RCNTables!$C$69,""))))</f>
      </c>
      <c r="D34" s="396"/>
      <c r="E34" s="127">
        <f>IF('Hyd Sum'!$AJ$10=2,RCNTables!$D$24,IF('Hyd Sum'!$AJ$10=3,RCNTables!$D$39,IF('Hyd Sum'!$AJ$10=4,RCNTables!$D$54,IF('Hyd Sum'!$AJ$10=5,RCNTables!$D$69,""))))</f>
      </c>
      <c r="F34" s="396"/>
      <c r="G34" s="127">
        <f>IF('Hyd Sum'!$AJ$10=2,RCNTables!$F$24,IF('Hyd Sum'!$AJ$10=3,RCNTables!$F$39,IF('Hyd Sum'!$AJ$10=4,RCNTables!$F$54,IF('Hyd Sum'!$AJ$10=5,RCNTables!$F$69,""))))</f>
      </c>
      <c r="H34" s="396"/>
      <c r="I34" s="127">
        <f>IF('Hyd Sum'!$AJ$10=2,RCNTables!$H$24,IF('Hyd Sum'!$AJ$10=3,RCNTables!$H$39,IF('Hyd Sum'!$AJ$10=4,RCNTables!$H$54,IF('Hyd Sum'!$AJ$10=5,RCNTables!$H$69,""))))</f>
      </c>
      <c r="J34" s="396"/>
      <c r="K34" s="128">
        <f>IF('Hyd Sum'!$AJ$10=2,RCNTables!$J$24,IF('Hyd Sum'!$AJ$10=3,RCNTables!$J$39,IF('Hyd Sum'!$AJ$10=4,RCNTables!J$54,IF('Hyd Sum'!$AJ$10=5,RCNTables!$J$69,""))))</f>
      </c>
      <c r="N34">
        <f>IF('Hyd Sum'!$AJ$10=1,0,D34*E34)</f>
        <v>0</v>
      </c>
      <c r="O34">
        <f>IF('Hyd Sum'!$AJ$10=1,0,F34*G34)</f>
        <v>0</v>
      </c>
      <c r="P34">
        <f>IF('Hyd Sum'!$AJ$10=1,0,H34*I34)</f>
        <v>0</v>
      </c>
      <c r="Q34">
        <f>IF('Hyd Sum'!$AJ$10=1,0,J34*K34)</f>
        <v>0</v>
      </c>
      <c r="AA34">
        <v>1001</v>
      </c>
      <c r="AB34" t="s">
        <v>161</v>
      </c>
    </row>
    <row r="35" spans="2:28" ht="12.75">
      <c r="B35" s="125">
        <f>IF('Hyd Sum'!$AJ$10=2,RCNTables!$B$25,IF('Hyd Sum'!$AJ$10=3,RCNTables!$B$40,IF('Hyd Sum'!$AJ$10=4,RCNTables!$B$55,IF('Hyd Sum'!$AJ$10=5,RCNTables!$B$70,""))))</f>
      </c>
      <c r="C35" s="126">
        <f>IF('Hyd Sum'!$AJ$10=2,RCNTables!$C$25,IF('Hyd Sum'!$AJ$10=3,RCNTables!$C$40,IF('Hyd Sum'!$AJ$10=4,RCNTables!$C$55,IF('Hyd Sum'!$AJ$10=5,RCNTables!$C$70,""))))</f>
      </c>
      <c r="D35" s="396"/>
      <c r="E35" s="127">
        <f>IF('Hyd Sum'!$AJ$10=2,RCNTables!$D$25,IF('Hyd Sum'!$AJ$10=3,RCNTables!$D$40,IF('Hyd Sum'!$AJ$10=4,RCNTables!$D$55,IF('Hyd Sum'!$AJ$10=5,RCNTables!$D$70,""))))</f>
      </c>
      <c r="F35" s="396"/>
      <c r="G35" s="127">
        <f>IF('Hyd Sum'!$AJ$10=2,RCNTables!$F$25,IF('Hyd Sum'!$AJ$10=3,RCNTables!$F$40,IF('Hyd Sum'!$AJ$10=4,RCNTables!$F$55,IF('Hyd Sum'!$AJ$10=5,RCNTables!$F$70,""))))</f>
      </c>
      <c r="H35" s="396"/>
      <c r="I35" s="127">
        <f>IF('Hyd Sum'!$AJ$10=2,RCNTables!$H$25,IF('Hyd Sum'!$AJ$10=3,RCNTables!$H$40,IF('Hyd Sum'!$AJ$10=4,RCNTables!$H$55,IF('Hyd Sum'!$AJ$10=5,RCNTables!$H$70,""))))</f>
      </c>
      <c r="J35" s="396"/>
      <c r="K35" s="128">
        <f>IF('Hyd Sum'!$AJ$10=2,RCNTables!$J$25,IF('Hyd Sum'!$AJ$10=3,RCNTables!$J$40,IF('Hyd Sum'!$AJ$10=4,RCNTables!$J$55,IF('Hyd Sum'!$AJ$10=5,RCNTables!$J$70,""))))</f>
      </c>
      <c r="N35">
        <f>IF('Hyd Sum'!$AJ$10=1,0,D35*E35)</f>
        <v>0</v>
      </c>
      <c r="O35">
        <f>IF('Hyd Sum'!$AJ$10=1,0,F35*G35)</f>
        <v>0</v>
      </c>
      <c r="P35">
        <f>IF('Hyd Sum'!$AJ$10=1,0,H35*I35)</f>
        <v>0</v>
      </c>
      <c r="Q35">
        <f>IF('Hyd Sum'!$AJ$10=1,0,J35*K35)</f>
        <v>0</v>
      </c>
      <c r="AA35">
        <v>1010</v>
      </c>
      <c r="AB35" t="s">
        <v>162</v>
      </c>
    </row>
    <row r="36" spans="2:28" ht="12.75">
      <c r="B36" s="125">
        <f>IF('Hyd Sum'!$AJ$10=2,RCNTables!$B$26,IF('Hyd Sum'!$AJ$10=3,RCNTables!$B$41,IF('Hyd Sum'!$AJ$10=4,RCNTables!$B$56,IF('Hyd Sum'!$AJ$10=5,RCNTables!$B$71,""))))</f>
      </c>
      <c r="C36" s="126">
        <f>IF('Hyd Sum'!$AJ$10=2,RCNTables!$C$26,IF('Hyd Sum'!$AJ$10=3,RCNTables!$C$41,IF('Hyd Sum'!$AJ$10=4,RCNTables!$C$56,IF('Hyd Sum'!$AJ$10=5,RCNTables!$C$71,""))))</f>
      </c>
      <c r="D36" s="396"/>
      <c r="E36" s="127">
        <f>IF('Hyd Sum'!$AJ$10=2,RCNTables!$D$26,IF('Hyd Sum'!$AJ$10=3,RCNTables!$D$41,IF('Hyd Sum'!$AJ$10=4,RCNTables!$D$56,IF('Hyd Sum'!$AJ$10=5,RCNTables!$D$71,""))))</f>
      </c>
      <c r="F36" s="396"/>
      <c r="G36" s="127">
        <f>IF('Hyd Sum'!$AJ$10=2,RCNTables!$F$26,IF('Hyd Sum'!$AJ$10=3,RCNTables!$F$41,IF('Hyd Sum'!$AJ$10=4,RCNTables!$F$56,IF('Hyd Sum'!$AJ$10=5,RCNTables!$F$71,""))))</f>
      </c>
      <c r="H36" s="396"/>
      <c r="I36" s="127">
        <f>IF('Hyd Sum'!$AJ$10=2,RCNTables!$H$26,IF('Hyd Sum'!$AJ$10=3,RCNTables!$H$41,IF('Hyd Sum'!$AJ$10=4,RCNTables!$H$56,IF('Hyd Sum'!$AJ$10=5,RCNTables!$H$71,""))))</f>
      </c>
      <c r="J36" s="396"/>
      <c r="K36" s="128">
        <f>IF('Hyd Sum'!$AJ$10=2,RCNTables!$J$26,IF('Hyd Sum'!$AJ$10=3,RCNTables!$J$41,IF('Hyd Sum'!$AJ$10=4,RCNTables!$J$56,IF('Hyd Sum'!$AJ$10=5,RCNTables!$J$71,""))))</f>
      </c>
      <c r="N36">
        <f>IF('Hyd Sum'!$AJ$10=1,0,D36*E36)</f>
        <v>0</v>
      </c>
      <c r="O36">
        <f>IF('Hyd Sum'!$AJ$10=1,0,F36*G36)</f>
        <v>0</v>
      </c>
      <c r="P36">
        <f>IF('Hyd Sum'!$AJ$10=1,0,H36*I36)</f>
        <v>0</v>
      </c>
      <c r="Q36">
        <f>IF('Hyd Sum'!$AJ$10=1,0,J36*K36)</f>
        <v>0</v>
      </c>
      <c r="AA36">
        <v>1011</v>
      </c>
      <c r="AB36" t="s">
        <v>163</v>
      </c>
    </row>
    <row r="37" spans="2:28" ht="12.75">
      <c r="B37" s="125">
        <f>IF('Hyd Sum'!$AJ$10=2,RCNTables!$B$27,IF('Hyd Sum'!$AJ$10=3,RCNTables!$B$42,IF('Hyd Sum'!$AJ$10=4,RCNTables!$B$57,IF('Hyd Sum'!$AJ$10=5,RCNTables!$B$72,""))))</f>
      </c>
      <c r="C37" s="126">
        <f>IF('Hyd Sum'!$AJ$10=2,RCNTables!$C$27,IF('Hyd Sum'!$AJ$10=3,RCNTables!$C$42,IF('Hyd Sum'!$AJ$10=4,RCNTables!$C$57,IF('Hyd Sum'!$AJ$10=5,RCNTables!$C$72,""))))</f>
      </c>
      <c r="D37" s="396"/>
      <c r="E37" s="127">
        <f>IF('Hyd Sum'!$AJ$10=2,RCNTables!$D$27,IF('Hyd Sum'!$AJ$10=3,RCNTables!$D$42,IF('Hyd Sum'!$AJ$10=4,RCNTables!$D$57,IF('Hyd Sum'!$AJ$10=5,RCNTables!$D$72,""))))</f>
      </c>
      <c r="F37" s="396"/>
      <c r="G37" s="127">
        <f>IF('Hyd Sum'!$AJ$10=2,RCNTables!$F$27,IF('Hyd Sum'!$AJ$10=3,RCNTables!$F$42,IF('Hyd Sum'!$AJ$10=4,RCNTables!$F$57,IF('Hyd Sum'!$AJ$10=5,RCNTables!$F$72,""))))</f>
      </c>
      <c r="H37" s="396"/>
      <c r="I37" s="127">
        <f>IF('Hyd Sum'!$AJ$10=2,RCNTables!$H$27,IF('Hyd Sum'!$AJ$10=3,RCNTables!$H$42,IF('Hyd Sum'!$AJ$10=4,RCNTables!$H$57,IF('Hyd Sum'!$AJ$10=5,RCNTables!$H$72,""))))</f>
      </c>
      <c r="J37" s="396"/>
      <c r="K37" s="128">
        <f>IF('Hyd Sum'!$AJ$10=2,RCNTables!$J$27,IF('Hyd Sum'!$AJ$10=3,RCNTables!$J$42,IF('Hyd Sum'!$AJ$10=4,RCNTables!$J$57,IF('Hyd Sum'!$AJ$10=5,RCNTables!$J$72,""))))</f>
      </c>
      <c r="N37">
        <f>IF('Hyd Sum'!$AJ$10=1,0,D37*E37)</f>
        <v>0</v>
      </c>
      <c r="O37">
        <f>IF('Hyd Sum'!$AJ$10=1,0,F37*G37)</f>
        <v>0</v>
      </c>
      <c r="P37">
        <f>IF('Hyd Sum'!$AJ$10=1,0,H37*I37)</f>
        <v>0</v>
      </c>
      <c r="Q37">
        <f>IF('Hyd Sum'!$AJ$10=1,0,J37*K37)</f>
        <v>0</v>
      </c>
      <c r="AA37">
        <v>1100</v>
      </c>
      <c r="AB37" t="s">
        <v>164</v>
      </c>
    </row>
    <row r="38" spans="2:28" ht="12.75">
      <c r="B38" s="125">
        <f>IF('Hyd Sum'!$AJ$10=2,RCNTables!$B$28,IF('Hyd Sum'!$AJ$10=3,RCNTables!$B$43,IF('Hyd Sum'!$AJ$10=4,RCNTables!$B$58,IF('Hyd Sum'!$AJ$10=5,RCNTables!$B$73,""))))</f>
      </c>
      <c r="C38" s="126">
        <f>IF('Hyd Sum'!$AJ$10=2,RCNTables!$C$28,IF('Hyd Sum'!$AJ$10=3,RCNTables!$C$43,IF('Hyd Sum'!$AJ$10=4,RCNTables!$C$58,IF('Hyd Sum'!$AJ$10=5,RCNTables!$C$73,""))))</f>
      </c>
      <c r="D38" s="396"/>
      <c r="E38" s="127">
        <f>IF('Hyd Sum'!$AJ$10=2,RCNTables!$D$28,IF('Hyd Sum'!$AJ$10=3,RCNTables!$D$43,IF('Hyd Sum'!$AJ$10=4,RCNTables!$D$58,IF('Hyd Sum'!$AJ$10=5,RCNTables!$D$73,""))))</f>
      </c>
      <c r="F38" s="396"/>
      <c r="G38" s="127">
        <f>IF('Hyd Sum'!$AJ$10=2,RCNTables!$F$28,IF('Hyd Sum'!$AJ$10=3,RCNTables!$F$43,IF('Hyd Sum'!$AJ$10=4,RCNTables!$F$58,IF('Hyd Sum'!$AJ$10=5,RCNTables!$F$73,""))))</f>
      </c>
      <c r="H38" s="396"/>
      <c r="I38" s="127">
        <f>IF('Hyd Sum'!$AJ$10=2,RCNTables!$H$28,IF('Hyd Sum'!$AJ$10=3,RCNTables!$H$43,IF('Hyd Sum'!$AJ$10=4,RCNTables!$H$58,IF('Hyd Sum'!$AJ$10=5,RCNTables!$H$73,""))))</f>
      </c>
      <c r="J38" s="396"/>
      <c r="K38" s="128">
        <f>IF('Hyd Sum'!$AJ$10=2,RCNTables!$J$28,IF('Hyd Sum'!$AJ$10=3,RCNTables!$J$43,IF('Hyd Sum'!$AJ$10=4,RCNTables!$J$58,IF('Hyd Sum'!$AJ$10=5,RCNTables!$J$73,""))))</f>
      </c>
      <c r="N38">
        <f>IF('Hyd Sum'!$AJ$10=1,0,D38*E38)</f>
        <v>0</v>
      </c>
      <c r="O38">
        <f>IF('Hyd Sum'!$AJ$10=1,0,F38*G38)</f>
        <v>0</v>
      </c>
      <c r="P38">
        <f>IF('Hyd Sum'!$AJ$10=1,0,H38*I38)</f>
        <v>0</v>
      </c>
      <c r="Q38">
        <f>IF('Hyd Sum'!$AJ$10=1,0,J38*K38)</f>
        <v>0</v>
      </c>
      <c r="AA38">
        <v>1101</v>
      </c>
      <c r="AB38" t="s">
        <v>165</v>
      </c>
    </row>
    <row r="39" spans="2:28" ht="12.75">
      <c r="B39" s="125">
        <f>IF('Hyd Sum'!$AJ$10=2,RCNTables!$B$29,IF('Hyd Sum'!$AJ$10=3,RCNTables!$B$44,IF('Hyd Sum'!$AJ$10=4,RCNTables!$B$59,IF('Hyd Sum'!$AJ$10=5,RCNTables!$B$74,""))))</f>
      </c>
      <c r="C39" s="126">
        <f>IF('Hyd Sum'!$AJ$10=2,RCNTables!$C$29,IF('Hyd Sum'!$AJ$10=3,RCNTables!$C$44,IF('Hyd Sum'!$AJ$10=4,RCNTables!$C$59,IF('Hyd Sum'!$AJ$10=5,RCNTables!$C$74,""))))</f>
      </c>
      <c r="D39" s="396"/>
      <c r="E39" s="127">
        <f>IF('Hyd Sum'!$AJ$10=2,RCNTables!$D$29,IF('Hyd Sum'!$AJ$10=3,RCNTables!$D$44,IF('Hyd Sum'!$AJ$10=4,RCNTables!$D$59,IF('Hyd Sum'!$AJ$10=5,RCNTables!$D$74,""))))</f>
      </c>
      <c r="F39" s="396"/>
      <c r="G39" s="127">
        <f>IF('Hyd Sum'!$AJ$10=2,RCNTables!$F$29,IF('Hyd Sum'!$AJ$10=3,RCNTables!$F$44,IF('Hyd Sum'!$AJ$10=4,RCNTables!$F$59,IF('Hyd Sum'!$AJ$10=5,RCNTables!$F$74,""))))</f>
      </c>
      <c r="H39" s="396"/>
      <c r="I39" s="127">
        <f>IF('Hyd Sum'!$AJ$10=2,RCNTables!$H$29,IF('Hyd Sum'!$AJ$10=3,RCNTables!$H$44,IF('Hyd Sum'!$AJ$10=4,RCNTables!$H$59,IF('Hyd Sum'!$AJ$10=5,RCNTables!$H$74,""))))</f>
      </c>
      <c r="J39" s="396"/>
      <c r="K39" s="128">
        <f>IF('Hyd Sum'!$AJ$10=2,RCNTables!$J$29,IF('Hyd Sum'!$AJ$10=3,RCNTables!$J$44,IF('Hyd Sum'!$AJ$10=4,RCNTables!$J$59,IF('Hyd Sum'!$AJ$10=5,RCNTables!$J$74,""))))</f>
      </c>
      <c r="N39">
        <f>IF('Hyd Sum'!$AJ$10=1,0,D39*E39)</f>
        <v>0</v>
      </c>
      <c r="O39">
        <f>IF('Hyd Sum'!$AJ$10=1,0,F39*G39)</f>
        <v>0</v>
      </c>
      <c r="P39">
        <f>IF('Hyd Sum'!$AJ$10=1,0,H39*I39)</f>
        <v>0</v>
      </c>
      <c r="Q39">
        <f>IF('Hyd Sum'!$AJ$10=1,0,J39*K39)</f>
        <v>0</v>
      </c>
      <c r="AA39">
        <v>1110</v>
      </c>
      <c r="AB39" t="s">
        <v>166</v>
      </c>
    </row>
    <row r="40" spans="2:28" ht="12.75">
      <c r="B40" s="125">
        <f>IF('Hyd Sum'!$AJ$10=2,RCNTables!$B$30,IF('Hyd Sum'!$AJ$10=3,RCNTables!$B$45,IF('Hyd Sum'!$AJ$10=4,RCNTables!$B$60,IF('Hyd Sum'!$AJ$10=5,RCNTables!$B$75,""))))</f>
      </c>
      <c r="C40" s="126">
        <f>IF('Hyd Sum'!$AJ$10=2,RCNTables!$C$30,IF('Hyd Sum'!$AJ$10=3,RCNTables!$C$45,IF('Hyd Sum'!$AJ$10=4,RCNTables!$C$60,IF('Hyd Sum'!$AJ$10=5,RCNTables!$C$75,""))))</f>
      </c>
      <c r="D40" s="396"/>
      <c r="E40" s="127">
        <f>IF('Hyd Sum'!$AJ$10=2,RCNTables!$D$30,IF('Hyd Sum'!$AJ$10=3,RCNTables!$D$45,IF('Hyd Sum'!$AJ$10=4,RCNTables!$D$60,IF('Hyd Sum'!$AJ$10=5,RCNTables!$D$75,""))))</f>
      </c>
      <c r="F40" s="396"/>
      <c r="G40" s="127">
        <f>IF('Hyd Sum'!$AJ$10=2,RCNTables!$F$30,IF('Hyd Sum'!$AJ$10=3,RCNTables!$F$45,IF('Hyd Sum'!$AJ$10=4,RCNTables!$F$60,IF('Hyd Sum'!$AJ$10=5,RCNTables!$F$75,""))))</f>
      </c>
      <c r="H40" s="396"/>
      <c r="I40" s="127">
        <f>IF('Hyd Sum'!$AJ$10=2,RCNTables!$H$30,IF('Hyd Sum'!$AJ$10=3,RCNTables!$H$45,IF('Hyd Sum'!$AJ$10=4,RCNTables!$H$60,IF('Hyd Sum'!$AJ$10=5,RCNTables!$H$75,""))))</f>
      </c>
      <c r="J40" s="396"/>
      <c r="K40" s="128">
        <f>IF('Hyd Sum'!$AJ$10=2,RCNTables!$J$30,IF('Hyd Sum'!$AJ$10=3,RCNTables!$J$45,IF('Hyd Sum'!$AJ$10=4,RCNTables!$J$60,IF('Hyd Sum'!$AJ$10=5,RCNTables!$J$75,""))))</f>
      </c>
      <c r="N40">
        <f>IF('Hyd Sum'!$AJ$10=1,0,D40*E40)</f>
        <v>0</v>
      </c>
      <c r="O40">
        <f>IF('Hyd Sum'!$AJ$10=1,0,F40*G40)</f>
        <v>0</v>
      </c>
      <c r="P40">
        <f>IF('Hyd Sum'!$AJ$10=1,0,H40*I40)</f>
        <v>0</v>
      </c>
      <c r="Q40">
        <f>IF('Hyd Sum'!$AJ$10=1,0,J40*K40)</f>
        <v>0</v>
      </c>
      <c r="AA40">
        <v>1111</v>
      </c>
      <c r="AB40" t="s">
        <v>167</v>
      </c>
    </row>
    <row r="41" spans="2:17" ht="12.75">
      <c r="B41" s="125">
        <f>IF('Hyd Sum'!$AJ$10=2,RCNTables!$B$31,IF('Hyd Sum'!$AJ$10=3,RCNTables!$B$46,IF('Hyd Sum'!$AJ$10=4,RCNTables!$B$61,IF('Hyd Sum'!$AJ$10=5,RCNTables!$B$76,""))))</f>
      </c>
      <c r="C41" s="126">
        <f>IF('Hyd Sum'!$AJ$10=2,RCNTables!$C$31,IF('Hyd Sum'!$AJ$10=3,RCNTables!$C$46,IF('Hyd Sum'!$AJ$10=4,RCNTables!$C$61,IF('Hyd Sum'!$AJ$10=5,RCNTables!$C$76,""))))</f>
      </c>
      <c r="D41" s="396"/>
      <c r="E41" s="127">
        <f>IF('Hyd Sum'!$AJ$10=2,RCNTables!$D$31,IF('Hyd Sum'!$AJ$10=3,RCNTables!$D$46,IF('Hyd Sum'!$AJ$10=4,RCNTables!$D$61,IF('Hyd Sum'!$AJ$10=5,RCNTables!$D$76,""))))</f>
      </c>
      <c r="F41" s="396"/>
      <c r="G41" s="127">
        <f>IF('Hyd Sum'!$AJ$10=2,RCNTables!$F$31,IF('Hyd Sum'!$AJ$10=3,RCNTables!$F$46,IF('Hyd Sum'!$AJ$10=4,RCNTables!$F$61,IF('Hyd Sum'!$AJ$10=5,RCNTables!$F$76,""))))</f>
      </c>
      <c r="H41" s="396"/>
      <c r="I41" s="127">
        <f>IF('Hyd Sum'!$AJ$10=2,RCNTables!$H$31,IF('Hyd Sum'!$AJ$10=3,RCNTables!$H$46,IF('Hyd Sum'!$AJ$10=4,RCNTables!$H$61,IF('Hyd Sum'!$AJ$10=5,RCNTables!$H$76,""))))</f>
      </c>
      <c r="J41" s="396"/>
      <c r="K41" s="128">
        <f>IF('Hyd Sum'!$AJ$10=2,RCNTables!$J$31,IF('Hyd Sum'!$AJ$10=3,RCNTables!$J$46,IF('Hyd Sum'!$AJ$10=4,RCNTables!$J$61,IF('Hyd Sum'!$AJ$10=5,RCNTables!$J$76,""))))</f>
      </c>
      <c r="N41">
        <f>IF('Hyd Sum'!$AJ$10=1,0,D41*E41)</f>
        <v>0</v>
      </c>
      <c r="O41">
        <f>IF('Hyd Sum'!$AJ$10=1,0,F41*G41)</f>
        <v>0</v>
      </c>
      <c r="P41">
        <f>IF('Hyd Sum'!$AJ$10=1,0,H41*I41)</f>
        <v>0</v>
      </c>
      <c r="Q41">
        <f>IF('Hyd Sum'!$AJ$10=1,0,J41*K41)</f>
        <v>0</v>
      </c>
    </row>
    <row r="42" spans="2:17" ht="12.75">
      <c r="B42" s="125">
        <f>IF('Hyd Sum'!$AJ$10=2,RCNTables!$B$32,IF('Hyd Sum'!$AJ$10=3,RCNTables!$B$47,IF('Hyd Sum'!$AJ$10=4,RCNTables!$B$62,IF('Hyd Sum'!$AJ$10=5,RCNTables!$B$77,""))))</f>
      </c>
      <c r="C42" s="126">
        <f>IF('Hyd Sum'!$AJ$10=2,RCNTables!$C$32,IF('Hyd Sum'!$AJ$10=3,RCNTables!$C$47,IF('Hyd Sum'!$AJ$10=4,RCNTables!$C$62,IF('Hyd Sum'!$AJ$10=5,RCNTables!$C$77,""))))</f>
      </c>
      <c r="D42" s="396"/>
      <c r="E42" s="127">
        <f>IF('Hyd Sum'!$AJ$10=2,RCNTables!$D$32,IF('Hyd Sum'!$AJ$10=3,RCNTables!$D$47,IF('Hyd Sum'!$AJ$10=4,RCNTables!$D$62,IF('Hyd Sum'!$AJ$10=5,RCNTables!$D$77,""))))</f>
      </c>
      <c r="F42" s="396"/>
      <c r="G42" s="127">
        <f>IF('Hyd Sum'!$AJ$10=2,RCNTables!$F$32,IF('Hyd Sum'!$AJ$10=3,RCNTables!$F$47,IF('Hyd Sum'!$AJ$10=4,RCNTables!$F$62,IF('Hyd Sum'!$AJ$10=5,RCNTables!$F$77,""))))</f>
      </c>
      <c r="H42" s="396"/>
      <c r="I42" s="127">
        <f>IF('Hyd Sum'!$AJ$10=2,RCNTables!H32,IF('Hyd Sum'!$AJ$10=3,RCNTables!H47,IF('Hyd Sum'!$AJ$10=4,RCNTables!H62,IF('Hyd Sum'!$AJ$10=5,RCNTables!H77,""))))</f>
      </c>
      <c r="J42" s="396"/>
      <c r="K42" s="128">
        <f>IF('Hyd Sum'!$AJ$10=2,RCNTables!$J$32,IF('Hyd Sum'!$AJ$10=3,RCNTables!$J$47,IF('Hyd Sum'!$AJ$10=4,RCNTables!$J$62,IF('Hyd Sum'!$AJ$10=5,RCNTables!$J$77,""))))</f>
      </c>
      <c r="N42">
        <f>IF('Hyd Sum'!$AJ$10=1,0,D42*E42)</f>
        <v>0</v>
      </c>
      <c r="O42">
        <f>IF('Hyd Sum'!$AJ$10=1,0,F42*G42)</f>
        <v>0</v>
      </c>
      <c r="P42">
        <f>IF('Hyd Sum'!$AJ$10=1,0,H42*I42)</f>
        <v>0</v>
      </c>
      <c r="Q42">
        <f>IF('Hyd Sum'!$AJ$10=1,0,J42*K42)</f>
        <v>0</v>
      </c>
    </row>
    <row r="43" spans="2:17" ht="12.75">
      <c r="B43" s="125">
        <f>IF('Hyd Sum'!$AJ$10=2,RCNTables!$B$33,IF('Hyd Sum'!$AJ$10=3,RCNTables!$B$48,IF('Hyd Sum'!$AJ$10=4,RCNTables!$B$63,IF('Hyd Sum'!$AJ$10=5,RCNTables!$B$78,""))))</f>
      </c>
      <c r="C43" s="126">
        <f>IF('Hyd Sum'!$AJ$10=2,RCNTables!$C$33,IF('Hyd Sum'!$AJ$10=3,RCNTables!$C$48,IF('Hyd Sum'!$AJ$10=4,RCNTables!$C$63,IF('Hyd Sum'!$AJ$10=5,RCNTables!$C$78,""))))</f>
      </c>
      <c r="D43" s="397"/>
      <c r="E43" s="129">
        <f>IF('Hyd Sum'!$AJ$10=2,RCNTables!$D$33,IF('Hyd Sum'!$AJ$10=3,RCNTables!$D$48,IF('Hyd Sum'!$AJ$10=4,RCNTables!$D$63,IF('Hyd Sum'!$AJ$10=5,RCNTables!$D$78,""))))</f>
      </c>
      <c r="F43" s="397"/>
      <c r="G43" s="129">
        <f>IF('Hyd Sum'!$AJ$10=2,RCNTables!$F$33,IF('Hyd Sum'!$AJ$10=3,RCNTables!$F$48,IF('Hyd Sum'!$AJ$10=4,RCNTables!$F$63,IF('Hyd Sum'!$AJ$10=5,RCNTables!$F$78,""))))</f>
      </c>
      <c r="H43" s="397"/>
      <c r="I43" s="129">
        <f>IF('Hyd Sum'!$AJ$10=2,RCNTables!H33,IF('Hyd Sum'!$AJ$10=3,RCNTables!H48,IF('Hyd Sum'!$AJ$10=4,RCNTables!H63,IF('Hyd Sum'!$AJ$10=5,RCNTables!H78,""))))</f>
      </c>
      <c r="J43" s="397"/>
      <c r="K43" s="130">
        <f>IF('Hyd Sum'!$AJ$10=2,RCNTables!$J$33,IF('Hyd Sum'!$AJ$10=3,RCNTables!$J$48,IF('Hyd Sum'!$AJ$10=4,RCNTables!$J$63,IF('Hyd Sum'!$AJ$10=5,RCNTables!$J$78,""))))</f>
      </c>
      <c r="N43">
        <f>IF('Hyd Sum'!$AJ$10=1,0,D43*E43)</f>
        <v>0</v>
      </c>
      <c r="O43">
        <f>IF('Hyd Sum'!$AJ$10=1,0,F43*G43)</f>
        <v>0</v>
      </c>
      <c r="P43">
        <f>IF('Hyd Sum'!$AJ$10=1,0,H43*I43)</f>
        <v>0</v>
      </c>
      <c r="Q43">
        <f>IF('Hyd Sum'!$AJ$10=1,0,J43*K43)</f>
        <v>0</v>
      </c>
    </row>
    <row r="44" spans="2:17" ht="12.75">
      <c r="B44" s="131"/>
      <c r="C44" s="132"/>
      <c r="D44" s="133" t="s">
        <v>38</v>
      </c>
      <c r="E44" s="134" t="s">
        <v>33</v>
      </c>
      <c r="F44" s="133" t="s">
        <v>38</v>
      </c>
      <c r="G44" s="134" t="s">
        <v>34</v>
      </c>
      <c r="H44" s="133" t="s">
        <v>38</v>
      </c>
      <c r="I44" s="134" t="s">
        <v>35</v>
      </c>
      <c r="J44" s="133" t="s">
        <v>38</v>
      </c>
      <c r="K44" s="17" t="s">
        <v>36</v>
      </c>
      <c r="N44" s="14" t="s">
        <v>33</v>
      </c>
      <c r="O44" s="14" t="s">
        <v>34</v>
      </c>
      <c r="P44" s="14" t="s">
        <v>35</v>
      </c>
      <c r="Q44" s="14" t="s">
        <v>36</v>
      </c>
    </row>
    <row r="45" spans="2:24" ht="12.75">
      <c r="B45" s="65"/>
      <c r="C45" s="135" t="s">
        <v>375</v>
      </c>
      <c r="D45" s="398">
        <f>IF(SUM(D14:D43)=0,"",SUM(D14:D43))</f>
      </c>
      <c r="E45" s="399"/>
      <c r="F45" s="398">
        <f>IF(SUM(F14:F43)=0,"",SUM(F14:F43))</f>
      </c>
      <c r="G45" s="399"/>
      <c r="H45" s="398">
        <f>IF(SUM(H14:H43)=0,"",SUM(H14:H43))</f>
      </c>
      <c r="I45" s="1"/>
      <c r="J45" s="400">
        <f>IF(SUM(J14:J43)=0,"",SUM(J14:J43))</f>
      </c>
      <c r="K45" s="136"/>
      <c r="N45">
        <f>SUM(N14:N43)</f>
        <v>0</v>
      </c>
      <c r="O45">
        <f>SUM(O14:O43)</f>
        <v>0</v>
      </c>
      <c r="P45">
        <f>SUM(P14:P43)</f>
        <v>0</v>
      </c>
      <c r="Q45">
        <f>SUM(Q14:Q43)</f>
        <v>0</v>
      </c>
      <c r="U45">
        <f>IF(D45="",0,1)</f>
        <v>0</v>
      </c>
      <c r="V45">
        <f>IF(F45="",0,1)</f>
        <v>0</v>
      </c>
      <c r="W45">
        <f>IF(H45="",0,1)</f>
        <v>0</v>
      </c>
      <c r="X45">
        <f>IF(J45="",0,1)</f>
        <v>0</v>
      </c>
    </row>
    <row r="46" spans="2:14" ht="12.75">
      <c r="B46" s="65"/>
      <c r="C46" s="137"/>
      <c r="D46" s="22"/>
      <c r="E46" s="67"/>
      <c r="F46" s="68"/>
      <c r="G46" s="67"/>
      <c r="H46" s="68"/>
      <c r="I46" s="67"/>
      <c r="J46" s="68"/>
      <c r="K46" s="72"/>
      <c r="N46" t="s">
        <v>271</v>
      </c>
    </row>
    <row r="47" spans="2:14" ht="12.75">
      <c r="B47" s="65"/>
      <c r="C47" s="137"/>
      <c r="D47" s="22"/>
      <c r="E47" s="67"/>
      <c r="F47" s="68"/>
      <c r="G47" s="67"/>
      <c r="H47" s="68"/>
      <c r="I47" s="67"/>
      <c r="J47" s="68"/>
      <c r="K47" s="72"/>
      <c r="N47">
        <f>SUM(N45:Q45)</f>
        <v>0</v>
      </c>
    </row>
    <row r="48" spans="2:26" ht="12.75">
      <c r="B48" s="65"/>
      <c r="C48" s="69" t="s">
        <v>376</v>
      </c>
      <c r="D48" s="151">
        <f>IF(SUM(D45:J45)=0,"",SUM(D45:J45))</f>
      </c>
      <c r="E48" s="70" t="s">
        <v>169</v>
      </c>
      <c r="F48" s="2"/>
      <c r="G48" s="68"/>
      <c r="H48" s="68"/>
      <c r="I48" s="68"/>
      <c r="J48" s="68"/>
      <c r="K48" s="72"/>
      <c r="U48">
        <f>U45*1000</f>
        <v>0</v>
      </c>
      <c r="V48">
        <f>V45*100</f>
        <v>0</v>
      </c>
      <c r="W48">
        <f>W45*10</f>
        <v>0</v>
      </c>
      <c r="X48">
        <f>X45*1</f>
        <v>0</v>
      </c>
      <c r="Y48">
        <f>SUM(U48:X48)</f>
        <v>0</v>
      </c>
      <c r="Z48">
        <f>IF(D48="","",VLOOKUP(Y48,$AA$26:$AB$40,2))</f>
      </c>
    </row>
    <row r="49" spans="2:11" ht="12.75">
      <c r="B49" s="65"/>
      <c r="C49" s="69" t="s">
        <v>377</v>
      </c>
      <c r="D49" s="152">
        <f>IF(D48="","",ROUND(SUM(N45:Q45)/D48,0))</f>
      </c>
      <c r="E49" s="2"/>
      <c r="F49" s="70">
        <f>IF(D49&gt;59.99,"","60 min.")</f>
      </c>
      <c r="G49" s="12"/>
      <c r="H49" s="68"/>
      <c r="I49" s="68"/>
      <c r="J49" s="68"/>
      <c r="K49" s="72"/>
    </row>
    <row r="50" spans="2:11" ht="12.75">
      <c r="B50" s="65"/>
      <c r="C50" s="69"/>
      <c r="D50" s="70"/>
      <c r="E50" s="71"/>
      <c r="F50" s="68"/>
      <c r="G50" s="68"/>
      <c r="H50" s="68"/>
      <c r="I50" s="68"/>
      <c r="J50" s="68"/>
      <c r="K50" s="72"/>
    </row>
    <row r="51" spans="2:11" ht="12.75">
      <c r="B51" s="65" t="s">
        <v>247</v>
      </c>
      <c r="C51" s="66"/>
      <c r="D51" s="66"/>
      <c r="E51" s="66"/>
      <c r="F51" s="66"/>
      <c r="G51" s="66"/>
      <c r="H51" s="66"/>
      <c r="I51" s="66"/>
      <c r="J51" s="66"/>
      <c r="K51" s="73"/>
    </row>
    <row r="52" spans="2:11" ht="12.75">
      <c r="B52" s="65" t="s">
        <v>248</v>
      </c>
      <c r="C52" s="66"/>
      <c r="D52" s="66"/>
      <c r="E52" s="66"/>
      <c r="F52" s="66"/>
      <c r="G52" s="66"/>
      <c r="H52" s="66"/>
      <c r="I52" s="66"/>
      <c r="J52" s="66"/>
      <c r="K52" s="73"/>
    </row>
    <row r="53" spans="2:11" ht="12.75">
      <c r="B53" s="65" t="s">
        <v>249</v>
      </c>
      <c r="C53" s="66"/>
      <c r="D53" s="66"/>
      <c r="E53" s="66"/>
      <c r="F53" s="66"/>
      <c r="G53" s="66"/>
      <c r="H53" s="66"/>
      <c r="I53" s="66"/>
      <c r="J53" s="66"/>
      <c r="K53" s="73"/>
    </row>
    <row r="54" spans="2:11" ht="12.75">
      <c r="B54" s="365" t="s">
        <v>250</v>
      </c>
      <c r="C54" s="66"/>
      <c r="D54" s="66"/>
      <c r="E54" s="66"/>
      <c r="F54" s="66"/>
      <c r="G54" s="66"/>
      <c r="H54" s="66"/>
      <c r="I54" s="66"/>
      <c r="J54" s="66"/>
      <c r="K54" s="73"/>
    </row>
    <row r="55" spans="2:11" ht="12.75">
      <c r="B55" s="65" t="s">
        <v>251</v>
      </c>
      <c r="C55" s="66"/>
      <c r="D55" s="66"/>
      <c r="E55" s="66"/>
      <c r="F55" s="66"/>
      <c r="G55" s="66"/>
      <c r="H55" s="66"/>
      <c r="I55" s="66"/>
      <c r="J55" s="66"/>
      <c r="K55" s="73"/>
    </row>
    <row r="56" spans="2:11" ht="12.75">
      <c r="B56" s="365" t="s">
        <v>252</v>
      </c>
      <c r="C56" s="66"/>
      <c r="D56" s="66"/>
      <c r="E56" s="66"/>
      <c r="F56" s="66"/>
      <c r="G56" s="66"/>
      <c r="H56" s="66"/>
      <c r="I56" s="66"/>
      <c r="J56" s="66"/>
      <c r="K56" s="73"/>
    </row>
    <row r="57" spans="2:11" ht="12.75">
      <c r="B57" s="65" t="s">
        <v>253</v>
      </c>
      <c r="C57" s="66"/>
      <c r="D57" s="66"/>
      <c r="E57" s="66"/>
      <c r="F57" s="66"/>
      <c r="G57" s="66"/>
      <c r="H57" s="66"/>
      <c r="I57" s="66"/>
      <c r="J57" s="66"/>
      <c r="K57" s="73"/>
    </row>
    <row r="58" spans="2:11" ht="12.75">
      <c r="B58" s="65" t="s">
        <v>254</v>
      </c>
      <c r="C58" s="66"/>
      <c r="D58" s="66"/>
      <c r="E58" s="66"/>
      <c r="F58" s="66"/>
      <c r="G58" s="66"/>
      <c r="H58" s="66"/>
      <c r="I58" s="66"/>
      <c r="J58" s="66"/>
      <c r="K58" s="73"/>
    </row>
    <row r="59" spans="2:11" ht="13.5" thickBot="1">
      <c r="B59" s="74"/>
      <c r="C59" s="75"/>
      <c r="D59" s="75"/>
      <c r="E59" s="75"/>
      <c r="F59" s="75"/>
      <c r="G59" s="75"/>
      <c r="H59" s="75"/>
      <c r="I59" s="75"/>
      <c r="J59" s="75"/>
      <c r="K59" s="76"/>
    </row>
    <row r="60" spans="2:11" ht="12.75">
      <c r="B60" s="138"/>
      <c r="C60" s="66"/>
      <c r="D60" s="66"/>
      <c r="E60" s="66"/>
      <c r="F60" s="66"/>
      <c r="G60" s="66"/>
      <c r="H60" s="66"/>
      <c r="I60" s="66"/>
      <c r="J60" s="66"/>
      <c r="K60" s="66"/>
    </row>
    <row r="61" spans="1:11" ht="12.75">
      <c r="A61" s="15"/>
      <c r="B61" s="15"/>
      <c r="C61" s="15"/>
      <c r="D61" s="15"/>
      <c r="E61" s="15"/>
      <c r="F61" s="15"/>
      <c r="G61" s="15"/>
      <c r="H61" s="558"/>
      <c r="I61" s="558"/>
      <c r="J61" s="558"/>
      <c r="K61" s="558"/>
    </row>
    <row r="62" spans="1:11" ht="12.75" customHeight="1">
      <c r="A62" s="15"/>
      <c r="B62" s="19"/>
      <c r="C62" s="506" t="s">
        <v>230</v>
      </c>
      <c r="D62" s="556"/>
      <c r="E62" s="556"/>
      <c r="F62" s="556"/>
      <c r="G62" s="18"/>
      <c r="H62" s="512" t="s">
        <v>131</v>
      </c>
      <c r="I62" s="513"/>
      <c r="J62" s="513"/>
      <c r="K62" s="18"/>
    </row>
    <row r="63" spans="1:11" ht="12.75">
      <c r="A63" s="15"/>
      <c r="B63" s="19"/>
      <c r="C63" s="84"/>
      <c r="D63" s="14"/>
      <c r="E63" s="14"/>
      <c r="F63" s="18"/>
      <c r="G63" s="18"/>
      <c r="H63" s="113"/>
      <c r="I63" s="114"/>
      <c r="J63" s="114"/>
      <c r="K63" s="18"/>
    </row>
    <row r="64" spans="1:11" ht="12.75">
      <c r="A64" s="15"/>
      <c r="B64" s="19" t="s">
        <v>126</v>
      </c>
      <c r="C64" s="18">
        <f>IF('Hyd Sum'!$G$4="","",'Hyd Sum'!$G$4)</f>
      </c>
      <c r="E64" s="510" t="s">
        <v>171</v>
      </c>
      <c r="F64" s="511"/>
      <c r="G64" s="502">
        <f>IF('Hyd Sum'!$W$4="","",'Hyd Sum'!$W$4)</f>
      </c>
      <c r="H64" s="503"/>
      <c r="I64" s="503"/>
      <c r="J64" s="503"/>
      <c r="K64" s="503"/>
    </row>
    <row r="65" spans="1:11" ht="12.75">
      <c r="A65" s="15"/>
      <c r="B65" s="19" t="s">
        <v>168</v>
      </c>
      <c r="C65" s="21">
        <f>IF('Hyd Sum'!$G$6="","",'Hyd Sum'!$G$6)</f>
      </c>
      <c r="E65" s="516" t="s">
        <v>128</v>
      </c>
      <c r="F65" s="517"/>
      <c r="G65" s="504">
        <f>IF('Hyd Sum'!$W$6="","",'Hyd Sum'!$W$6)</f>
      </c>
      <c r="H65" s="505"/>
      <c r="I65" s="505"/>
      <c r="J65" s="505"/>
      <c r="K65" s="505"/>
    </row>
    <row r="66" spans="1:11" ht="12.75" customHeight="1">
      <c r="A66" s="15"/>
      <c r="B66" s="19"/>
      <c r="C66" s="18"/>
      <c r="D66" s="19"/>
      <c r="E66" s="19"/>
      <c r="F66" s="18"/>
      <c r="G66" s="34"/>
      <c r="H66" s="34"/>
      <c r="I66" s="34"/>
      <c r="J66" s="34"/>
      <c r="K66" s="34"/>
    </row>
    <row r="67" spans="1:11" ht="12.75" customHeight="1">
      <c r="A67" s="15"/>
      <c r="B67" s="352"/>
      <c r="C67" s="352"/>
      <c r="D67" s="556" t="s">
        <v>231</v>
      </c>
      <c r="E67" s="556"/>
      <c r="F67" s="556"/>
      <c r="G67" s="143">
        <f>IF('Hyd Sum'!H28="","",'Hyd Sum'!H28)</f>
      </c>
      <c r="I67" s="34"/>
      <c r="J67" s="19"/>
      <c r="K67" s="34"/>
    </row>
    <row r="68" spans="1:11" ht="12.75" customHeight="1" thickBot="1">
      <c r="A68" s="15"/>
      <c r="B68" s="139"/>
      <c r="C68" s="18"/>
      <c r="D68" s="139"/>
      <c r="E68" s="139"/>
      <c r="F68" s="18"/>
      <c r="G68" s="34"/>
      <c r="H68" s="34"/>
      <c r="I68" s="34"/>
      <c r="J68" s="34"/>
      <c r="K68" s="34"/>
    </row>
    <row r="69" spans="2:11" ht="12.75">
      <c r="B69" s="473" t="s">
        <v>371</v>
      </c>
      <c r="C69" s="474" t="s">
        <v>372</v>
      </c>
      <c r="D69" s="507" t="s">
        <v>32</v>
      </c>
      <c r="E69" s="508"/>
      <c r="F69" s="508"/>
      <c r="G69" s="508"/>
      <c r="H69" s="508"/>
      <c r="I69" s="508"/>
      <c r="J69" s="508"/>
      <c r="K69" s="509"/>
    </row>
    <row r="70" spans="2:11" ht="13.5" thickBot="1">
      <c r="B70" s="475" t="s">
        <v>373</v>
      </c>
      <c r="C70" s="476" t="s">
        <v>374</v>
      </c>
      <c r="D70" s="519" t="s">
        <v>33</v>
      </c>
      <c r="E70" s="520"/>
      <c r="F70" s="519" t="s">
        <v>34</v>
      </c>
      <c r="G70" s="520"/>
      <c r="H70" s="519" t="s">
        <v>35</v>
      </c>
      <c r="I70" s="520"/>
      <c r="J70" s="519" t="s">
        <v>36</v>
      </c>
      <c r="K70" s="514"/>
    </row>
    <row r="71" spans="1:11" ht="12.75">
      <c r="A71" s="15"/>
      <c r="B71" s="140"/>
      <c r="C71" s="141"/>
      <c r="D71" s="142" t="s">
        <v>38</v>
      </c>
      <c r="E71" s="143" t="s">
        <v>123</v>
      </c>
      <c r="F71" s="142" t="s">
        <v>38</v>
      </c>
      <c r="G71" s="143" t="s">
        <v>123</v>
      </c>
      <c r="H71" s="142" t="s">
        <v>38</v>
      </c>
      <c r="I71" s="143" t="s">
        <v>123</v>
      </c>
      <c r="J71" s="142" t="s">
        <v>38</v>
      </c>
      <c r="K71" s="144" t="s">
        <v>123</v>
      </c>
    </row>
    <row r="72" spans="1:17" ht="12.75">
      <c r="A72" s="15"/>
      <c r="B72" s="121" t="s">
        <v>37</v>
      </c>
      <c r="C72" s="122" t="s">
        <v>232</v>
      </c>
      <c r="D72" s="396"/>
      <c r="E72" s="134">
        <v>75</v>
      </c>
      <c r="F72" s="396"/>
      <c r="G72" s="134">
        <v>84</v>
      </c>
      <c r="H72" s="396"/>
      <c r="I72" s="134">
        <v>89</v>
      </c>
      <c r="J72" s="396"/>
      <c r="K72" s="145">
        <v>92</v>
      </c>
      <c r="N72">
        <f aca="true" t="shared" si="4" ref="N72:N86">D72*E72</f>
        <v>0</v>
      </c>
      <c r="O72">
        <f aca="true" t="shared" si="5" ref="O72:O86">F72*G72</f>
        <v>0</v>
      </c>
      <c r="P72">
        <f aca="true" t="shared" si="6" ref="P72:P86">H72*I72</f>
        <v>0</v>
      </c>
      <c r="Q72">
        <f aca="true" t="shared" si="7" ref="Q72:Q86">J72*K72</f>
        <v>0</v>
      </c>
    </row>
    <row r="73" spans="2:17" ht="12.75">
      <c r="B73" s="121" t="s">
        <v>37</v>
      </c>
      <c r="C73" s="122" t="s">
        <v>233</v>
      </c>
      <c r="D73" s="396"/>
      <c r="E73" s="123">
        <v>70</v>
      </c>
      <c r="F73" s="396"/>
      <c r="G73" s="123">
        <v>79</v>
      </c>
      <c r="H73" s="396"/>
      <c r="I73" s="123">
        <v>85</v>
      </c>
      <c r="J73" s="396"/>
      <c r="K73" s="146">
        <v>88</v>
      </c>
      <c r="N73">
        <f t="shared" si="4"/>
        <v>0</v>
      </c>
      <c r="O73">
        <f t="shared" si="5"/>
        <v>0</v>
      </c>
      <c r="P73">
        <f t="shared" si="6"/>
        <v>0</v>
      </c>
      <c r="Q73">
        <f t="shared" si="7"/>
        <v>0</v>
      </c>
    </row>
    <row r="74" spans="2:17" ht="12.75">
      <c r="B74" s="121" t="s">
        <v>37</v>
      </c>
      <c r="C74" s="122" t="s">
        <v>234</v>
      </c>
      <c r="D74" s="396"/>
      <c r="E74" s="123">
        <v>69</v>
      </c>
      <c r="F74" s="396"/>
      <c r="G74" s="123">
        <v>78</v>
      </c>
      <c r="H74" s="396"/>
      <c r="I74" s="123">
        <v>85</v>
      </c>
      <c r="J74" s="396"/>
      <c r="K74" s="146">
        <v>88</v>
      </c>
      <c r="N74">
        <f t="shared" si="4"/>
        <v>0</v>
      </c>
      <c r="O74">
        <f t="shared" si="5"/>
        <v>0</v>
      </c>
      <c r="P74">
        <f t="shared" si="6"/>
        <v>0</v>
      </c>
      <c r="Q74">
        <f t="shared" si="7"/>
        <v>0</v>
      </c>
    </row>
    <row r="75" spans="2:17" ht="12.75">
      <c r="B75" s="121" t="s">
        <v>37</v>
      </c>
      <c r="C75" s="122" t="s">
        <v>235</v>
      </c>
      <c r="D75" s="396"/>
      <c r="E75" s="123">
        <v>67</v>
      </c>
      <c r="F75" s="396"/>
      <c r="G75" s="123">
        <v>77</v>
      </c>
      <c r="H75" s="396"/>
      <c r="I75" s="123">
        <v>82</v>
      </c>
      <c r="J75" s="396"/>
      <c r="K75" s="146">
        <v>86</v>
      </c>
      <c r="N75">
        <f t="shared" si="4"/>
        <v>0</v>
      </c>
      <c r="O75">
        <f t="shared" si="5"/>
        <v>0</v>
      </c>
      <c r="P75">
        <f t="shared" si="6"/>
        <v>0</v>
      </c>
      <c r="Q75">
        <f t="shared" si="7"/>
        <v>0</v>
      </c>
    </row>
    <row r="76" spans="2:17" ht="12.75">
      <c r="B76" s="121" t="s">
        <v>37</v>
      </c>
      <c r="C76" s="122" t="s">
        <v>236</v>
      </c>
      <c r="D76" s="396"/>
      <c r="E76" s="123">
        <v>64</v>
      </c>
      <c r="F76" s="396"/>
      <c r="G76" s="123">
        <v>72</v>
      </c>
      <c r="H76" s="396"/>
      <c r="I76" s="123">
        <v>78</v>
      </c>
      <c r="J76" s="396"/>
      <c r="K76" s="146">
        <v>81</v>
      </c>
      <c r="N76">
        <f t="shared" si="4"/>
        <v>0</v>
      </c>
      <c r="O76">
        <f t="shared" si="5"/>
        <v>0</v>
      </c>
      <c r="P76">
        <f t="shared" si="6"/>
        <v>0</v>
      </c>
      <c r="Q76">
        <f t="shared" si="7"/>
        <v>0</v>
      </c>
    </row>
    <row r="77" spans="2:17" ht="12.75">
      <c r="B77" s="121" t="s">
        <v>37</v>
      </c>
      <c r="C77" s="122" t="s">
        <v>237</v>
      </c>
      <c r="D77" s="396"/>
      <c r="E77" s="123">
        <v>63</v>
      </c>
      <c r="F77" s="396"/>
      <c r="G77" s="123">
        <v>74</v>
      </c>
      <c r="H77" s="396"/>
      <c r="I77" s="123">
        <v>82</v>
      </c>
      <c r="J77" s="396"/>
      <c r="K77" s="146">
        <v>85</v>
      </c>
      <c r="N77">
        <f t="shared" si="4"/>
        <v>0</v>
      </c>
      <c r="O77">
        <f t="shared" si="5"/>
        <v>0</v>
      </c>
      <c r="P77">
        <f t="shared" si="6"/>
        <v>0</v>
      </c>
      <c r="Q77">
        <f t="shared" si="7"/>
        <v>0</v>
      </c>
    </row>
    <row r="78" spans="2:17" ht="12.75">
      <c r="B78" s="121" t="s">
        <v>37</v>
      </c>
      <c r="C78" s="122" t="s">
        <v>238</v>
      </c>
      <c r="D78" s="396"/>
      <c r="E78" s="123">
        <v>61</v>
      </c>
      <c r="F78" s="396"/>
      <c r="G78" s="123">
        <v>73</v>
      </c>
      <c r="H78" s="396"/>
      <c r="I78" s="123">
        <v>81</v>
      </c>
      <c r="J78" s="396"/>
      <c r="K78" s="146">
        <v>84</v>
      </c>
      <c r="N78">
        <f t="shared" si="4"/>
        <v>0</v>
      </c>
      <c r="O78">
        <f t="shared" si="5"/>
        <v>0</v>
      </c>
      <c r="P78">
        <f t="shared" si="6"/>
        <v>0</v>
      </c>
      <c r="Q78">
        <f t="shared" si="7"/>
        <v>0</v>
      </c>
    </row>
    <row r="79" spans="2:17" ht="12.75">
      <c r="B79" s="121" t="s">
        <v>37</v>
      </c>
      <c r="C79" s="122" t="s">
        <v>239</v>
      </c>
      <c r="D79" s="396"/>
      <c r="E79" s="123">
        <v>59</v>
      </c>
      <c r="F79" s="396"/>
      <c r="G79" s="123">
        <v>70</v>
      </c>
      <c r="H79" s="396"/>
      <c r="I79" s="123">
        <v>78</v>
      </c>
      <c r="J79" s="396"/>
      <c r="K79" s="146">
        <v>81</v>
      </c>
      <c r="N79">
        <f t="shared" si="4"/>
        <v>0</v>
      </c>
      <c r="O79">
        <f t="shared" si="5"/>
        <v>0</v>
      </c>
      <c r="P79">
        <f t="shared" si="6"/>
        <v>0</v>
      </c>
      <c r="Q79">
        <f t="shared" si="7"/>
        <v>0</v>
      </c>
    </row>
    <row r="80" spans="2:17" ht="12.75">
      <c r="B80" s="121" t="s">
        <v>37</v>
      </c>
      <c r="C80" s="122" t="s">
        <v>240</v>
      </c>
      <c r="D80" s="396"/>
      <c r="E80" s="123">
        <v>50</v>
      </c>
      <c r="F80" s="396"/>
      <c r="G80" s="123">
        <v>60</v>
      </c>
      <c r="H80" s="396"/>
      <c r="I80" s="123">
        <v>67</v>
      </c>
      <c r="J80" s="396"/>
      <c r="K80" s="146">
        <v>70</v>
      </c>
      <c r="N80">
        <f t="shared" si="4"/>
        <v>0</v>
      </c>
      <c r="O80">
        <f t="shared" si="5"/>
        <v>0</v>
      </c>
      <c r="P80">
        <f t="shared" si="6"/>
        <v>0</v>
      </c>
      <c r="Q80">
        <f t="shared" si="7"/>
        <v>0</v>
      </c>
    </row>
    <row r="81" spans="2:17" ht="12.75">
      <c r="B81" s="121" t="s">
        <v>37</v>
      </c>
      <c r="C81" s="122" t="s">
        <v>241</v>
      </c>
      <c r="D81" s="396"/>
      <c r="E81" s="123">
        <v>68</v>
      </c>
      <c r="F81" s="396"/>
      <c r="G81" s="123">
        <v>79</v>
      </c>
      <c r="H81" s="396"/>
      <c r="I81" s="123">
        <v>86</v>
      </c>
      <c r="J81" s="396"/>
      <c r="K81" s="146">
        <v>89</v>
      </c>
      <c r="N81">
        <f t="shared" si="4"/>
        <v>0</v>
      </c>
      <c r="O81">
        <f t="shared" si="5"/>
        <v>0</v>
      </c>
      <c r="P81">
        <f t="shared" si="6"/>
        <v>0</v>
      </c>
      <c r="Q81">
        <f t="shared" si="7"/>
        <v>0</v>
      </c>
    </row>
    <row r="82" spans="2:17" ht="12.75">
      <c r="B82" s="121" t="s">
        <v>37</v>
      </c>
      <c r="C82" s="122" t="s">
        <v>242</v>
      </c>
      <c r="D82" s="396"/>
      <c r="E82" s="123">
        <v>50</v>
      </c>
      <c r="F82" s="396"/>
      <c r="G82" s="123">
        <v>69</v>
      </c>
      <c r="H82" s="396"/>
      <c r="I82" s="123">
        <v>79</v>
      </c>
      <c r="J82" s="396"/>
      <c r="K82" s="146">
        <v>84</v>
      </c>
      <c r="N82">
        <f t="shared" si="4"/>
        <v>0</v>
      </c>
      <c r="O82">
        <f t="shared" si="5"/>
        <v>0</v>
      </c>
      <c r="P82">
        <f t="shared" si="6"/>
        <v>0</v>
      </c>
      <c r="Q82">
        <f t="shared" si="7"/>
        <v>0</v>
      </c>
    </row>
    <row r="83" spans="2:17" ht="12.75">
      <c r="B83" s="121" t="s">
        <v>37</v>
      </c>
      <c r="C83" s="122" t="s">
        <v>243</v>
      </c>
      <c r="D83" s="396"/>
      <c r="E83" s="123">
        <v>50</v>
      </c>
      <c r="F83" s="396"/>
      <c r="G83" s="123">
        <v>61</v>
      </c>
      <c r="H83" s="396"/>
      <c r="I83" s="123">
        <v>74</v>
      </c>
      <c r="J83" s="396"/>
      <c r="K83" s="146">
        <v>80</v>
      </c>
      <c r="N83">
        <f t="shared" si="4"/>
        <v>0</v>
      </c>
      <c r="O83">
        <f t="shared" si="5"/>
        <v>0</v>
      </c>
      <c r="P83">
        <f t="shared" si="6"/>
        <v>0</v>
      </c>
      <c r="Q83">
        <f t="shared" si="7"/>
        <v>0</v>
      </c>
    </row>
    <row r="84" spans="2:17" ht="12.75">
      <c r="B84" s="121" t="s">
        <v>37</v>
      </c>
      <c r="C84" s="122" t="s">
        <v>244</v>
      </c>
      <c r="D84" s="396"/>
      <c r="E84" s="123">
        <v>50</v>
      </c>
      <c r="F84" s="396"/>
      <c r="G84" s="123">
        <v>66</v>
      </c>
      <c r="H84" s="396"/>
      <c r="I84" s="123">
        <v>77</v>
      </c>
      <c r="J84" s="396"/>
      <c r="K84" s="146">
        <v>83</v>
      </c>
      <c r="N84">
        <f t="shared" si="4"/>
        <v>0</v>
      </c>
      <c r="O84">
        <f t="shared" si="5"/>
        <v>0</v>
      </c>
      <c r="P84">
        <f t="shared" si="6"/>
        <v>0</v>
      </c>
      <c r="Q84">
        <f t="shared" si="7"/>
        <v>0</v>
      </c>
    </row>
    <row r="85" spans="2:17" ht="12.75">
      <c r="B85" s="121" t="s">
        <v>37</v>
      </c>
      <c r="C85" s="122" t="s">
        <v>245</v>
      </c>
      <c r="D85" s="396"/>
      <c r="E85" s="123">
        <v>50</v>
      </c>
      <c r="F85" s="396"/>
      <c r="G85" s="123">
        <v>60</v>
      </c>
      <c r="H85" s="396"/>
      <c r="I85" s="123">
        <v>73</v>
      </c>
      <c r="J85" s="396"/>
      <c r="K85" s="146">
        <v>79</v>
      </c>
      <c r="N85">
        <f t="shared" si="4"/>
        <v>0</v>
      </c>
      <c r="O85">
        <f t="shared" si="5"/>
        <v>0</v>
      </c>
      <c r="P85">
        <f t="shared" si="6"/>
        <v>0</v>
      </c>
      <c r="Q85">
        <f t="shared" si="7"/>
        <v>0</v>
      </c>
    </row>
    <row r="86" spans="2:17" ht="12.75">
      <c r="B86" s="121" t="s">
        <v>37</v>
      </c>
      <c r="C86" s="122" t="s">
        <v>246</v>
      </c>
      <c r="D86" s="396"/>
      <c r="E86" s="123">
        <v>72</v>
      </c>
      <c r="F86" s="396"/>
      <c r="G86" s="123">
        <v>82</v>
      </c>
      <c r="H86" s="396"/>
      <c r="I86" s="123">
        <v>87</v>
      </c>
      <c r="J86" s="396"/>
      <c r="K86" s="146">
        <v>89</v>
      </c>
      <c r="N86">
        <f t="shared" si="4"/>
        <v>0</v>
      </c>
      <c r="O86">
        <f t="shared" si="5"/>
        <v>0</v>
      </c>
      <c r="P86">
        <f t="shared" si="6"/>
        <v>0</v>
      </c>
      <c r="Q86">
        <f t="shared" si="7"/>
        <v>0</v>
      </c>
    </row>
    <row r="87" spans="2:17" ht="12.75">
      <c r="B87" s="125">
        <f>IF('Hyd Sum'!$AJ$10=2,RCNTables!$B$19,IF('Hyd Sum'!$AJ$10=3,RCNTables!$B$34,IF('Hyd Sum'!$AJ$10=4,RCNTables!$B$49,IF('Hyd Sum'!$AJ$10=5,RCNTables!$B$64,""))))</f>
      </c>
      <c r="C87" s="126">
        <f>IF('Hyd Sum'!$AJ$10=2,RCNTables!$C$19,IF('Hyd Sum'!$AJ$10=3,RCNTables!$C$34,IF('Hyd Sum'!$AJ$10=4,RCNTables!$C$49,IF('Hyd Sum'!$AJ$10=5,RCNTables!$C$64,""))))</f>
      </c>
      <c r="D87" s="396"/>
      <c r="E87" s="127">
        <f>IF('Hyd Sum'!$AJ$10=2,RCNTables!$D$19,IF('Hyd Sum'!$AJ$10=3,RCNTables!$D$34,IF('Hyd Sum'!$AJ$10=4,RCNTables!$D$49,IF('Hyd Sum'!$AJ$10=5,RCNTables!$D$64,""))))</f>
      </c>
      <c r="F87" s="396"/>
      <c r="G87" s="127">
        <f>IF('Hyd Sum'!$AJ$10=2,RCNTables!$F$19,IF('Hyd Sum'!$AJ$10=3,RCNTables!$F$34,IF('Hyd Sum'!$AJ$10=4,RCNTables!$F$49,IF('Hyd Sum'!$AJ$10=5,RCNTables!$F$64,""))))</f>
      </c>
      <c r="H87" s="396"/>
      <c r="I87" s="127">
        <f>IF('Hyd Sum'!$AJ$10=2,RCNTables!$H$19,IF('Hyd Sum'!$AJ$10=3,RCNTables!$H$34,IF('Hyd Sum'!$AJ$10=4,RCNTables!$H$49,IF('Hyd Sum'!$AJ$10=5,RCNTables!$H$64,""))))</f>
      </c>
      <c r="J87" s="396"/>
      <c r="K87" s="147">
        <f>IF('Hyd Sum'!$AJ$10=2,RCNTables!$J$19,IF('Hyd Sum'!$AJ$10=3,RCNTables!$J$34,IF('Hyd Sum'!$AJ$10=4,RCNTables!$J$49,IF('Hyd Sum'!$AJ$10=5,RCNTables!$J$64,""))))</f>
      </c>
      <c r="N87">
        <f>IF('Hyd Sum'!$AJ$10=1,0,D87*E87)</f>
        <v>0</v>
      </c>
      <c r="O87">
        <f>IF('Hyd Sum'!$AJ$10=1,0,F87*G87)</f>
        <v>0</v>
      </c>
      <c r="P87">
        <f>IF('Hyd Sum'!$AJ$10=1,0,H87*I87)</f>
        <v>0</v>
      </c>
      <c r="Q87">
        <f>IF('Hyd Sum'!$AJ$10=1,0,J87*K87)</f>
        <v>0</v>
      </c>
    </row>
    <row r="88" spans="2:17" ht="12.75">
      <c r="B88" s="125">
        <f>IF('Hyd Sum'!$AJ$10=2,RCNTables!$B$20,IF('Hyd Sum'!$AJ$10=3,RCNTables!$B$35,IF('Hyd Sum'!$AJ$10=4,RCNTables!$B$50,IF('Hyd Sum'!$AJ$10=5,RCNTables!$B$65,""))))</f>
      </c>
      <c r="C88" s="126">
        <f>IF('Hyd Sum'!$AJ$10=2,RCNTables!$C$20,IF('Hyd Sum'!$AJ$10=3,RCNTables!$C$35,IF('Hyd Sum'!$AJ$10=4,RCNTables!$C$50,IF('Hyd Sum'!$AJ$10=5,RCNTables!$C$65,""))))</f>
      </c>
      <c r="D88" s="396"/>
      <c r="E88" s="127">
        <f>IF('Hyd Sum'!$AJ$10=2,RCNTables!$D$20,IF('Hyd Sum'!$AJ$10=3,RCNTables!$D$35,IF('Hyd Sum'!$AJ$10=4,RCNTables!$D$50,IF('Hyd Sum'!$AJ$10=5,RCNTables!$D$65,""))))</f>
      </c>
      <c r="F88" s="396"/>
      <c r="G88" s="127">
        <f>IF('Hyd Sum'!$AJ$10=2,RCNTables!$F$20,IF('Hyd Sum'!$AJ$10=3,RCNTables!$F$35,IF('Hyd Sum'!$AJ$10=4,RCNTables!$F$50,IF('Hyd Sum'!$AJ$10=5,RCNTables!$F$65,""))))</f>
      </c>
      <c r="H88" s="396"/>
      <c r="I88" s="127">
        <f>IF('Hyd Sum'!$AJ$10=2,RCNTables!$H$20,IF('Hyd Sum'!$AJ$10=3,RCNTables!$H$35,IF('Hyd Sum'!$AJ$10=4,RCNTables!$H$50,IF('Hyd Sum'!$AJ$10=5,RCNTables!$H$65,""))))</f>
      </c>
      <c r="J88" s="396"/>
      <c r="K88" s="147">
        <f>IF('Hyd Sum'!$AJ$10=2,RCNTables!$J$20,IF('Hyd Sum'!$AJ$10=3,RCNTables!$J$35,IF('Hyd Sum'!$AJ$10=4,RCNTables!$J$50,IF('Hyd Sum'!$AJ$10=5,RCNTables!$J$65,""))))</f>
      </c>
      <c r="N88">
        <f>IF('Hyd Sum'!$AJ$10=1,0,D88*E88)</f>
        <v>0</v>
      </c>
      <c r="O88">
        <f>IF('Hyd Sum'!$AJ$10=1,0,F88*G88)</f>
        <v>0</v>
      </c>
      <c r="P88">
        <f>IF('Hyd Sum'!$AJ$10=1,0,H88*I88)</f>
        <v>0</v>
      </c>
      <c r="Q88">
        <f>IF('Hyd Sum'!$AJ$10=1,0,J88*K88)</f>
        <v>0</v>
      </c>
    </row>
    <row r="89" spans="2:17" ht="12.75">
      <c r="B89" s="125">
        <f>IF('Hyd Sum'!$AJ$10=2,RCNTables!$B$21,IF('Hyd Sum'!$AJ$10=3,RCNTables!$B$36,IF('Hyd Sum'!$AJ$10=4,RCNTables!$B$51,IF('Hyd Sum'!$AJ$10=5,RCNTables!$B$66,""))))</f>
      </c>
      <c r="C89" s="126">
        <f>IF('Hyd Sum'!$AJ$10=2,RCNTables!$C$21,IF('Hyd Sum'!$AJ$10=3,RCNTables!$C$36,IF('Hyd Sum'!$AJ$10=4,RCNTables!$C$51,IF('Hyd Sum'!$AJ$10=5,RCNTables!$C$66,""))))</f>
      </c>
      <c r="D89" s="396"/>
      <c r="E89" s="127">
        <f>IF('Hyd Sum'!$AJ$10=2,RCNTables!$D$21,IF('Hyd Sum'!$AJ$10=3,RCNTables!$D$36,IF('Hyd Sum'!$AJ$10=4,RCNTables!$D$51,IF('Hyd Sum'!$AJ$10=5,RCNTables!$D$66,""))))</f>
      </c>
      <c r="F89" s="396"/>
      <c r="G89" s="127">
        <f>IF('Hyd Sum'!$AJ$10=2,RCNTables!$F$21,IF('Hyd Sum'!$AJ$10=3,RCNTables!$F$36,IF('Hyd Sum'!$AJ$10=4,RCNTables!$F$51,IF('Hyd Sum'!$AJ$10=5,RCNTables!$F$66,""))))</f>
      </c>
      <c r="H89" s="396"/>
      <c r="I89" s="127">
        <f>IF('Hyd Sum'!$AJ$10=2,RCNTables!$H$21,IF('Hyd Sum'!$AJ$10=3,RCNTables!$H$36,IF('Hyd Sum'!$AJ$10=4,RCNTables!$H$51,IF('Hyd Sum'!$AJ$10=5,RCNTables!$H$66,""))))</f>
      </c>
      <c r="J89" s="396"/>
      <c r="K89" s="147">
        <f>IF('Hyd Sum'!$AJ$10=2,RCNTables!$J$21,IF('Hyd Sum'!$AJ$10=3,RCNTables!$J$36,IF('Hyd Sum'!$AJ$10=4,RCNTables!$J$51,IF('Hyd Sum'!$AJ$10=5,RCNTables!$J$66,""))))</f>
      </c>
      <c r="N89">
        <f>IF('Hyd Sum'!$AJ$10=1,0,D89*E89)</f>
        <v>0</v>
      </c>
      <c r="O89">
        <f>IF('Hyd Sum'!$AJ$10=1,0,F89*G89)</f>
        <v>0</v>
      </c>
      <c r="P89">
        <f>IF('Hyd Sum'!$AJ$10=1,0,H89*I89)</f>
        <v>0</v>
      </c>
      <c r="Q89">
        <f>IF('Hyd Sum'!$AJ$10=1,0,J89*K89)</f>
        <v>0</v>
      </c>
    </row>
    <row r="90" spans="2:17" ht="12.75">
      <c r="B90" s="125">
        <f>IF('Hyd Sum'!$AJ$10=2,RCNTables!$B$22,IF('Hyd Sum'!$AJ$10=3,RCNTables!$B$37,IF('Hyd Sum'!$AJ$10=4,RCNTables!$B$52,IF('Hyd Sum'!$AJ$10=5,RCNTables!$B$67,""))))</f>
      </c>
      <c r="C90" s="126">
        <f>IF('Hyd Sum'!$AJ$10=2,RCNTables!$C$22,IF('Hyd Sum'!$AJ$10=3,RCNTables!$C$37,IF('Hyd Sum'!$AJ$10=4,RCNTables!$C$52,IF('Hyd Sum'!$AJ$10=5,RCNTables!$C$67,""))))</f>
      </c>
      <c r="D90" s="396"/>
      <c r="E90" s="127">
        <f>IF('Hyd Sum'!$AJ$10=2,RCNTables!$D$22,IF('Hyd Sum'!$AJ$10=3,RCNTables!$D$37,IF('Hyd Sum'!$AJ$10=4,RCNTables!$D$52,IF('Hyd Sum'!$AJ$10=5,RCNTables!$D$67,""))))</f>
      </c>
      <c r="F90" s="396"/>
      <c r="G90" s="127">
        <f>IF('Hyd Sum'!$AJ$10=2,RCNTables!$F$22,IF('Hyd Sum'!$AJ$10=3,RCNTables!$F$37,IF('Hyd Sum'!$AJ$10=4,RCNTables!$F$52,IF('Hyd Sum'!$AJ$10=5,RCNTables!$F$67,""))))</f>
      </c>
      <c r="H90" s="396"/>
      <c r="I90" s="127">
        <f>IF('Hyd Sum'!$AJ$10=2,RCNTables!$H$22,IF('Hyd Sum'!$AJ$10=3,RCNTables!$H$37,IF('Hyd Sum'!$AJ$10=4,RCNTables!$H$52,IF('Hyd Sum'!$AJ$10=5,RCNTables!$H$67,""))))</f>
      </c>
      <c r="J90" s="396"/>
      <c r="K90" s="147">
        <f>IF('Hyd Sum'!$AJ$10=2,RCNTables!$J$22,IF('Hyd Sum'!$AJ$10=3,RCNTables!$J$37,IF('Hyd Sum'!$AJ$10=4,RCNTables!$J$52,IF('Hyd Sum'!$AJ$10=5,RCNTables!$J$67,""))))</f>
      </c>
      <c r="N90">
        <f>IF('Hyd Sum'!$AJ$10=1,0,D90*E90)</f>
        <v>0</v>
      </c>
      <c r="O90">
        <f>IF('Hyd Sum'!$AJ$10=1,0,F90*G90)</f>
        <v>0</v>
      </c>
      <c r="P90">
        <f>IF('Hyd Sum'!$AJ$10=1,0,H90*I90)</f>
        <v>0</v>
      </c>
      <c r="Q90">
        <f>IF('Hyd Sum'!$AJ$10=1,0,J90*K90)</f>
        <v>0</v>
      </c>
    </row>
    <row r="91" spans="2:17" ht="12.75">
      <c r="B91" s="125">
        <f>IF('Hyd Sum'!$AJ$10=2,RCNTables!$B$23,IF('Hyd Sum'!$AJ$10=3,RCNTables!$B$38,IF('Hyd Sum'!$AJ$10=4,RCNTables!$B$53,IF('Hyd Sum'!$AJ$10=5,RCNTables!$B$68,""))))</f>
      </c>
      <c r="C91" s="126">
        <f>IF('Hyd Sum'!$AJ$10=2,RCNTables!$C$23,IF('Hyd Sum'!$AJ$10=3,RCNTables!$C$38,IF('Hyd Sum'!$AJ$10=4,RCNTables!$C$53,IF('Hyd Sum'!$AJ$10=5,RCNTables!$C$68,""))))</f>
      </c>
      <c r="D91" s="396"/>
      <c r="E91" s="127">
        <f>IF('Hyd Sum'!$AJ$10=2,RCNTables!$D$23,IF('Hyd Sum'!$AJ$10=3,RCNTables!$D$38,IF('Hyd Sum'!$AJ$10=4,RCNTables!$D$53,IF('Hyd Sum'!$AJ$10=5,RCNTables!$D$68,""))))</f>
      </c>
      <c r="F91" s="396"/>
      <c r="G91" s="127">
        <f>IF('Hyd Sum'!$AJ$10=2,RCNTables!$F$23,IF('Hyd Sum'!$AJ$10=3,RCNTables!$F$38,IF('Hyd Sum'!$AJ$10=4,RCNTables!$F$53,IF('Hyd Sum'!$AJ$10=5,RCNTables!$F$68,""))))</f>
      </c>
      <c r="H91" s="396"/>
      <c r="I91" s="127">
        <f>IF('Hyd Sum'!$AJ$10=2,RCNTables!$H$23,IF('Hyd Sum'!$AJ$10=3,RCNTables!$H$38,IF('Hyd Sum'!$AJ$10=4,RCNTables!$H$53,IF('Hyd Sum'!$AJ$10=5,RCNTables!$H$68,""))))</f>
      </c>
      <c r="J91" s="396"/>
      <c r="K91" s="147">
        <f>IF('Hyd Sum'!$AJ$10=2,RCNTables!$J$23,IF('Hyd Sum'!$AJ$10=3,RCNTables!$J$38,IF('Hyd Sum'!$AJ$10=4,RCNTables!$J$53,IF('Hyd Sum'!$AJ$10=5,RCNTables!$J$68,""))))</f>
      </c>
      <c r="N91">
        <f>IF('Hyd Sum'!$AJ$10=1,0,D91*E91)</f>
        <v>0</v>
      </c>
      <c r="O91">
        <f>IF('Hyd Sum'!$AJ$10=1,0,F91*G91)</f>
        <v>0</v>
      </c>
      <c r="P91">
        <f>IF('Hyd Sum'!$AJ$10=1,0,H91*I91)</f>
        <v>0</v>
      </c>
      <c r="Q91">
        <f>IF('Hyd Sum'!$AJ$10=1,0,J91*K91)</f>
        <v>0</v>
      </c>
    </row>
    <row r="92" spans="2:17" ht="12.75">
      <c r="B92" s="125">
        <f>IF('Hyd Sum'!$AJ$10=2,RCNTables!$B$24,IF('Hyd Sum'!$AJ$10=3,RCNTables!$B$39,IF('Hyd Sum'!$AJ$10=4,RCNTables!$B$54,IF('Hyd Sum'!$AJ$10=5,RCNTables!$B$69,""))))</f>
      </c>
      <c r="C92" s="126">
        <f>IF('Hyd Sum'!$AJ$10=2,RCNTables!$C$24,IF('Hyd Sum'!$AJ$10=3,RCNTables!$C$39,IF('Hyd Sum'!$AJ$10=4,RCNTables!$C$54,IF('Hyd Sum'!$AJ$10=5,RCNTables!$C$69,""))))</f>
      </c>
      <c r="D92" s="396"/>
      <c r="E92" s="127">
        <f>IF('Hyd Sum'!$AJ$10=2,RCNTables!$D$24,IF('Hyd Sum'!$AJ$10=3,RCNTables!$D$39,IF('Hyd Sum'!$AJ$10=4,RCNTables!$D$54,IF('Hyd Sum'!$AJ$10=5,RCNTables!$D$69,""))))</f>
      </c>
      <c r="F92" s="396"/>
      <c r="G92" s="127">
        <f>IF('Hyd Sum'!$AJ$10=2,RCNTables!$F$24,IF('Hyd Sum'!$AJ$10=3,RCNTables!$F$39,IF('Hyd Sum'!$AJ$10=4,RCNTables!$F$54,IF('Hyd Sum'!$AJ$10=5,RCNTables!$F$69,""))))</f>
      </c>
      <c r="H92" s="396"/>
      <c r="I92" s="127">
        <f>IF('Hyd Sum'!$AJ$10=2,RCNTables!$H$24,IF('Hyd Sum'!$AJ$10=3,RCNTables!$H$39,IF('Hyd Sum'!$AJ$10=4,RCNTables!$H$54,IF('Hyd Sum'!$AJ$10=5,RCNTables!$H$69,""))))</f>
      </c>
      <c r="J92" s="396"/>
      <c r="K92" s="147">
        <f>IF('Hyd Sum'!$AJ$10=2,RCNTables!$J$24,IF('Hyd Sum'!$AJ$10=3,RCNTables!$J$39,IF('Hyd Sum'!$AJ$10=4,RCNTables!J$54,IF('Hyd Sum'!$AJ$10=5,RCNTables!$J$69,""))))</f>
      </c>
      <c r="N92">
        <f>IF('Hyd Sum'!$AJ$10=1,0,D92*E92)</f>
        <v>0</v>
      </c>
      <c r="O92">
        <f>IF('Hyd Sum'!$AJ$10=1,0,F92*G92)</f>
        <v>0</v>
      </c>
      <c r="P92">
        <f>IF('Hyd Sum'!$AJ$10=1,0,H92*I92)</f>
        <v>0</v>
      </c>
      <c r="Q92">
        <f>IF('Hyd Sum'!$AJ$10=1,0,J92*K92)</f>
        <v>0</v>
      </c>
    </row>
    <row r="93" spans="2:17" ht="12.75">
      <c r="B93" s="125">
        <f>IF('Hyd Sum'!$AJ$10=2,RCNTables!$B$25,IF('Hyd Sum'!$AJ$10=3,RCNTables!$B$40,IF('Hyd Sum'!$AJ$10=4,RCNTables!$B$55,IF('Hyd Sum'!$AJ$10=5,RCNTables!$B$70,""))))</f>
      </c>
      <c r="C93" s="126">
        <f>IF('Hyd Sum'!$AJ$10=2,RCNTables!$C$25,IF('Hyd Sum'!$AJ$10=3,RCNTables!$C$40,IF('Hyd Sum'!$AJ$10=4,RCNTables!$C$55,IF('Hyd Sum'!$AJ$10=5,RCNTables!$C$70,""))))</f>
      </c>
      <c r="D93" s="396"/>
      <c r="E93" s="127">
        <f>IF('Hyd Sum'!$AJ$10=2,RCNTables!$D$25,IF('Hyd Sum'!$AJ$10=3,RCNTables!$D$40,IF('Hyd Sum'!$AJ$10=4,RCNTables!$D$55,IF('Hyd Sum'!$AJ$10=5,RCNTables!$D$70,""))))</f>
      </c>
      <c r="F93" s="396"/>
      <c r="G93" s="127">
        <f>IF('Hyd Sum'!$AJ$10=2,RCNTables!$F$25,IF('Hyd Sum'!$AJ$10=3,RCNTables!$F$40,IF('Hyd Sum'!$AJ$10=4,RCNTables!$F$55,IF('Hyd Sum'!$AJ$10=5,RCNTables!$F$70,""))))</f>
      </c>
      <c r="H93" s="396"/>
      <c r="I93" s="127">
        <f>IF('Hyd Sum'!$AJ$10=2,RCNTables!$H$25,IF('Hyd Sum'!$AJ$10=3,RCNTables!$H$40,IF('Hyd Sum'!$AJ$10=4,RCNTables!$H$55,IF('Hyd Sum'!$AJ$10=5,RCNTables!$H$70,""))))</f>
      </c>
      <c r="J93" s="396"/>
      <c r="K93" s="147">
        <f>IF('Hyd Sum'!$AJ$10=2,RCNTables!$J$25,IF('Hyd Sum'!$AJ$10=3,RCNTables!$J$40,IF('Hyd Sum'!$AJ$10=4,RCNTables!$J$55,IF('Hyd Sum'!$AJ$10=5,RCNTables!$J$70,""))))</f>
      </c>
      <c r="N93">
        <f>IF('Hyd Sum'!$AJ$10=1,0,D93*E93)</f>
        <v>0</v>
      </c>
      <c r="O93">
        <f>IF('Hyd Sum'!$AJ$10=1,0,F93*G93)</f>
        <v>0</v>
      </c>
      <c r="P93">
        <f>IF('Hyd Sum'!$AJ$10=1,0,H93*I93)</f>
        <v>0</v>
      </c>
      <c r="Q93">
        <f>IF('Hyd Sum'!$AJ$10=1,0,J93*K93)</f>
        <v>0</v>
      </c>
    </row>
    <row r="94" spans="2:17" ht="12.75">
      <c r="B94" s="125">
        <f>IF('Hyd Sum'!$AJ$10=2,RCNTables!$B$26,IF('Hyd Sum'!$AJ$10=3,RCNTables!$B$41,IF('Hyd Sum'!$AJ$10=4,RCNTables!$B$56,IF('Hyd Sum'!$AJ$10=5,RCNTables!$B$71,""))))</f>
      </c>
      <c r="C94" s="126">
        <f>IF('Hyd Sum'!$AJ$10=2,RCNTables!$C$26,IF('Hyd Sum'!$AJ$10=3,RCNTables!$C$41,IF('Hyd Sum'!$AJ$10=4,RCNTables!$C$56,IF('Hyd Sum'!$AJ$10=5,RCNTables!$C$71,""))))</f>
      </c>
      <c r="D94" s="396"/>
      <c r="E94" s="127">
        <f>IF('Hyd Sum'!$AJ$10=2,RCNTables!$D$26,IF('Hyd Sum'!$AJ$10=3,RCNTables!$D$41,IF('Hyd Sum'!$AJ$10=4,RCNTables!$D$56,IF('Hyd Sum'!$AJ$10=5,RCNTables!$D$71,""))))</f>
      </c>
      <c r="F94" s="396"/>
      <c r="G94" s="127">
        <f>IF('Hyd Sum'!$AJ$10=2,RCNTables!$F$26,IF('Hyd Sum'!$AJ$10=3,RCNTables!$F$41,IF('Hyd Sum'!$AJ$10=4,RCNTables!$F$56,IF('Hyd Sum'!$AJ$10=5,RCNTables!$F$71,""))))</f>
      </c>
      <c r="H94" s="396"/>
      <c r="I94" s="127">
        <f>IF('Hyd Sum'!$AJ$10=2,RCNTables!$H$26,IF('Hyd Sum'!$AJ$10=3,RCNTables!$H$41,IF('Hyd Sum'!$AJ$10=4,RCNTables!$H$56,IF('Hyd Sum'!$AJ$10=5,RCNTables!$H$71,""))))</f>
      </c>
      <c r="J94" s="396"/>
      <c r="K94" s="147">
        <f>IF('Hyd Sum'!$AJ$10=2,RCNTables!$J$26,IF('Hyd Sum'!$AJ$10=3,RCNTables!$J$41,IF('Hyd Sum'!$AJ$10=4,RCNTables!$J$56,IF('Hyd Sum'!$AJ$10=5,RCNTables!$J$71,""))))</f>
      </c>
      <c r="N94">
        <f>IF('Hyd Sum'!$AJ$10=1,0,D94*E94)</f>
        <v>0</v>
      </c>
      <c r="O94">
        <f>IF('Hyd Sum'!$AJ$10=1,0,F94*G94)</f>
        <v>0</v>
      </c>
      <c r="P94">
        <f>IF('Hyd Sum'!$AJ$10=1,0,H94*I94)</f>
        <v>0</v>
      </c>
      <c r="Q94">
        <f>IF('Hyd Sum'!$AJ$10=1,0,J94*K94)</f>
        <v>0</v>
      </c>
    </row>
    <row r="95" spans="2:17" ht="12.75">
      <c r="B95" s="125">
        <f>IF('Hyd Sum'!$AJ$10=2,RCNTables!$B$27,IF('Hyd Sum'!$AJ$10=3,RCNTables!$B$42,IF('Hyd Sum'!$AJ$10=4,RCNTables!$B$57,IF('Hyd Sum'!$AJ$10=5,RCNTables!$B$72,""))))</f>
      </c>
      <c r="C95" s="126">
        <f>IF('Hyd Sum'!$AJ$10=2,RCNTables!$C$27,IF('Hyd Sum'!$AJ$10=3,RCNTables!$C$42,IF('Hyd Sum'!$AJ$10=4,RCNTables!$C$57,IF('Hyd Sum'!$AJ$10=5,RCNTables!$C$72,""))))</f>
      </c>
      <c r="D95" s="396"/>
      <c r="E95" s="127">
        <f>IF('Hyd Sum'!$AJ$10=2,RCNTables!$D$27,IF('Hyd Sum'!$AJ$10=3,RCNTables!$D$42,IF('Hyd Sum'!$AJ$10=4,RCNTables!$D$57,IF('Hyd Sum'!$AJ$10=5,RCNTables!$D$72,""))))</f>
      </c>
      <c r="F95" s="396"/>
      <c r="G95" s="127">
        <f>IF('Hyd Sum'!$AJ$10=2,RCNTables!$F$27,IF('Hyd Sum'!$AJ$10=3,RCNTables!$F$42,IF('Hyd Sum'!$AJ$10=4,RCNTables!$F$57,IF('Hyd Sum'!$AJ$10=5,RCNTables!$F$72,""))))</f>
      </c>
      <c r="H95" s="396"/>
      <c r="I95" s="127">
        <f>IF('Hyd Sum'!$AJ$10=2,RCNTables!$H$27,IF('Hyd Sum'!$AJ$10=3,RCNTables!$H$42,IF('Hyd Sum'!$AJ$10=4,RCNTables!$H$57,IF('Hyd Sum'!$AJ$10=5,RCNTables!$H$72,""))))</f>
      </c>
      <c r="J95" s="396"/>
      <c r="K95" s="147">
        <f>IF('Hyd Sum'!$AJ$10=2,RCNTables!$J$27,IF('Hyd Sum'!$AJ$10=3,RCNTables!$J$42,IF('Hyd Sum'!$AJ$10=4,RCNTables!$J$57,IF('Hyd Sum'!$AJ$10=5,RCNTables!$J$72,""))))</f>
      </c>
      <c r="N95">
        <f>IF('Hyd Sum'!$AJ$10=1,0,D95*E95)</f>
        <v>0</v>
      </c>
      <c r="O95">
        <f>IF('Hyd Sum'!$AJ$10=1,0,F95*G95)</f>
        <v>0</v>
      </c>
      <c r="P95">
        <f>IF('Hyd Sum'!$AJ$10=1,0,H95*I95)</f>
        <v>0</v>
      </c>
      <c r="Q95">
        <f>IF('Hyd Sum'!$AJ$10=1,0,J95*K95)</f>
        <v>0</v>
      </c>
    </row>
    <row r="96" spans="2:17" ht="12.75">
      <c r="B96" s="125">
        <f>IF('Hyd Sum'!$AJ$10=2,RCNTables!$B$28,IF('Hyd Sum'!$AJ$10=3,RCNTables!$B$43,IF('Hyd Sum'!$AJ$10=4,RCNTables!$B$58,IF('Hyd Sum'!$AJ$10=5,RCNTables!$B$73,""))))</f>
      </c>
      <c r="C96" s="126">
        <f>IF('Hyd Sum'!$AJ$10=2,RCNTables!$C$28,IF('Hyd Sum'!$AJ$10=3,RCNTables!$C$43,IF('Hyd Sum'!$AJ$10=4,RCNTables!$C$58,IF('Hyd Sum'!$AJ$10=5,RCNTables!$C$73,""))))</f>
      </c>
      <c r="D96" s="396"/>
      <c r="E96" s="127">
        <f>IF('Hyd Sum'!$AJ$10=2,RCNTables!$D$28,IF('Hyd Sum'!$AJ$10=3,RCNTables!$D$43,IF('Hyd Sum'!$AJ$10=4,RCNTables!$D$58,IF('Hyd Sum'!$AJ$10=5,RCNTables!$D$73,""))))</f>
      </c>
      <c r="F96" s="396"/>
      <c r="G96" s="127">
        <f>IF('Hyd Sum'!$AJ$10=2,RCNTables!$F$28,IF('Hyd Sum'!$AJ$10=3,RCNTables!$F$43,IF('Hyd Sum'!$AJ$10=4,RCNTables!$F$58,IF('Hyd Sum'!$AJ$10=5,RCNTables!$F$73,""))))</f>
      </c>
      <c r="H96" s="396"/>
      <c r="I96" s="127">
        <f>IF('Hyd Sum'!$AJ$10=2,RCNTables!$H$28,IF('Hyd Sum'!$AJ$10=3,RCNTables!$H$43,IF('Hyd Sum'!$AJ$10=4,RCNTables!$H$58,IF('Hyd Sum'!$AJ$10=5,RCNTables!$H$73,""))))</f>
      </c>
      <c r="J96" s="396"/>
      <c r="K96" s="147">
        <f>IF('Hyd Sum'!$AJ$10=2,RCNTables!$J$28,IF('Hyd Sum'!$AJ$10=3,RCNTables!$J$43,IF('Hyd Sum'!$AJ$10=4,RCNTables!$J$58,IF('Hyd Sum'!$AJ$10=5,RCNTables!$J$73,""))))</f>
      </c>
      <c r="N96">
        <f>IF('Hyd Sum'!$AJ$10=1,0,D96*E96)</f>
        <v>0</v>
      </c>
      <c r="O96">
        <f>IF('Hyd Sum'!$AJ$10=1,0,F96*G96)</f>
        <v>0</v>
      </c>
      <c r="P96">
        <f>IF('Hyd Sum'!$AJ$10=1,0,H96*I96)</f>
        <v>0</v>
      </c>
      <c r="Q96">
        <f>IF('Hyd Sum'!$AJ$10=1,0,J96*K96)</f>
        <v>0</v>
      </c>
    </row>
    <row r="97" spans="2:17" ht="12.75">
      <c r="B97" s="125">
        <f>IF('Hyd Sum'!$AJ$10=2,RCNTables!$B$29,IF('Hyd Sum'!$AJ$10=3,RCNTables!$B$44,IF('Hyd Sum'!$AJ$10=4,RCNTables!$B$59,IF('Hyd Sum'!$AJ$10=5,RCNTables!$B$74,""))))</f>
      </c>
      <c r="C97" s="126">
        <f>IF('Hyd Sum'!$AJ$10=2,RCNTables!$C$29,IF('Hyd Sum'!$AJ$10=3,RCNTables!$C$44,IF('Hyd Sum'!$AJ$10=4,RCNTables!$C$59,IF('Hyd Sum'!$AJ$10=5,RCNTables!$C$74,""))))</f>
      </c>
      <c r="D97" s="396"/>
      <c r="E97" s="127">
        <f>IF('Hyd Sum'!$AJ$10=2,RCNTables!$D$29,IF('Hyd Sum'!$AJ$10=3,RCNTables!$D$44,IF('Hyd Sum'!$AJ$10=4,RCNTables!$D$59,IF('Hyd Sum'!$AJ$10=5,RCNTables!$D$74,""))))</f>
      </c>
      <c r="F97" s="396"/>
      <c r="G97" s="127">
        <f>IF('Hyd Sum'!$AJ$10=2,RCNTables!$F$29,IF('Hyd Sum'!$AJ$10=3,RCNTables!$F$44,IF('Hyd Sum'!$AJ$10=4,RCNTables!$F$59,IF('Hyd Sum'!$AJ$10=5,RCNTables!$F$74,""))))</f>
      </c>
      <c r="H97" s="396"/>
      <c r="I97" s="127">
        <f>IF('Hyd Sum'!$AJ$10=2,RCNTables!$H$29,IF('Hyd Sum'!$AJ$10=3,RCNTables!$H$44,IF('Hyd Sum'!$AJ$10=4,RCNTables!$H$59,IF('Hyd Sum'!$AJ$10=5,RCNTables!$H$74,""))))</f>
      </c>
      <c r="J97" s="396"/>
      <c r="K97" s="147">
        <f>IF('Hyd Sum'!$AJ$10=2,RCNTables!$J$29,IF('Hyd Sum'!$AJ$10=3,RCNTables!$J$44,IF('Hyd Sum'!$AJ$10=4,RCNTables!$J$59,IF('Hyd Sum'!$AJ$10=5,RCNTables!$J$74,""))))</f>
      </c>
      <c r="N97">
        <f>IF('Hyd Sum'!$AJ$10=1,0,D97*E97)</f>
        <v>0</v>
      </c>
      <c r="O97">
        <f>IF('Hyd Sum'!$AJ$10=1,0,F97*G97)</f>
        <v>0</v>
      </c>
      <c r="P97">
        <f>IF('Hyd Sum'!$AJ$10=1,0,H97*I97)</f>
        <v>0</v>
      </c>
      <c r="Q97">
        <f>IF('Hyd Sum'!$AJ$10=1,0,J97*K97)</f>
        <v>0</v>
      </c>
    </row>
    <row r="98" spans="2:17" ht="12.75">
      <c r="B98" s="125">
        <f>IF('Hyd Sum'!$AJ$10=2,RCNTables!$B$30,IF('Hyd Sum'!$AJ$10=3,RCNTables!$B$45,IF('Hyd Sum'!$AJ$10=4,RCNTables!$B$60,IF('Hyd Sum'!$AJ$10=5,RCNTables!$B$75,""))))</f>
      </c>
      <c r="C98" s="126">
        <f>IF('Hyd Sum'!$AJ$10=2,RCNTables!$C$30,IF('Hyd Sum'!$AJ$10=3,RCNTables!$C$45,IF('Hyd Sum'!$AJ$10=4,RCNTables!$C$60,IF('Hyd Sum'!$AJ$10=5,RCNTables!$C$75,""))))</f>
      </c>
      <c r="D98" s="396"/>
      <c r="E98" s="127">
        <f>IF('Hyd Sum'!$AJ$10=2,RCNTables!$D$30,IF('Hyd Sum'!$AJ$10=3,RCNTables!$D$45,IF('Hyd Sum'!$AJ$10=4,RCNTables!$D$60,IF('Hyd Sum'!$AJ$10=5,RCNTables!$D$75,""))))</f>
      </c>
      <c r="F98" s="396"/>
      <c r="G98" s="127">
        <f>IF('Hyd Sum'!$AJ$10=2,RCNTables!$F$30,IF('Hyd Sum'!$AJ$10=3,RCNTables!$F$45,IF('Hyd Sum'!$AJ$10=4,RCNTables!$F$60,IF('Hyd Sum'!$AJ$10=5,RCNTables!$F$75,""))))</f>
      </c>
      <c r="H98" s="396"/>
      <c r="I98" s="127">
        <f>IF('Hyd Sum'!$AJ$10=2,RCNTables!$H$30,IF('Hyd Sum'!$AJ$10=3,RCNTables!$H$45,IF('Hyd Sum'!$AJ$10=4,RCNTables!$H$60,IF('Hyd Sum'!$AJ$10=5,RCNTables!$H$75,""))))</f>
      </c>
      <c r="J98" s="396"/>
      <c r="K98" s="147">
        <f>IF('Hyd Sum'!$AJ$10=2,RCNTables!$J$30,IF('Hyd Sum'!$AJ$10=3,RCNTables!$J$45,IF('Hyd Sum'!$AJ$10=4,RCNTables!$J$60,IF('Hyd Sum'!$AJ$10=5,RCNTables!$J$75,""))))</f>
      </c>
      <c r="N98">
        <f>IF('Hyd Sum'!$AJ$10=1,0,D98*E98)</f>
        <v>0</v>
      </c>
      <c r="O98">
        <f>IF('Hyd Sum'!$AJ$10=1,0,F98*G98)</f>
        <v>0</v>
      </c>
      <c r="P98">
        <f>IF('Hyd Sum'!$AJ$10=1,0,H98*I98)</f>
        <v>0</v>
      </c>
      <c r="Q98">
        <f>IF('Hyd Sum'!$AJ$10=1,0,J98*K98)</f>
        <v>0</v>
      </c>
    </row>
    <row r="99" spans="2:17" ht="12.75">
      <c r="B99" s="125">
        <f>IF('Hyd Sum'!$AJ$10=2,RCNTables!$B$31,IF('Hyd Sum'!$AJ$10=3,RCNTables!$B$46,IF('Hyd Sum'!$AJ$10=4,RCNTables!$B$61,IF('Hyd Sum'!$AJ$10=5,RCNTables!$B$76,""))))</f>
      </c>
      <c r="C99" s="126">
        <f>IF('Hyd Sum'!$AJ$10=2,RCNTables!$C$31,IF('Hyd Sum'!$AJ$10=3,RCNTables!$C$46,IF('Hyd Sum'!$AJ$10=4,RCNTables!$C$61,IF('Hyd Sum'!$AJ$10=5,RCNTables!$C$76,""))))</f>
      </c>
      <c r="D99" s="396"/>
      <c r="E99" s="127">
        <f>IF('Hyd Sum'!$AJ$10=2,RCNTables!$D$31,IF('Hyd Sum'!$AJ$10=3,RCNTables!$D$46,IF('Hyd Sum'!$AJ$10=4,RCNTables!$D$61,IF('Hyd Sum'!$AJ$10=5,RCNTables!$D$76,""))))</f>
      </c>
      <c r="F99" s="396"/>
      <c r="G99" s="127">
        <f>IF('Hyd Sum'!$AJ$10=2,RCNTables!$F$31,IF('Hyd Sum'!$AJ$10=3,RCNTables!$F$46,IF('Hyd Sum'!$AJ$10=4,RCNTables!$F$61,IF('Hyd Sum'!$AJ$10=5,RCNTables!$F$76,""))))</f>
      </c>
      <c r="H99" s="396"/>
      <c r="I99" s="127">
        <f>IF('Hyd Sum'!$AJ$10=2,RCNTables!$H$31,IF('Hyd Sum'!$AJ$10=3,RCNTables!$H$46,IF('Hyd Sum'!$AJ$10=4,RCNTables!$H$61,IF('Hyd Sum'!$AJ$10=5,RCNTables!$H$76,""))))</f>
      </c>
      <c r="J99" s="396"/>
      <c r="K99" s="147">
        <f>IF('Hyd Sum'!$AJ$10=2,RCNTables!$J$31,IF('Hyd Sum'!$AJ$10=3,RCNTables!$J$46,IF('Hyd Sum'!$AJ$10=4,RCNTables!$J$61,IF('Hyd Sum'!$AJ$10=5,RCNTables!$J$76,""))))</f>
      </c>
      <c r="N99">
        <f>IF('Hyd Sum'!$AJ$10=1,0,D99*E99)</f>
        <v>0</v>
      </c>
      <c r="O99">
        <f>IF('Hyd Sum'!$AJ$10=1,0,F99*G99)</f>
        <v>0</v>
      </c>
      <c r="P99">
        <f>IF('Hyd Sum'!$AJ$10=1,0,H99*I99)</f>
        <v>0</v>
      </c>
      <c r="Q99">
        <f>IF('Hyd Sum'!$AJ$10=1,0,J99*K99)</f>
        <v>0</v>
      </c>
    </row>
    <row r="100" spans="2:17" ht="12.75">
      <c r="B100" s="125">
        <f>IF('Hyd Sum'!$AJ$10=2,RCNTables!$B$32,IF('Hyd Sum'!$AJ$10=3,RCNTables!$B$47,IF('Hyd Sum'!$AJ$10=4,RCNTables!$B$62,IF('Hyd Sum'!$AJ$10=5,RCNTables!$B$77,""))))</f>
      </c>
      <c r="C100" s="126">
        <f>IF('Hyd Sum'!$AJ$10=2,RCNTables!$C$32,IF('Hyd Sum'!$AJ$10=3,RCNTables!$C$47,IF('Hyd Sum'!$AJ$10=4,RCNTables!$C$62,IF('Hyd Sum'!$AJ$10=5,RCNTables!$C$77,""))))</f>
      </c>
      <c r="D100" s="396"/>
      <c r="E100" s="127">
        <f>IF('Hyd Sum'!$AJ$10=2,RCNTables!$D$32,IF('Hyd Sum'!$AJ$10=3,RCNTables!$D$47,IF('Hyd Sum'!$AJ$10=4,RCNTables!$D$62,IF('Hyd Sum'!$AJ$10=5,RCNTables!$D$77,""))))</f>
      </c>
      <c r="F100" s="396"/>
      <c r="G100" s="127">
        <f>IF('Hyd Sum'!$AJ$10=2,RCNTables!$F$32,IF('Hyd Sum'!$AJ$10=3,RCNTables!$F$47,IF('Hyd Sum'!$AJ$10=4,RCNTables!$F$62,IF('Hyd Sum'!$AJ$10=5,RCNTables!$F$77,""))))</f>
      </c>
      <c r="H100" s="396"/>
      <c r="I100" s="127">
        <f>IF('Hyd Sum'!$AJ$10=2,RCNTables!H32,IF('Hyd Sum'!$AJ$10=3,RCNTables!H47,IF('Hyd Sum'!$AJ$10=4,RCNTables!H62,IF('Hyd Sum'!$AJ$10=5,RCNTables!H77,""))))</f>
      </c>
      <c r="J100" s="396"/>
      <c r="K100" s="147">
        <f>IF('Hyd Sum'!$AJ$10=2,RCNTables!$J$32,IF('Hyd Sum'!$AJ$10=3,RCNTables!$J$47,IF('Hyd Sum'!$AJ$10=4,RCNTables!$J$62,IF('Hyd Sum'!$AJ$10=5,RCNTables!$J$77,""))))</f>
      </c>
      <c r="N100">
        <f>IF('Hyd Sum'!$AJ$10=1,0,D100*E100)</f>
        <v>0</v>
      </c>
      <c r="O100">
        <f>IF('Hyd Sum'!$AJ$10=1,0,F100*G100)</f>
        <v>0</v>
      </c>
      <c r="P100">
        <f>IF('Hyd Sum'!$AJ$10=1,0,H100*I100)</f>
        <v>0</v>
      </c>
      <c r="Q100">
        <f>IF('Hyd Sum'!$AJ$10=1,0,J100*K100)</f>
        <v>0</v>
      </c>
    </row>
    <row r="101" spans="2:24" ht="12.75">
      <c r="B101" s="125">
        <f>IF('Hyd Sum'!$AJ$10=2,RCNTables!$B$33,IF('Hyd Sum'!$AJ$10=3,RCNTables!$B$48,IF('Hyd Sum'!$AJ$10=4,RCNTables!$B$63,IF('Hyd Sum'!$AJ$10=5,RCNTables!$B$78,""))))</f>
      </c>
      <c r="C101" s="126">
        <f>IF('Hyd Sum'!$AJ$10=2,RCNTables!$C$33,IF('Hyd Sum'!$AJ$10=3,RCNTables!$C$48,IF('Hyd Sum'!$AJ$10=4,RCNTables!$C$63,IF('Hyd Sum'!$AJ$10=5,RCNTables!$C$78,""))))</f>
      </c>
      <c r="D101" s="396"/>
      <c r="E101" s="127">
        <f>IF('Hyd Sum'!$AJ$10=2,RCNTables!$D$33,IF('Hyd Sum'!$AJ$10=3,RCNTables!$D$48,IF('Hyd Sum'!$AJ$10=4,RCNTables!$D$63,IF('Hyd Sum'!$AJ$10=5,RCNTables!$D$78,""))))</f>
      </c>
      <c r="F101" s="396"/>
      <c r="G101" s="127">
        <f>IF('Hyd Sum'!$AJ$10=2,RCNTables!$F$33,IF('Hyd Sum'!$AJ$10=3,RCNTables!$F$48,IF('Hyd Sum'!$AJ$10=4,RCNTables!$F$63,IF('Hyd Sum'!$AJ$10=5,RCNTables!$F$78,""))))</f>
      </c>
      <c r="H101" s="396"/>
      <c r="I101" s="127">
        <f>IF('Hyd Sum'!$AJ$10=2,RCNTables!H33,IF('Hyd Sum'!$AJ$10=3,RCNTables!H48,IF('Hyd Sum'!$AJ$10=4,RCNTables!H63,IF('Hyd Sum'!$AJ$10=5,RCNTables!H78,""))))</f>
      </c>
      <c r="J101" s="396"/>
      <c r="K101" s="147">
        <f>IF('Hyd Sum'!$AJ$10=2,RCNTables!$J$33,IF('Hyd Sum'!$AJ$10=3,RCNTables!$J$48,IF('Hyd Sum'!$AJ$10=4,RCNTables!$J$63,IF('Hyd Sum'!$AJ$10=5,RCNTables!$J$78,""))))</f>
      </c>
      <c r="N101">
        <f>IF('Hyd Sum'!$AJ$10=1,0,D101*E101)</f>
        <v>0</v>
      </c>
      <c r="O101">
        <f>IF('Hyd Sum'!$AJ$10=1,0,F101*G101)</f>
        <v>0</v>
      </c>
      <c r="P101">
        <f>IF('Hyd Sum'!$AJ$10=1,0,H101*I101)</f>
        <v>0</v>
      </c>
      <c r="Q101">
        <f>IF('Hyd Sum'!$AJ$10=1,0,J101*K101)</f>
        <v>0</v>
      </c>
      <c r="U101">
        <f>IF($G9=$G67,SUM(N45+N103),N103)</f>
        <v>0</v>
      </c>
      <c r="V101">
        <f>IF($G9=$G67,SUM(O45+O103),O103)</f>
        <v>0</v>
      </c>
      <c r="W101">
        <f>IF($G9=$G67,SUM(P45+P103),P103)</f>
        <v>0</v>
      </c>
      <c r="X101">
        <f>IF($G9=$G67,SUM(Q45+Q103),Q103)</f>
        <v>0</v>
      </c>
    </row>
    <row r="102" spans="2:17" ht="12.75">
      <c r="B102" s="148"/>
      <c r="C102" s="149"/>
      <c r="D102" s="133" t="s">
        <v>38</v>
      </c>
      <c r="E102" s="134" t="s">
        <v>33</v>
      </c>
      <c r="F102" s="133" t="s">
        <v>38</v>
      </c>
      <c r="G102" s="134" t="s">
        <v>34</v>
      </c>
      <c r="H102" s="133" t="s">
        <v>38</v>
      </c>
      <c r="I102" s="134" t="s">
        <v>35</v>
      </c>
      <c r="J102" s="133" t="s">
        <v>38</v>
      </c>
      <c r="K102" s="145" t="s">
        <v>36</v>
      </c>
      <c r="N102" s="14" t="s">
        <v>33</v>
      </c>
      <c r="O102" s="14" t="s">
        <v>34</v>
      </c>
      <c r="P102" s="14" t="s">
        <v>35</v>
      </c>
      <c r="Q102" s="14" t="s">
        <v>36</v>
      </c>
    </row>
    <row r="103" spans="2:24" ht="12.75">
      <c r="B103" s="65"/>
      <c r="C103" s="135" t="s">
        <v>375</v>
      </c>
      <c r="D103" s="398">
        <f>IF(SUM(D72:D101)=0,"",SUM(D72:D101))</f>
      </c>
      <c r="E103" s="399"/>
      <c r="F103" s="398">
        <f>IF(SUM(F72:F101)=0,"",SUM(F72:F101))</f>
      </c>
      <c r="G103" s="399"/>
      <c r="H103" s="398">
        <f>IF(SUM(H72:H101)=0,"",SUM(H72:H101))</f>
      </c>
      <c r="I103" s="399"/>
      <c r="J103" s="401">
        <f>IF(SUM(J72:J101)=0,"",SUM(J72:J101))</f>
      </c>
      <c r="K103" s="150"/>
      <c r="N103">
        <f>SUM(N72:N101)</f>
        <v>0</v>
      </c>
      <c r="O103">
        <f>SUM(O72:O101)</f>
        <v>0</v>
      </c>
      <c r="P103">
        <f>SUM(P72:P101)</f>
        <v>0</v>
      </c>
      <c r="Q103">
        <f>SUM(Q72:Q101)</f>
        <v>0</v>
      </c>
      <c r="U103">
        <f>IF($D106=0,0,IF(U101=0,0,1))</f>
        <v>0</v>
      </c>
      <c r="V103">
        <f>IF($D106=0,0,IF(V101=0,0,1))</f>
        <v>0</v>
      </c>
      <c r="W103">
        <f>IF($D106=0,0,IF(W101=0,0,1))</f>
        <v>0</v>
      </c>
      <c r="X103">
        <f>IF($D106=0,0,IF(X101=0,0,1))</f>
        <v>0</v>
      </c>
    </row>
    <row r="104" spans="2:14" ht="12.75">
      <c r="B104" s="65"/>
      <c r="C104" s="137"/>
      <c r="D104" s="137"/>
      <c r="E104" s="137"/>
      <c r="F104" s="15"/>
      <c r="G104" s="67"/>
      <c r="H104" s="68"/>
      <c r="I104" s="67"/>
      <c r="J104" s="68"/>
      <c r="K104" s="72"/>
      <c r="N104" t="s">
        <v>271</v>
      </c>
    </row>
    <row r="105" spans="2:14" ht="12.75">
      <c r="B105" s="65"/>
      <c r="C105" s="137"/>
      <c r="D105" s="22"/>
      <c r="E105" s="67"/>
      <c r="F105" s="68"/>
      <c r="G105" s="67"/>
      <c r="H105" s="68"/>
      <c r="I105" s="67"/>
      <c r="J105" s="68"/>
      <c r="K105" s="72"/>
      <c r="N105">
        <f>SUM(N103:Q103)</f>
        <v>0</v>
      </c>
    </row>
    <row r="106" spans="2:26" ht="12.75">
      <c r="B106" s="65"/>
      <c r="C106" s="69" t="s">
        <v>376</v>
      </c>
      <c r="D106" s="151">
        <f>IF(SUM(D103:J103)=0,"",SUM(D103:J103))</f>
      </c>
      <c r="E106" s="70" t="s">
        <v>169</v>
      </c>
      <c r="F106" s="2"/>
      <c r="G106" s="68"/>
      <c r="H106" s="68"/>
      <c r="I106" s="68"/>
      <c r="J106" s="68"/>
      <c r="K106" s="72"/>
      <c r="N106">
        <f>IF(G9=G67,SUM(N47+N105),N105)</f>
        <v>0</v>
      </c>
      <c r="U106">
        <f>U103*1000</f>
        <v>0</v>
      </c>
      <c r="V106">
        <f>V103*100</f>
        <v>0</v>
      </c>
      <c r="W106">
        <f>W103*10</f>
        <v>0</v>
      </c>
      <c r="X106">
        <f>X103*1</f>
        <v>0</v>
      </c>
      <c r="Y106">
        <f>SUM(U106:X106)</f>
        <v>0</v>
      </c>
      <c r="Z106">
        <f>IF(D106="","",VLOOKUP(Y106,$AA$26:$AB$40,2))</f>
      </c>
    </row>
    <row r="107" spans="2:14" ht="12.75">
      <c r="B107" s="65"/>
      <c r="C107" s="69" t="s">
        <v>377</v>
      </c>
      <c r="D107" s="152">
        <f>IF(D106="","",ROUND(SUM(N103:Q103)/D106,0))</f>
      </c>
      <c r="E107" s="2"/>
      <c r="F107" s="70">
        <f>IF(D107&gt;59.99,"","60 min.")</f>
      </c>
      <c r="G107" s="12"/>
      <c r="H107" s="68"/>
      <c r="I107" s="68"/>
      <c r="J107" s="68"/>
      <c r="K107" s="72"/>
      <c r="N107" t="s">
        <v>272</v>
      </c>
    </row>
    <row r="108" spans="2:11" ht="12.75">
      <c r="B108" s="65"/>
      <c r="C108" s="69"/>
      <c r="D108" s="70"/>
      <c r="E108" s="71"/>
      <c r="F108" s="68"/>
      <c r="G108" s="68"/>
      <c r="H108" s="68"/>
      <c r="I108" s="68"/>
      <c r="J108" s="68"/>
      <c r="K108" s="72"/>
    </row>
    <row r="109" spans="2:11" ht="12.75">
      <c r="B109" s="65" t="s">
        <v>247</v>
      </c>
      <c r="C109" s="66"/>
      <c r="D109" s="66"/>
      <c r="E109" s="66"/>
      <c r="F109" s="66"/>
      <c r="G109" s="66"/>
      <c r="H109" s="66"/>
      <c r="I109" s="66"/>
      <c r="J109" s="66"/>
      <c r="K109" s="73"/>
    </row>
    <row r="110" spans="2:11" ht="12.75">
      <c r="B110" s="65" t="s">
        <v>248</v>
      </c>
      <c r="C110" s="66"/>
      <c r="D110" s="66"/>
      <c r="E110" s="66"/>
      <c r="F110" s="66"/>
      <c r="G110" s="66"/>
      <c r="H110" s="66"/>
      <c r="I110" s="66"/>
      <c r="J110" s="66"/>
      <c r="K110" s="73"/>
    </row>
    <row r="111" spans="2:11" ht="12.75" customHeight="1">
      <c r="B111" s="65" t="s">
        <v>249</v>
      </c>
      <c r="C111" s="66"/>
      <c r="D111" s="66"/>
      <c r="E111" s="66"/>
      <c r="F111" s="66"/>
      <c r="G111" s="66"/>
      <c r="H111" s="66"/>
      <c r="I111" s="66"/>
      <c r="J111" s="66"/>
      <c r="K111" s="73"/>
    </row>
    <row r="112" spans="2:11" ht="12.75">
      <c r="B112" s="365" t="s">
        <v>250</v>
      </c>
      <c r="C112" s="66"/>
      <c r="D112" s="66"/>
      <c r="E112" s="66"/>
      <c r="F112" s="66"/>
      <c r="G112" s="66"/>
      <c r="H112" s="66"/>
      <c r="I112" s="66"/>
      <c r="J112" s="66"/>
      <c r="K112" s="73"/>
    </row>
    <row r="113" spans="2:11" ht="12.75">
      <c r="B113" s="65" t="s">
        <v>251</v>
      </c>
      <c r="C113" s="66"/>
      <c r="D113" s="66"/>
      <c r="E113" s="66"/>
      <c r="F113" s="66"/>
      <c r="G113" s="66"/>
      <c r="H113" s="66"/>
      <c r="I113" s="66"/>
      <c r="J113" s="66"/>
      <c r="K113" s="73"/>
    </row>
    <row r="114" spans="2:11" ht="12.75">
      <c r="B114" s="365" t="s">
        <v>252</v>
      </c>
      <c r="C114" s="66"/>
      <c r="D114" s="66"/>
      <c r="E114" s="66"/>
      <c r="F114" s="66"/>
      <c r="G114" s="66"/>
      <c r="H114" s="66"/>
      <c r="I114" s="66"/>
      <c r="J114" s="66"/>
      <c r="K114" s="73"/>
    </row>
    <row r="115" spans="2:11" ht="12.75" customHeight="1">
      <c r="B115" s="65" t="s">
        <v>253</v>
      </c>
      <c r="C115" s="66"/>
      <c r="D115" s="66"/>
      <c r="E115" s="66"/>
      <c r="F115" s="66"/>
      <c r="G115" s="66"/>
      <c r="H115" s="66"/>
      <c r="I115" s="66"/>
      <c r="J115" s="66"/>
      <c r="K115" s="73"/>
    </row>
    <row r="116" spans="2:11" ht="12.75" customHeight="1">
      <c r="B116" s="65" t="s">
        <v>254</v>
      </c>
      <c r="C116" s="66"/>
      <c r="D116" s="66"/>
      <c r="E116" s="66"/>
      <c r="F116" s="66"/>
      <c r="G116" s="66"/>
      <c r="H116" s="66"/>
      <c r="I116" s="66"/>
      <c r="J116" s="66"/>
      <c r="K116" s="73"/>
    </row>
    <row r="117" spans="2:11" ht="12.75" customHeight="1" thickBot="1">
      <c r="B117" s="74"/>
      <c r="C117" s="75"/>
      <c r="D117" s="75"/>
      <c r="E117" s="75"/>
      <c r="F117" s="75"/>
      <c r="G117" s="75"/>
      <c r="H117" s="75"/>
      <c r="I117" s="75"/>
      <c r="J117" s="75"/>
      <c r="K117" s="76"/>
    </row>
    <row r="160" ht="12.75" customHeight="1"/>
    <row r="164" ht="12.75" customHeight="1"/>
    <row r="165" ht="12.75" customHeight="1"/>
    <row r="166" ht="12.75" customHeight="1"/>
    <row r="209" ht="12.75" customHeight="1"/>
    <row r="213" ht="12.75" customHeight="1"/>
    <row r="214" ht="12.75" customHeight="1"/>
    <row r="215" ht="12.75" customHeight="1"/>
    <row r="258" ht="12.75" customHeight="1"/>
    <row r="262" ht="12.75" customHeight="1"/>
    <row r="263" ht="12.75" customHeight="1"/>
    <row r="264" ht="12.75" customHeight="1"/>
    <row r="307" ht="12.75" customHeight="1"/>
    <row r="311" ht="12.75" customHeight="1"/>
    <row r="312" ht="12.75" customHeight="1"/>
    <row r="313" ht="12.75" customHeight="1"/>
  </sheetData>
  <sheetProtection password="B271" sheet="1" objects="1" scenarios="1"/>
  <mergeCells count="30">
    <mergeCell ref="G6:K6"/>
    <mergeCell ref="G7:K7"/>
    <mergeCell ref="C2:F2"/>
    <mergeCell ref="D9:F9"/>
    <mergeCell ref="E6:F6"/>
    <mergeCell ref="E7:F7"/>
    <mergeCell ref="D11:K11"/>
    <mergeCell ref="D12:E12"/>
    <mergeCell ref="F12:G12"/>
    <mergeCell ref="H12:I12"/>
    <mergeCell ref="J12:K12"/>
    <mergeCell ref="D67:F67"/>
    <mergeCell ref="C62:F62"/>
    <mergeCell ref="D69:K69"/>
    <mergeCell ref="H61:K61"/>
    <mergeCell ref="H62:J62"/>
    <mergeCell ref="E64:F64"/>
    <mergeCell ref="E65:F65"/>
    <mergeCell ref="G64:K64"/>
    <mergeCell ref="G65:K65"/>
    <mergeCell ref="H1:K1"/>
    <mergeCell ref="E5:F5"/>
    <mergeCell ref="E4:F4"/>
    <mergeCell ref="H2:K2"/>
    <mergeCell ref="G4:K4"/>
    <mergeCell ref="G5:K5"/>
    <mergeCell ref="D70:E70"/>
    <mergeCell ref="F70:G70"/>
    <mergeCell ref="H70:I70"/>
    <mergeCell ref="J70:K70"/>
  </mergeCells>
  <conditionalFormatting sqref="E108 D49 E50 D107">
    <cfRule type="cellIs" priority="1" dxfId="0" operator="lessThan" stopIfTrue="1">
      <formula>60</formula>
    </cfRule>
  </conditionalFormatting>
  <dataValidations count="3">
    <dataValidation type="custom" allowBlank="1" showInputMessage="1" showErrorMessage="1" errorTitle="ACRES TO LARGE" error="Acres must be between 1 and 2000." sqref="D14:D43">
      <formula1>$D$48&lt;2000.1</formula1>
    </dataValidation>
    <dataValidation type="custom" allowBlank="1" showInputMessage="1" showErrorMessage="1" errorTitle="TOTAL ACRES TO LARGE" error="Total acres must be between 1 and 2000." sqref="H14:H43 J14:J43 F14:F43">
      <formula1>$D$48&lt;2000.1</formula1>
    </dataValidation>
    <dataValidation type="custom" allowBlank="1" showInputMessage="1" showErrorMessage="1" errorTitle="ACRES TO LARGE" error="Acres must be between 1 and 2000." sqref="F72:F101 H72:H101 J72:J101 D72:D101">
      <formula1>$D$106&lt;2000.1</formula1>
    </dataValidation>
  </dataValidations>
  <printOptions horizontalCentered="1"/>
  <pageMargins left="0.75" right="0.5" top="0.75" bottom="0" header="0.5" footer="0.5"/>
  <pageSetup blackAndWhite="1" horizontalDpi="600" verticalDpi="600" orientation="portrait" scale="85" r:id="rId3"/>
  <rowBreaks count="5" manualBreakCount="5">
    <brk id="60" max="255" man="1"/>
    <brk id="158" max="255" man="1"/>
    <brk id="207" max="255" man="1"/>
    <brk id="256" max="255" man="1"/>
    <brk id="30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1:AF57"/>
  <sheetViews>
    <sheetView showGridLines="0" workbookViewId="0" topLeftCell="A1">
      <selection activeCell="X28" sqref="P28:AD35"/>
    </sheetView>
  </sheetViews>
  <sheetFormatPr defaultColWidth="9.140625" defaultRowHeight="15.75" customHeight="1"/>
  <cols>
    <col min="1" max="1" width="2.7109375" style="0" customWidth="1"/>
    <col min="2" max="2" width="4.28125" style="0" customWidth="1"/>
    <col min="3" max="7" width="5.7109375" style="0" customWidth="1"/>
    <col min="8" max="8" width="7.421875" style="0" customWidth="1"/>
    <col min="9" max="11" width="5.7109375" style="0" customWidth="1"/>
    <col min="12" max="12" width="8.28125" style="0" customWidth="1"/>
    <col min="13" max="13" width="7.28125" style="0" customWidth="1"/>
    <col min="14" max="14" width="6.421875" style="0" customWidth="1"/>
    <col min="15" max="15" width="7.421875" style="0" customWidth="1"/>
    <col min="16" max="16" width="7.7109375" style="0" customWidth="1"/>
    <col min="17" max="17" width="8.57421875" style="0" customWidth="1"/>
    <col min="18" max="18" width="5.7109375" style="0" customWidth="1"/>
    <col min="19" max="19" width="2.7109375" style="0" customWidth="1"/>
    <col min="20" max="21" width="5.7109375" style="0" customWidth="1"/>
    <col min="22" max="22" width="12.28125" style="0" hidden="1" customWidth="1"/>
    <col min="23" max="28" width="0" style="0" hidden="1" customWidth="1"/>
  </cols>
  <sheetData>
    <row r="1" spans="2:18" ht="25.5" customHeight="1">
      <c r="B1" s="499" t="s">
        <v>273</v>
      </c>
      <c r="C1" s="499"/>
      <c r="D1" s="33"/>
      <c r="E1" s="33"/>
      <c r="F1" s="488" t="s">
        <v>369</v>
      </c>
      <c r="G1" s="488"/>
      <c r="H1" s="488"/>
      <c r="I1" s="488"/>
      <c r="J1" s="488"/>
      <c r="K1" s="489"/>
      <c r="L1" s="489"/>
      <c r="M1" s="489"/>
      <c r="N1" s="490"/>
      <c r="Q1" s="573" t="s">
        <v>344</v>
      </c>
      <c r="R1" s="573"/>
    </row>
    <row r="2" spans="2:18" ht="15" customHeight="1">
      <c r="B2" s="408"/>
      <c r="C2" s="408"/>
      <c r="D2" s="33"/>
      <c r="E2" s="33"/>
      <c r="H2" s="444"/>
      <c r="I2" s="444"/>
      <c r="J2" s="444"/>
      <c r="K2" s="444"/>
      <c r="L2" s="444"/>
      <c r="M2" s="444"/>
      <c r="N2" s="444"/>
      <c r="O2" s="444"/>
      <c r="P2" s="444"/>
      <c r="Q2" s="443"/>
      <c r="R2" s="443"/>
    </row>
    <row r="3" spans="2:21" ht="15" customHeight="1">
      <c r="B3" s="33" t="s">
        <v>126</v>
      </c>
      <c r="C3" s="117"/>
      <c r="E3" s="576">
        <f>IF('Hyd Sum'!G4="","",'Hyd Sum'!G4)</f>
      </c>
      <c r="F3" s="576"/>
      <c r="G3" s="576"/>
      <c r="H3" s="576"/>
      <c r="I3" s="577"/>
      <c r="K3" t="s">
        <v>360</v>
      </c>
      <c r="M3" s="576">
        <f>IF('Hyd Sum'!W4="","",'Hyd Sum'!W4)</f>
      </c>
      <c r="N3" s="576"/>
      <c r="O3" s="576"/>
      <c r="P3" s="576"/>
      <c r="R3" s="4"/>
      <c r="U3" s="117"/>
    </row>
    <row r="4" spans="2:16" ht="15" customHeight="1">
      <c r="B4" s="521" t="s">
        <v>127</v>
      </c>
      <c r="C4" s="564"/>
      <c r="E4" s="500">
        <f>IF('Hyd Sum'!G6="","",'Hyd Sum'!G6)</f>
      </c>
      <c r="F4" s="500"/>
      <c r="G4" s="500"/>
      <c r="H4" s="500"/>
      <c r="I4" s="505"/>
      <c r="J4" s="26"/>
      <c r="K4" s="33" t="s">
        <v>361</v>
      </c>
      <c r="M4" s="500">
        <f>IF('Hyd Sum'!W6="","",'Hyd Sum'!W6)</f>
      </c>
      <c r="N4" s="500"/>
      <c r="O4" s="500"/>
      <c r="P4" s="500"/>
    </row>
    <row r="5" spans="2:18" ht="15" customHeight="1">
      <c r="B5" s="559" t="s">
        <v>130</v>
      </c>
      <c r="C5" s="559"/>
      <c r="D5" s="564"/>
      <c r="E5" s="500">
        <f>IF('Hyd Sum'!G8="","",'Hyd Sum'!G8)</f>
      </c>
      <c r="F5" s="500"/>
      <c r="G5" s="500"/>
      <c r="H5" s="500"/>
      <c r="I5" s="578"/>
      <c r="K5" s="82" t="s">
        <v>362</v>
      </c>
      <c r="M5" s="501">
        <f>IF('Hyd Sum'!W8="","",'Hyd Sum'!W8)</f>
      </c>
      <c r="N5" s="501"/>
      <c r="O5" s="495"/>
      <c r="P5" s="495"/>
      <c r="R5" s="4"/>
    </row>
    <row r="6" spans="2:18" ht="15" customHeight="1">
      <c r="B6" s="559" t="s">
        <v>132</v>
      </c>
      <c r="C6" s="559"/>
      <c r="D6" s="564"/>
      <c r="E6" s="500">
        <f>IF('Hyd Sum'!G10="","",'Hyd Sum'!G10)</f>
      </c>
      <c r="F6" s="500"/>
      <c r="G6" s="500"/>
      <c r="H6" s="500"/>
      <c r="I6" s="578"/>
      <c r="K6" s="82" t="s">
        <v>362</v>
      </c>
      <c r="M6" s="501">
        <f>IF('Hyd Sum'!W10="","",'Hyd Sum'!W10)</f>
      </c>
      <c r="N6" s="501"/>
      <c r="O6" s="495"/>
      <c r="P6" s="495"/>
      <c r="R6" s="4"/>
    </row>
    <row r="7" spans="3:18" ht="15" customHeight="1" thickBot="1">
      <c r="C7" s="4"/>
      <c r="D7" s="4"/>
      <c r="E7" s="4"/>
      <c r="F7" s="4"/>
      <c r="G7" s="4"/>
      <c r="H7" s="4"/>
      <c r="I7" s="4"/>
      <c r="J7" s="4"/>
      <c r="K7" s="4"/>
      <c r="L7" s="4"/>
      <c r="M7" s="4"/>
      <c r="N7" s="4"/>
      <c r="O7" s="4"/>
      <c r="P7" s="4"/>
      <c r="Q7" s="4"/>
      <c r="R7" s="4"/>
    </row>
    <row r="8" spans="3:18" ht="15" customHeight="1">
      <c r="C8" s="4"/>
      <c r="D8" s="30"/>
      <c r="E8" s="27"/>
      <c r="F8" s="27"/>
      <c r="G8" s="27"/>
      <c r="H8" s="27"/>
      <c r="I8" s="27"/>
      <c r="J8" s="27"/>
      <c r="K8" s="27"/>
      <c r="L8" s="27"/>
      <c r="M8" s="27"/>
      <c r="N8" s="27"/>
      <c r="O8" s="27"/>
      <c r="P8" s="28"/>
      <c r="Q8" s="4"/>
      <c r="R8" s="4"/>
    </row>
    <row r="9" spans="3:18" ht="15" customHeight="1">
      <c r="C9" s="4"/>
      <c r="D9" s="3"/>
      <c r="E9" s="4"/>
      <c r="F9" s="4"/>
      <c r="G9" s="4"/>
      <c r="H9" s="4"/>
      <c r="I9" s="4"/>
      <c r="J9" s="4"/>
      <c r="K9" s="31">
        <f>TW</f>
        <v>4</v>
      </c>
      <c r="L9" s="4" t="s">
        <v>134</v>
      </c>
      <c r="M9" s="4"/>
      <c r="N9" s="4"/>
      <c r="O9" s="4"/>
      <c r="P9" s="29"/>
      <c r="Q9" s="4"/>
      <c r="R9" s="4"/>
    </row>
    <row r="10" spans="3:18" ht="15" customHeight="1">
      <c r="C10" s="4"/>
      <c r="D10" s="3"/>
      <c r="E10" s="4"/>
      <c r="F10" s="4"/>
      <c r="G10" s="4"/>
      <c r="H10" s="4"/>
      <c r="I10" s="4"/>
      <c r="J10" s="4"/>
      <c r="K10" s="4"/>
      <c r="L10" s="4"/>
      <c r="M10" s="4"/>
      <c r="N10" s="4"/>
      <c r="O10" s="4"/>
      <c r="P10" s="29"/>
      <c r="Q10" s="4"/>
      <c r="R10" s="4"/>
    </row>
    <row r="11" spans="3:18" ht="15" customHeight="1">
      <c r="C11" s="4"/>
      <c r="D11" s="3"/>
      <c r="E11" s="4"/>
      <c r="F11" s="4"/>
      <c r="G11" s="4"/>
      <c r="H11" s="4"/>
      <c r="I11" s="4"/>
      <c r="J11" s="4"/>
      <c r="K11" s="4"/>
      <c r="L11" s="4"/>
      <c r="M11" s="4"/>
      <c r="N11" s="4"/>
      <c r="O11" s="4"/>
      <c r="P11" s="29"/>
      <c r="Q11" s="4"/>
      <c r="R11" s="4"/>
    </row>
    <row r="12" spans="3:32" ht="15" customHeight="1">
      <c r="C12" s="4"/>
      <c r="D12" s="3"/>
      <c r="E12" s="4"/>
      <c r="F12" s="4"/>
      <c r="G12" s="4"/>
      <c r="H12" s="32">
        <f>CH</f>
        <v>3</v>
      </c>
      <c r="I12" s="4" t="s">
        <v>134</v>
      </c>
      <c r="J12" s="4"/>
      <c r="K12" s="4"/>
      <c r="L12" s="4"/>
      <c r="M12" s="4"/>
      <c r="N12" s="4"/>
      <c r="O12" s="4"/>
      <c r="P12" s="29"/>
      <c r="Q12" s="4"/>
      <c r="R12" s="4"/>
      <c r="AF12" s="419"/>
    </row>
    <row r="13" spans="3:32" ht="15" customHeight="1">
      <c r="C13" s="4"/>
      <c r="D13" s="3"/>
      <c r="E13" s="4"/>
      <c r="F13" s="4"/>
      <c r="G13" s="4"/>
      <c r="H13" s="4"/>
      <c r="I13" s="4"/>
      <c r="J13" s="4"/>
      <c r="K13" s="472" t="s">
        <v>367</v>
      </c>
      <c r="L13" s="471" t="s">
        <v>366</v>
      </c>
      <c r="M13" s="4"/>
      <c r="N13" s="4"/>
      <c r="O13" s="4"/>
      <c r="P13" s="29"/>
      <c r="Q13" s="4"/>
      <c r="R13" s="4"/>
      <c r="AF13" s="419"/>
    </row>
    <row r="14" spans="3:18" ht="15" customHeight="1">
      <c r="C14" s="4"/>
      <c r="D14" s="3"/>
      <c r="E14" s="4"/>
      <c r="F14" s="472" t="s">
        <v>367</v>
      </c>
      <c r="G14" s="4"/>
      <c r="H14" s="4"/>
      <c r="I14" s="4"/>
      <c r="J14" s="405">
        <f>SS2</f>
        <v>6</v>
      </c>
      <c r="K14" s="4"/>
      <c r="L14" s="4"/>
      <c r="M14" s="34">
        <f>SS3</f>
        <v>6</v>
      </c>
      <c r="N14" s="4"/>
      <c r="O14" s="4"/>
      <c r="P14" s="29"/>
      <c r="Q14" s="4"/>
      <c r="R14" s="4"/>
    </row>
    <row r="15" spans="3:18" ht="15" customHeight="1">
      <c r="C15" s="4"/>
      <c r="D15" s="3"/>
      <c r="E15" s="4"/>
      <c r="F15" s="4"/>
      <c r="G15" s="34">
        <f>SS1</f>
        <v>10</v>
      </c>
      <c r="H15" s="4"/>
      <c r="I15" s="4"/>
      <c r="J15" s="4"/>
      <c r="K15" s="4"/>
      <c r="L15" s="4"/>
      <c r="M15" s="4"/>
      <c r="N15" s="4"/>
      <c r="O15" s="4"/>
      <c r="P15" s="29"/>
      <c r="Q15" s="4"/>
      <c r="R15" s="4"/>
    </row>
    <row r="16" spans="3:18" ht="15" customHeight="1">
      <c r="C16" s="4"/>
      <c r="D16" s="3"/>
      <c r="E16" s="4"/>
      <c r="F16" s="4"/>
      <c r="G16" s="4"/>
      <c r="H16" s="4"/>
      <c r="I16" s="4"/>
      <c r="J16" s="4"/>
      <c r="K16" s="4"/>
      <c r="L16" s="4"/>
      <c r="M16" s="4"/>
      <c r="N16" s="4"/>
      <c r="O16" s="4"/>
      <c r="P16" s="29"/>
      <c r="Q16" s="4"/>
      <c r="R16" s="4"/>
    </row>
    <row r="17" spans="3:18" ht="15" customHeight="1">
      <c r="C17" s="4"/>
      <c r="D17" s="3"/>
      <c r="E17" s="4"/>
      <c r="F17" s="4"/>
      <c r="G17" s="4"/>
      <c r="H17" s="31">
        <f>CW</f>
        <v>30</v>
      </c>
      <c r="I17" s="4" t="s">
        <v>134</v>
      </c>
      <c r="J17" s="4"/>
      <c r="K17" s="4"/>
      <c r="L17" s="4"/>
      <c r="M17" s="4"/>
      <c r="N17" s="4"/>
      <c r="O17" s="4"/>
      <c r="P17" s="29"/>
      <c r="Q17" s="4"/>
      <c r="R17" s="4"/>
    </row>
    <row r="18" spans="3:18" ht="15" customHeight="1">
      <c r="C18" s="4"/>
      <c r="D18" s="3"/>
      <c r="E18" s="4"/>
      <c r="F18" s="4"/>
      <c r="G18" s="4"/>
      <c r="H18" s="4"/>
      <c r="I18" s="4"/>
      <c r="J18" s="4"/>
      <c r="K18" s="4"/>
      <c r="L18" s="4"/>
      <c r="M18" s="4"/>
      <c r="N18" s="4"/>
      <c r="O18" s="4"/>
      <c r="P18" s="29"/>
      <c r="Q18" s="4"/>
      <c r="R18" s="4"/>
    </row>
    <row r="19" spans="3:18" ht="15" customHeight="1" thickBot="1">
      <c r="C19" s="4"/>
      <c r="D19" s="35"/>
      <c r="E19" s="36"/>
      <c r="F19" s="36"/>
      <c r="G19" s="36"/>
      <c r="H19" s="36"/>
      <c r="I19" s="36"/>
      <c r="J19" s="36"/>
      <c r="K19" s="36"/>
      <c r="L19" s="36"/>
      <c r="M19" s="36"/>
      <c r="N19" s="36"/>
      <c r="O19" s="36"/>
      <c r="P19" s="37"/>
      <c r="Q19" s="4"/>
      <c r="R19" s="4"/>
    </row>
    <row r="20" spans="3:22" ht="15" customHeight="1">
      <c r="C20" s="4"/>
      <c r="D20" s="4"/>
      <c r="E20" s="4"/>
      <c r="F20" s="4"/>
      <c r="G20" s="4"/>
      <c r="H20" s="4"/>
      <c r="I20" s="4"/>
      <c r="J20" s="4"/>
      <c r="K20" s="4"/>
      <c r="L20" s="4"/>
      <c r="M20" s="4"/>
      <c r="N20" s="4"/>
      <c r="O20" s="4"/>
      <c r="P20" s="4"/>
      <c r="Q20" s="4"/>
      <c r="R20" s="4"/>
      <c r="V20" s="2" t="s">
        <v>359</v>
      </c>
    </row>
    <row r="21" spans="7:18" ht="15" customHeight="1">
      <c r="G21" s="117" t="s">
        <v>231</v>
      </c>
      <c r="H21" s="117"/>
      <c r="I21" s="117"/>
      <c r="J21" s="117"/>
      <c r="K21" s="117"/>
      <c r="M21" s="319">
        <f>IF(divno1="","",divno1)</f>
      </c>
      <c r="N21" s="4"/>
      <c r="R21" s="4"/>
    </row>
    <row r="22" spans="7:28" ht="15" customHeight="1">
      <c r="G22" s="348" t="s">
        <v>279</v>
      </c>
      <c r="H22" s="348"/>
      <c r="I22" s="348"/>
      <c r="J22" s="348"/>
      <c r="K22" s="348"/>
      <c r="M22" s="323">
        <f>IF('Hyd Sum'!H19="",10,'Hyd Sum'!H19)</f>
        <v>10</v>
      </c>
      <c r="N22" s="228" t="s">
        <v>133</v>
      </c>
      <c r="R22" s="228"/>
      <c r="S22" s="24"/>
      <c r="V22" s="459"/>
      <c r="W22" s="460"/>
      <c r="X22" s="460"/>
      <c r="Y22" s="460"/>
      <c r="Z22" s="460"/>
      <c r="AA22" s="460"/>
      <c r="AB22" s="461"/>
    </row>
    <row r="23" spans="7:28" ht="15" customHeight="1">
      <c r="G23" s="348" t="s">
        <v>350</v>
      </c>
      <c r="H23" s="348"/>
      <c r="I23" s="348"/>
      <c r="J23" s="348"/>
      <c r="K23" s="348"/>
      <c r="M23" s="323">
        <f>IF('Hyd Sum'!M20="",60,'Hyd Sum'!M20)</f>
        <v>60</v>
      </c>
      <c r="N23" s="4"/>
      <c r="R23" s="228"/>
      <c r="V23" s="462"/>
      <c r="W23" s="467" t="s">
        <v>313</v>
      </c>
      <c r="X23" s="4"/>
      <c r="Y23" s="4"/>
      <c r="Z23" s="4"/>
      <c r="AA23" s="4"/>
      <c r="AB23" s="463"/>
    </row>
    <row r="24" spans="7:28" ht="15" customHeight="1">
      <c r="G24" s="117" t="s">
        <v>280</v>
      </c>
      <c r="H24" s="117"/>
      <c r="I24" s="117"/>
      <c r="J24" s="117"/>
      <c r="K24" s="117"/>
      <c r="M24" s="347">
        <v>10</v>
      </c>
      <c r="N24" s="322" t="s">
        <v>281</v>
      </c>
      <c r="R24" s="228"/>
      <c r="V24" s="462"/>
      <c r="W24" s="470">
        <v>2</v>
      </c>
      <c r="X24" s="470">
        <v>10</v>
      </c>
      <c r="Y24" s="470">
        <v>25</v>
      </c>
      <c r="Z24" s="4"/>
      <c r="AA24" s="4"/>
      <c r="AB24" s="463"/>
    </row>
    <row r="25" spans="7:28" ht="15" customHeight="1">
      <c r="G25" s="348" t="s">
        <v>145</v>
      </c>
      <c r="H25" s="348"/>
      <c r="I25" s="348"/>
      <c r="J25" s="348"/>
      <c r="K25" s="348"/>
      <c r="M25" s="418">
        <f>IF('Hyd Sum'!I24="",4,IF(M24=2,'Hyd Sum'!I23,IF(M24=10,'Hyd Sum'!I24,IF(M24=25,'Hyd Sum'!I25,2))))</f>
        <v>4</v>
      </c>
      <c r="N25" s="228" t="s">
        <v>147</v>
      </c>
      <c r="R25" s="228"/>
      <c r="V25" s="462"/>
      <c r="W25" s="4"/>
      <c r="X25" s="4"/>
      <c r="Y25" s="4"/>
      <c r="Z25" s="4"/>
      <c r="AA25" s="4"/>
      <c r="AB25" s="463"/>
    </row>
    <row r="26" spans="7:28" ht="15" customHeight="1">
      <c r="G26" s="117" t="s">
        <v>181</v>
      </c>
      <c r="H26" s="117"/>
      <c r="I26" s="117"/>
      <c r="J26" s="117"/>
      <c r="M26" s="351">
        <v>0.5</v>
      </c>
      <c r="N26" s="4" t="s">
        <v>220</v>
      </c>
      <c r="R26" s="228"/>
      <c r="V26" s="462"/>
      <c r="W26" s="4"/>
      <c r="X26" s="4"/>
      <c r="Y26" s="4"/>
      <c r="Z26" s="4"/>
      <c r="AA26" s="4"/>
      <c r="AB26" s="463"/>
    </row>
    <row r="27" spans="4:28" ht="15" customHeight="1">
      <c r="D27" s="117"/>
      <c r="E27" s="117"/>
      <c r="F27" s="117"/>
      <c r="G27" s="117"/>
      <c r="J27" s="246"/>
      <c r="K27" s="4"/>
      <c r="R27" s="228"/>
      <c r="V27" s="462"/>
      <c r="W27" s="4" t="s">
        <v>355</v>
      </c>
      <c r="X27" s="4"/>
      <c r="Y27" s="4"/>
      <c r="Z27" s="4"/>
      <c r="AA27" s="4"/>
      <c r="AB27" s="463"/>
    </row>
    <row r="28" spans="2:28" ht="15" customHeight="1">
      <c r="B28" t="s">
        <v>285</v>
      </c>
      <c r="H28" s="4"/>
      <c r="J28" s="228"/>
      <c r="K28" s="4" t="s">
        <v>385</v>
      </c>
      <c r="P28" s="4"/>
      <c r="V28" s="462"/>
      <c r="W28" s="4" t="s">
        <v>353</v>
      </c>
      <c r="X28" s="4"/>
      <c r="Y28" s="4"/>
      <c r="Z28" s="4"/>
      <c r="AA28" s="4"/>
      <c r="AB28" s="463"/>
    </row>
    <row r="29" spans="3:28" ht="15" customHeight="1">
      <c r="C29" s="225" t="s">
        <v>396</v>
      </c>
      <c r="D29" s="225"/>
      <c r="E29" s="225"/>
      <c r="F29" s="225"/>
      <c r="G29" s="225"/>
      <c r="H29" s="360">
        <f>IF(M25="","",ROUND((P-0.2*S)^2/(P+0.8*S),2))</f>
        <v>0.76</v>
      </c>
      <c r="I29" s="228" t="s">
        <v>147</v>
      </c>
      <c r="J29" s="228"/>
      <c r="L29" s="225" t="s">
        <v>291</v>
      </c>
      <c r="M29" s="225"/>
      <c r="N29" s="225"/>
      <c r="O29" s="225"/>
      <c r="P29" s="239">
        <v>4</v>
      </c>
      <c r="Q29" s="228" t="s">
        <v>220</v>
      </c>
      <c r="V29" s="462"/>
      <c r="W29" s="4" t="s">
        <v>352</v>
      </c>
      <c r="X29" s="4"/>
      <c r="Y29" s="468">
        <v>1.35</v>
      </c>
      <c r="Z29" s="4"/>
      <c r="AA29" s="4"/>
      <c r="AB29" s="463"/>
    </row>
    <row r="30" spans="3:28" ht="15" customHeight="1">
      <c r="C30" s="225" t="s">
        <v>397</v>
      </c>
      <c r="D30" s="225"/>
      <c r="E30" s="225"/>
      <c r="F30" s="225"/>
      <c r="G30" s="225"/>
      <c r="H30" s="361">
        <v>0.3</v>
      </c>
      <c r="I30" s="228" t="s">
        <v>147</v>
      </c>
      <c r="J30" s="228"/>
      <c r="L30" s="225" t="s">
        <v>292</v>
      </c>
      <c r="M30" s="225"/>
      <c r="N30" s="225"/>
      <c r="O30" s="225"/>
      <c r="P30" s="239">
        <v>1</v>
      </c>
      <c r="Q30" s="228" t="s">
        <v>29</v>
      </c>
      <c r="V30" s="462"/>
      <c r="W30" s="4" t="s">
        <v>354</v>
      </c>
      <c r="X30" s="4"/>
      <c r="Y30" s="4"/>
      <c r="Z30" s="4"/>
      <c r="AA30" s="4"/>
      <c r="AB30" s="463"/>
    </row>
    <row r="31" spans="3:28" ht="15" customHeight="1">
      <c r="C31" s="33" t="s">
        <v>190</v>
      </c>
      <c r="D31" s="33"/>
      <c r="E31" s="33"/>
      <c r="F31" s="33"/>
      <c r="G31" s="33"/>
      <c r="H31" s="362">
        <f>IF(M25="","",RS+Sed)</f>
        <v>1.06</v>
      </c>
      <c r="I31" s="4" t="s">
        <v>147</v>
      </c>
      <c r="J31" s="228"/>
      <c r="L31" s="225" t="s">
        <v>276</v>
      </c>
      <c r="M31" s="225"/>
      <c r="N31" s="225"/>
      <c r="O31" s="225"/>
      <c r="P31" s="39">
        <v>10</v>
      </c>
      <c r="Q31" s="228" t="s">
        <v>136</v>
      </c>
      <c r="S31" s="24"/>
      <c r="V31" s="462"/>
      <c r="W31" s="4"/>
      <c r="X31" s="4"/>
      <c r="Y31" s="4"/>
      <c r="Z31" s="4"/>
      <c r="AA31" s="4"/>
      <c r="AB31" s="463"/>
    </row>
    <row r="32" spans="3:28" ht="15" customHeight="1">
      <c r="C32" s="480" t="s">
        <v>283</v>
      </c>
      <c r="D32" s="480"/>
      <c r="E32" s="480"/>
      <c r="F32" s="480"/>
      <c r="G32" s="574">
        <f>IF(M25="","",DA*((RS+Sed)/12)*43560)</f>
        <v>38478</v>
      </c>
      <c r="H32" s="575"/>
      <c r="I32" s="132" t="s">
        <v>282</v>
      </c>
      <c r="J32" s="481"/>
      <c r="L32" s="225" t="s">
        <v>293</v>
      </c>
      <c r="M32" s="225"/>
      <c r="N32" s="225"/>
      <c r="O32" s="225"/>
      <c r="P32" s="39">
        <v>6</v>
      </c>
      <c r="Q32" s="228" t="s">
        <v>136</v>
      </c>
      <c r="S32" s="24"/>
      <c r="V32" s="464" t="s">
        <v>357</v>
      </c>
      <c r="W32" s="468">
        <f>1000/CN-10</f>
        <v>6.666666666666668</v>
      </c>
      <c r="X32" s="4"/>
      <c r="Y32" s="4"/>
      <c r="Z32" s="4"/>
      <c r="AA32" s="4"/>
      <c r="AB32" s="463"/>
    </row>
    <row r="33" spans="3:28" ht="15" customHeight="1">
      <c r="C33" s="225" t="s">
        <v>398</v>
      </c>
      <c r="D33" s="225"/>
      <c r="E33" s="225"/>
      <c r="F33" s="225"/>
      <c r="G33" s="225"/>
      <c r="H33" s="239">
        <v>2600</v>
      </c>
      <c r="I33" s="228" t="s">
        <v>220</v>
      </c>
      <c r="J33" s="228"/>
      <c r="L33" s="225" t="s">
        <v>294</v>
      </c>
      <c r="M33" s="225"/>
      <c r="N33" s="225"/>
      <c r="O33" s="225"/>
      <c r="P33" s="39">
        <v>6</v>
      </c>
      <c r="Q33" s="228" t="s">
        <v>136</v>
      </c>
      <c r="S33" s="24"/>
      <c r="V33" s="464"/>
      <c r="W33" s="66" t="s">
        <v>358</v>
      </c>
      <c r="X33" s="4"/>
      <c r="Y33" s="4"/>
      <c r="Z33" s="4"/>
      <c r="AA33" s="4"/>
      <c r="AB33" s="463"/>
    </row>
    <row r="34" spans="3:28" ht="15" customHeight="1">
      <c r="C34" s="225" t="s">
        <v>284</v>
      </c>
      <c r="D34" s="225"/>
      <c r="E34" s="225"/>
      <c r="F34" s="225"/>
      <c r="G34" s="225"/>
      <c r="H34" s="239">
        <v>30</v>
      </c>
      <c r="I34" s="228" t="s">
        <v>220</v>
      </c>
      <c r="J34" s="228"/>
      <c r="L34" s="225" t="s">
        <v>303</v>
      </c>
      <c r="M34" s="225"/>
      <c r="N34" s="225"/>
      <c r="O34" s="225"/>
      <c r="P34" s="407">
        <f>IF(M25="","",(SS2+SS3)/2)</f>
        <v>6</v>
      </c>
      <c r="S34" s="24"/>
      <c r="V34" s="464"/>
      <c r="W34" s="4"/>
      <c r="X34" s="4"/>
      <c r="Y34" s="4"/>
      <c r="Z34" s="4"/>
      <c r="AA34" s="4"/>
      <c r="AB34" s="463"/>
    </row>
    <row r="35" spans="3:28" ht="15" customHeight="1">
      <c r="C35" s="348" t="s">
        <v>378</v>
      </c>
      <c r="D35" s="348"/>
      <c r="E35" s="348"/>
      <c r="F35" s="348"/>
      <c r="H35" s="453">
        <f>IF(M25="","",(((CW/AS)^2+4*STOR/(AS*L))^0.5-(CW/AS))/2)</f>
        <v>0.44136112170659736</v>
      </c>
      <c r="I35" s="228" t="s">
        <v>220</v>
      </c>
      <c r="J35" s="228"/>
      <c r="L35" s="225" t="s">
        <v>304</v>
      </c>
      <c r="M35" s="225"/>
      <c r="N35" s="225"/>
      <c r="O35" s="225"/>
      <c r="P35" s="243">
        <f>IF(M25="","",(SS1+SS2)/2)</f>
        <v>8</v>
      </c>
      <c r="S35" s="24"/>
      <c r="V35" s="462"/>
      <c r="W35" s="4" t="s">
        <v>356</v>
      </c>
      <c r="X35" s="4"/>
      <c r="Y35" s="4"/>
      <c r="Z35" s="4"/>
      <c r="AA35" s="4"/>
      <c r="AB35" s="463"/>
    </row>
    <row r="36" spans="3:28" ht="15" customHeight="1">
      <c r="C36" s="484" t="s">
        <v>384</v>
      </c>
      <c r="D36" s="2"/>
      <c r="E36" s="2"/>
      <c r="F36" s="2"/>
      <c r="G36" s="2"/>
      <c r="H36" s="485">
        <v>2.24</v>
      </c>
      <c r="I36" s="132" t="s">
        <v>220</v>
      </c>
      <c r="L36" s="348" t="s">
        <v>327</v>
      </c>
      <c r="M36" s="348"/>
      <c r="N36" s="348"/>
      <c r="O36" s="348"/>
      <c r="P36" s="420">
        <f>DC</f>
        <v>0.9904744116879203</v>
      </c>
      <c r="Q36" s="228" t="s">
        <v>220</v>
      </c>
      <c r="U36" s="420"/>
      <c r="V36" s="464" t="s">
        <v>346</v>
      </c>
      <c r="W36" s="469">
        <v>0.9904744116879203</v>
      </c>
      <c r="X36" s="4"/>
      <c r="Y36" s="4"/>
      <c r="Z36" s="4"/>
      <c r="AA36" s="4"/>
      <c r="AB36" s="463"/>
    </row>
    <row r="37" spans="3:28" ht="15" customHeight="1">
      <c r="C37" t="s">
        <v>365</v>
      </c>
      <c r="G37" s="498">
        <f>Ain*L</f>
        <v>279086.08</v>
      </c>
      <c r="H37" s="498"/>
      <c r="I37" t="s">
        <v>307</v>
      </c>
      <c r="J37" s="225"/>
      <c r="L37" s="363" t="s">
        <v>343</v>
      </c>
      <c r="M37" s="363"/>
      <c r="N37" s="363"/>
      <c r="P37" s="442">
        <f>IF(M25="","",((SS2*DC+CW+100/ls*DC)/(100/ls-SS1)))</f>
        <v>1.4998920848768837</v>
      </c>
      <c r="Q37" s="364" t="s">
        <v>220</v>
      </c>
      <c r="V37" s="462"/>
      <c r="W37" s="4" t="s">
        <v>347</v>
      </c>
      <c r="X37" s="4"/>
      <c r="Y37" s="4"/>
      <c r="Z37" s="4"/>
      <c r="AA37" s="4"/>
      <c r="AB37" s="463"/>
    </row>
    <row r="38" spans="3:28" ht="15" customHeight="1">
      <c r="C38" s="440" t="s">
        <v>363</v>
      </c>
      <c r="G38" s="579">
        <f>Aout*L</f>
        <v>64087.88794526268</v>
      </c>
      <c r="H38" s="578"/>
      <c r="I38" t="s">
        <v>307</v>
      </c>
      <c r="L38" s="348" t="s">
        <v>328</v>
      </c>
      <c r="M38" s="348"/>
      <c r="N38" s="348"/>
      <c r="O38" s="348"/>
      <c r="P38" s="349">
        <f>IF(M25="","",CH-DC)</f>
        <v>2.00952558831208</v>
      </c>
      <c r="Q38" s="228" t="s">
        <v>220</v>
      </c>
      <c r="V38" s="462"/>
      <c r="W38" s="4"/>
      <c r="X38" s="4"/>
      <c r="Y38" s="4"/>
      <c r="Z38" s="4"/>
      <c r="AA38" s="4"/>
      <c r="AB38" s="463"/>
    </row>
    <row r="39" spans="3:28" ht="15" customHeight="1">
      <c r="C39" s="2" t="s">
        <v>383</v>
      </c>
      <c r="D39" s="2"/>
      <c r="E39" s="482"/>
      <c r="F39" s="2"/>
      <c r="G39" s="491">
        <f>+A*L</f>
        <v>343173.9679452628</v>
      </c>
      <c r="H39" s="491"/>
      <c r="I39" s="2" t="s">
        <v>307</v>
      </c>
      <c r="J39" s="483"/>
      <c r="L39" s="225" t="s">
        <v>348</v>
      </c>
      <c r="M39" s="225"/>
      <c r="N39" s="225"/>
      <c r="O39" s="225"/>
      <c r="P39" s="243">
        <f>IF(M25="","",h+freeboard)</f>
        <v>2.74</v>
      </c>
      <c r="Q39" s="228" t="s">
        <v>220</v>
      </c>
      <c r="V39" s="465"/>
      <c r="W39" s="455"/>
      <c r="X39" s="455"/>
      <c r="Y39" s="455"/>
      <c r="Z39" s="455"/>
      <c r="AA39" s="455"/>
      <c r="AB39" s="466"/>
    </row>
    <row r="40" spans="5:17" ht="15" customHeight="1">
      <c r="E40" s="228"/>
      <c r="F40" s="228"/>
      <c r="G40" s="228"/>
      <c r="H40" s="228"/>
      <c r="J40" s="4"/>
      <c r="L40" s="82" t="s">
        <v>331</v>
      </c>
      <c r="M40" s="82"/>
      <c r="N40" s="82"/>
      <c r="O40" s="82"/>
      <c r="P40" s="242">
        <f>IF(M25="","",IF(TH*1.1&lt;1.5,1.5,ROUND(TH*1.1,1)))</f>
        <v>3</v>
      </c>
      <c r="Q40" s="93" t="s">
        <v>220</v>
      </c>
    </row>
    <row r="41" ht="15" customHeight="1">
      <c r="B41" s="456" t="str">
        <f>IF(G39&gt;STOR*1.1,"Total Storage exceeds Required Storage--reduce Storage Depth or reduce Channel Width.",IF(G39&lt;STOR,"Total Storage is less than the Required Storage--increase Storage Depth or increase Channel Width.",""))</f>
        <v>Total Storage exceeds Required Storage--reduce Storage Depth or reduce Channel Width.</v>
      </c>
    </row>
    <row r="42" ht="15" customHeight="1">
      <c r="B42" s="457" t="str">
        <f>IF(h&gt;dAllin,"Storage Depth is greater than Storage Depth (if all In-Channel) and must be equal to or less than that value.","")</f>
        <v>Storage Depth is greater than Storage Depth (if all In-Channel) and must be equal to or less than that value.</v>
      </c>
    </row>
    <row r="43" spans="2:16" ht="15" customHeight="1">
      <c r="B43" s="24" t="s">
        <v>286</v>
      </c>
      <c r="J43" s="228"/>
      <c r="K43" t="s">
        <v>296</v>
      </c>
      <c r="P43" s="4"/>
    </row>
    <row r="44" spans="3:17" ht="15" customHeight="1">
      <c r="C44" s="225" t="s">
        <v>287</v>
      </c>
      <c r="D44" s="225"/>
      <c r="E44" s="225"/>
      <c r="F44" s="225"/>
      <c r="H44" s="239">
        <v>2</v>
      </c>
      <c r="I44" s="228"/>
      <c r="J44" s="4"/>
      <c r="L44" t="s">
        <v>415</v>
      </c>
      <c r="P44" s="350">
        <f>IF(M25="","",STOR/L)</f>
        <v>14.79923076923077</v>
      </c>
      <c r="Q44" t="s">
        <v>218</v>
      </c>
    </row>
    <row r="45" spans="3:17" ht="15" customHeight="1">
      <c r="C45" s="225" t="s">
        <v>288</v>
      </c>
      <c r="D45" s="225"/>
      <c r="E45" s="225"/>
      <c r="F45" s="225"/>
      <c r="H45" s="240">
        <f>IF(M25="","",ROUND(h*SS2+CW+((h-DC-(((DC*SS2)+CW)*(ls/100)))/(ls/100)),0))</f>
        <v>132</v>
      </c>
      <c r="I45" s="228" t="s">
        <v>220</v>
      </c>
      <c r="J45" s="228"/>
      <c r="L45" t="s">
        <v>399</v>
      </c>
      <c r="P45" s="350">
        <f>IF(M25="","",(CW+AS*h)*h)</f>
        <v>107.34080000000002</v>
      </c>
      <c r="Q45" s="228" t="s">
        <v>218</v>
      </c>
    </row>
    <row r="46" spans="3:19" ht="15" customHeight="1">
      <c r="C46" s="225" t="s">
        <v>289</v>
      </c>
      <c r="D46" s="225"/>
      <c r="E46" s="225"/>
      <c r="F46" s="225"/>
      <c r="H46" s="241">
        <f>IF(M25="","",BL*BLNO)</f>
        <v>264</v>
      </c>
      <c r="I46" s="246" t="s">
        <v>220</v>
      </c>
      <c r="J46" s="228"/>
      <c r="L46" t="s">
        <v>400</v>
      </c>
      <c r="P46" s="350">
        <f>IF(M25="","",IF(h&gt;CD,((0.5*(100/ls))*(h-CD)^2-0.5*(SS1)*(h-CD)^2),0))</f>
        <v>24.649187671254875</v>
      </c>
      <c r="Q46" s="228" t="s">
        <v>218</v>
      </c>
      <c r="S46" s="24"/>
    </row>
    <row r="47" spans="3:19" ht="15" customHeight="1">
      <c r="C47" s="117" t="s">
        <v>290</v>
      </c>
      <c r="D47" s="117"/>
      <c r="E47" s="117"/>
      <c r="F47" s="117"/>
      <c r="H47" s="260">
        <f>IF(M25="","",(((CH-h)*TW+(CH-h)^2*(SS4))+AF)/2)</f>
        <v>21.488596035828962</v>
      </c>
      <c r="I47" s="4" t="s">
        <v>218</v>
      </c>
      <c r="L47" s="348" t="s">
        <v>349</v>
      </c>
      <c r="M47" s="348"/>
      <c r="N47" s="348"/>
      <c r="O47" s="117"/>
      <c r="P47" s="350">
        <f>IF(M25="","",IF(h&gt;CD,(((CW+AS*h)*h)+(0.5*(100/ls))*(h-CD)^2-0.5*(SS1)*(h-CD)^2),(CW+AS*h)*h))</f>
        <v>131.9899876712549</v>
      </c>
      <c r="Q47" s="228" t="s">
        <v>218</v>
      </c>
      <c r="S47" s="24"/>
    </row>
    <row r="48" spans="3:18" ht="15" customHeight="1">
      <c r="C48" s="225" t="s">
        <v>306</v>
      </c>
      <c r="D48" s="225"/>
      <c r="E48" s="225"/>
      <c r="F48" s="225"/>
      <c r="H48" s="257">
        <f>IF(M25="","",h-DC)</f>
        <v>1.24952558831208</v>
      </c>
      <c r="I48" s="228" t="s">
        <v>220</v>
      </c>
      <c r="L48" s="225" t="s">
        <v>297</v>
      </c>
      <c r="M48" s="225"/>
      <c r="N48" s="225"/>
      <c r="O48" s="33"/>
      <c r="P48" s="257">
        <f>IF(M25="","",(ls/200)*(CW+2*AS*DC)^2/(1-SS1*(ls/100))+CW*DC+AS*DC^2)</f>
        <v>49.24033529138246</v>
      </c>
      <c r="Q48" s="228" t="s">
        <v>218</v>
      </c>
      <c r="R48" s="24"/>
    </row>
    <row r="49" spans="12:17" ht="15" customHeight="1">
      <c r="L49" s="225" t="s">
        <v>298</v>
      </c>
      <c r="M49" s="225"/>
      <c r="N49" s="225"/>
      <c r="O49" s="33"/>
      <c r="P49" s="257">
        <f>IF(M25="","",(ls/200)*(TW+2*SS4*(CH-DC))^2/(1-SS4*(ls/100))+TW*(CH-DC)+SS4*(CH-DC)^2)</f>
        <v>36.47159207165792</v>
      </c>
      <c r="Q49" s="228" t="s">
        <v>218</v>
      </c>
    </row>
    <row r="50" ht="15" customHeight="1">
      <c r="B50" s="458" t="s">
        <v>409</v>
      </c>
    </row>
    <row r="51" ht="15" customHeight="1">
      <c r="B51" t="s">
        <v>411</v>
      </c>
    </row>
    <row r="52" ht="15" customHeight="1">
      <c r="B52" s="458" t="s">
        <v>364</v>
      </c>
    </row>
    <row r="53" ht="15" customHeight="1" thickBot="1">
      <c r="J53" s="228"/>
    </row>
    <row r="54" spans="7:14" ht="15" customHeight="1">
      <c r="G54" s="343" t="s">
        <v>299</v>
      </c>
      <c r="H54" s="27"/>
      <c r="I54" s="27"/>
      <c r="J54" s="27"/>
      <c r="K54" s="27"/>
      <c r="L54" s="324">
        <f>IF(M25="","",AF*L/27)</f>
        <v>3512.0792365300226</v>
      </c>
      <c r="M54" s="402" t="s">
        <v>302</v>
      </c>
      <c r="N54" s="28"/>
    </row>
    <row r="55" spans="7:14" ht="15" customHeight="1">
      <c r="G55" s="345" t="s">
        <v>401</v>
      </c>
      <c r="H55" s="4"/>
      <c r="I55" s="4"/>
      <c r="J55" s="4"/>
      <c r="K55" s="4"/>
      <c r="L55" s="325">
        <f>IF(M25="","",(AC)/(AF))</f>
        <v>1.3501010648133216</v>
      </c>
      <c r="M55" s="34"/>
      <c r="N55" s="29"/>
    </row>
    <row r="56" spans="7:14" ht="15" customHeight="1" thickBot="1">
      <c r="G56" s="344" t="s">
        <v>300</v>
      </c>
      <c r="H56" s="36"/>
      <c r="I56" s="36"/>
      <c r="J56" s="36"/>
      <c r="K56" s="36"/>
      <c r="L56" s="326">
        <f>IF(M25="","",BA*BL*BLNO/27)</f>
        <v>210.1107167947721</v>
      </c>
      <c r="M56" s="82" t="s">
        <v>302</v>
      </c>
      <c r="N56" s="29"/>
    </row>
    <row r="57" spans="7:14" ht="15" customHeight="1" thickBot="1">
      <c r="G57" s="244" t="s">
        <v>301</v>
      </c>
      <c r="H57" s="245"/>
      <c r="I57" s="245"/>
      <c r="J57" s="245"/>
      <c r="K57" s="247"/>
      <c r="L57" s="327">
        <f>IF(M25="","",Vd+Vb)</f>
        <v>3722.1899533247947</v>
      </c>
      <c r="M57" s="403" t="s">
        <v>302</v>
      </c>
      <c r="N57" s="40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password="B271" sheet="1" objects="1" scenarios="1"/>
  <mergeCells count="18">
    <mergeCell ref="G39:H39"/>
    <mergeCell ref="Q1:R1"/>
    <mergeCell ref="G32:H32"/>
    <mergeCell ref="E3:I3"/>
    <mergeCell ref="E4:I4"/>
    <mergeCell ref="E5:I5"/>
    <mergeCell ref="E6:I6"/>
    <mergeCell ref="M3:P3"/>
    <mergeCell ref="M5:P5"/>
    <mergeCell ref="G38:H38"/>
    <mergeCell ref="G37:H37"/>
    <mergeCell ref="B1:C1"/>
    <mergeCell ref="M4:P4"/>
    <mergeCell ref="B6:D6"/>
    <mergeCell ref="B4:C4"/>
    <mergeCell ref="B5:D5"/>
    <mergeCell ref="M6:P6"/>
    <mergeCell ref="F1:N1"/>
  </mergeCells>
  <dataValidations count="3">
    <dataValidation type="list" showDropDown="1" showInputMessage="1" showErrorMessage="1" errorTitle="Enter another number!" error="Design Frequencey Storm may be 2, 10, or 25." sqref="M24">
      <formula1>$W$24:$Y$24</formula1>
    </dataValidation>
    <dataValidation type="decimal" allowBlank="1" showInputMessage="1" showErrorMessage="1" prompt="Adjust &quot;Storage Depth&quot; until &quot;Total Storage &quot; provides &quot;Required Storage&quot; using values equal to or less than &quot;Storage Depth (if all In-Channel)&quot;&#10; " errorTitle="Change &quot;Storage Depth&quot;" error="Storage Depth must be equal to or less than the Storage Depth (if all In-Channel).&#10;" sqref="H36">
      <formula1>0.86</formula1>
      <formula2>H35+0.01</formula2>
    </dataValidation>
    <dataValidation type="decimal" allowBlank="1" showInputMessage="1" showErrorMessage="1" errorTitle="Change Sediment Storage" error="Sediment Storage must be between 0.5 and 0.05 inch" sqref="H30">
      <formula1>0.05</formula1>
      <formula2>0.5</formula2>
    </dataValidation>
  </dataValidations>
  <printOptions/>
  <pageMargins left="0.5" right="0.5" top="0.75" bottom="0.75" header="0.5" footer="0.5"/>
  <pageSetup blackAndWhite="1" fitToHeight="1" fitToWidth="1" horizontalDpi="600" verticalDpi="600" orientation="portrait" scale="80" r:id="rId2"/>
  <colBreaks count="1" manualBreakCount="1">
    <brk id="18" max="65535" man="1"/>
  </colBreaks>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AF57"/>
  <sheetViews>
    <sheetView showGridLines="0" workbookViewId="0" topLeftCell="A1">
      <selection activeCell="X28" sqref="P28:AD35"/>
    </sheetView>
  </sheetViews>
  <sheetFormatPr defaultColWidth="9.140625" defaultRowHeight="15.75" customHeight="1"/>
  <cols>
    <col min="1" max="1" width="2.7109375" style="0" customWidth="1"/>
    <col min="2" max="2" width="4.28125" style="0" customWidth="1"/>
    <col min="3" max="7" width="5.7109375" style="0" customWidth="1"/>
    <col min="8" max="8" width="7.421875" style="0" customWidth="1"/>
    <col min="9" max="11" width="5.7109375" style="0" customWidth="1"/>
    <col min="12" max="12" width="8.28125" style="0" customWidth="1"/>
    <col min="13" max="13" width="7.28125" style="0" customWidth="1"/>
    <col min="14" max="14" width="6.421875" style="0" customWidth="1"/>
    <col min="15" max="15" width="7.421875" style="0" customWidth="1"/>
    <col min="16" max="16" width="7.7109375" style="0" customWidth="1"/>
    <col min="17" max="17" width="8.57421875" style="0" customWidth="1"/>
    <col min="18" max="18" width="5.7109375" style="0" customWidth="1"/>
    <col min="19" max="19" width="2.7109375" style="0" customWidth="1"/>
    <col min="20" max="21" width="5.7109375" style="0" customWidth="1"/>
    <col min="22" max="22" width="12.28125" style="0" hidden="1" customWidth="1"/>
    <col min="23" max="28" width="0" style="0" hidden="1" customWidth="1"/>
  </cols>
  <sheetData>
    <row r="1" spans="2:18" ht="25.5" customHeight="1">
      <c r="B1" s="499" t="s">
        <v>273</v>
      </c>
      <c r="C1" s="499"/>
      <c r="D1" s="33"/>
      <c r="E1" s="33"/>
      <c r="F1" s="488" t="s">
        <v>370</v>
      </c>
      <c r="G1" s="488"/>
      <c r="H1" s="488"/>
      <c r="I1" s="488"/>
      <c r="J1" s="488"/>
      <c r="K1" s="489"/>
      <c r="L1" s="489"/>
      <c r="M1" s="489"/>
      <c r="N1" s="490"/>
      <c r="Q1" s="573" t="s">
        <v>344</v>
      </c>
      <c r="R1" s="573"/>
    </row>
    <row r="2" spans="2:18" ht="15" customHeight="1">
      <c r="B2" s="408"/>
      <c r="C2" s="408"/>
      <c r="D2" s="33"/>
      <c r="E2" s="33"/>
      <c r="H2" s="444"/>
      <c r="I2" s="444"/>
      <c r="J2" s="444"/>
      <c r="K2" s="444"/>
      <c r="L2" s="444"/>
      <c r="M2" s="444"/>
      <c r="N2" s="444"/>
      <c r="O2" s="444"/>
      <c r="P2" s="444"/>
      <c r="Q2" s="443"/>
      <c r="R2" s="443"/>
    </row>
    <row r="3" spans="2:21" ht="15" customHeight="1">
      <c r="B3" s="33" t="s">
        <v>126</v>
      </c>
      <c r="C3" s="117"/>
      <c r="E3" s="576">
        <f>IF('Hyd Sum'!G4="","",'Hyd Sum'!G4)</f>
      </c>
      <c r="F3" s="576"/>
      <c r="G3" s="576"/>
      <c r="H3" s="576"/>
      <c r="I3" s="577"/>
      <c r="K3" t="s">
        <v>360</v>
      </c>
      <c r="M3" s="576">
        <f>IF('Hyd Sum'!W4="","",'Hyd Sum'!W4)</f>
      </c>
      <c r="N3" s="576"/>
      <c r="O3" s="576"/>
      <c r="P3" s="576"/>
      <c r="R3" s="4"/>
      <c r="U3" s="117"/>
    </row>
    <row r="4" spans="2:16" ht="15" customHeight="1">
      <c r="B4" s="521" t="s">
        <v>127</v>
      </c>
      <c r="C4" s="564"/>
      <c r="E4" s="500">
        <f>IF('Hyd Sum'!G6="","",'Hyd Sum'!G6)</f>
      </c>
      <c r="F4" s="500"/>
      <c r="G4" s="500"/>
      <c r="H4" s="500"/>
      <c r="I4" s="505"/>
      <c r="J4" s="26"/>
      <c r="K4" s="33" t="s">
        <v>361</v>
      </c>
      <c r="M4" s="500">
        <f>IF('Hyd Sum'!W6="","",'Hyd Sum'!W6)</f>
      </c>
      <c r="N4" s="500"/>
      <c r="O4" s="500"/>
      <c r="P4" s="500"/>
    </row>
    <row r="5" spans="2:18" ht="15" customHeight="1">
      <c r="B5" s="559" t="s">
        <v>130</v>
      </c>
      <c r="C5" s="559"/>
      <c r="D5" s="564"/>
      <c r="E5" s="500">
        <f>IF('Hyd Sum'!G8="","",'Hyd Sum'!G8)</f>
      </c>
      <c r="F5" s="500"/>
      <c r="G5" s="500"/>
      <c r="H5" s="500"/>
      <c r="I5" s="578"/>
      <c r="K5" s="82" t="s">
        <v>362</v>
      </c>
      <c r="M5" s="501">
        <f>IF('Hyd Sum'!W8="","",'Hyd Sum'!W8)</f>
      </c>
      <c r="N5" s="501"/>
      <c r="O5" s="495"/>
      <c r="P5" s="495"/>
      <c r="R5" s="4"/>
    </row>
    <row r="6" spans="2:18" ht="15" customHeight="1">
      <c r="B6" s="559" t="s">
        <v>132</v>
      </c>
      <c r="C6" s="559"/>
      <c r="D6" s="564"/>
      <c r="E6" s="500">
        <f>IF('Hyd Sum'!G10="","",'Hyd Sum'!G10)</f>
      </c>
      <c r="F6" s="500"/>
      <c r="G6" s="500"/>
      <c r="H6" s="500"/>
      <c r="I6" s="578"/>
      <c r="K6" s="82" t="s">
        <v>362</v>
      </c>
      <c r="M6" s="501">
        <f>IF('Hyd Sum'!W10="","",'Hyd Sum'!W10)</f>
      </c>
      <c r="N6" s="501"/>
      <c r="O6" s="495"/>
      <c r="P6" s="495"/>
      <c r="R6" s="4"/>
    </row>
    <row r="7" spans="3:18" ht="15" customHeight="1" thickBot="1">
      <c r="C7" s="4"/>
      <c r="D7" s="4"/>
      <c r="E7" s="4"/>
      <c r="F7" s="4"/>
      <c r="G7" s="4"/>
      <c r="H7" s="4"/>
      <c r="I7" s="4"/>
      <c r="J7" s="4"/>
      <c r="K7" s="4"/>
      <c r="L7" s="4"/>
      <c r="M7" s="4"/>
      <c r="N7" s="4"/>
      <c r="O7" s="4"/>
      <c r="P7" s="4"/>
      <c r="Q7" s="4"/>
      <c r="R7" s="4"/>
    </row>
    <row r="8" spans="3:18" ht="15" customHeight="1">
      <c r="C8" s="4"/>
      <c r="D8" s="30"/>
      <c r="E8" s="27"/>
      <c r="F8" s="27"/>
      <c r="G8" s="27"/>
      <c r="H8" s="27"/>
      <c r="I8" s="27"/>
      <c r="J8" s="27"/>
      <c r="K8" s="27"/>
      <c r="L8" s="27"/>
      <c r="M8" s="27"/>
      <c r="N8" s="27"/>
      <c r="O8" s="27"/>
      <c r="P8" s="28"/>
      <c r="Q8" s="4"/>
      <c r="R8" s="4"/>
    </row>
    <row r="9" spans="3:18" ht="15" customHeight="1">
      <c r="C9" s="4"/>
      <c r="D9" s="3"/>
      <c r="E9" s="4"/>
      <c r="F9" s="4"/>
      <c r="G9" s="4"/>
      <c r="H9" s="4"/>
      <c r="I9" s="4"/>
      <c r="J9" s="4"/>
      <c r="K9" s="31">
        <f>TW</f>
        <v>4</v>
      </c>
      <c r="L9" s="4" t="s">
        <v>134</v>
      </c>
      <c r="M9" s="4"/>
      <c r="N9" s="4"/>
      <c r="O9" s="4"/>
      <c r="P9" s="29"/>
      <c r="Q9" s="4"/>
      <c r="R9" s="4"/>
    </row>
    <row r="10" spans="3:18" ht="15" customHeight="1">
      <c r="C10" s="4"/>
      <c r="D10" s="3"/>
      <c r="E10" s="4"/>
      <c r="F10" s="4"/>
      <c r="G10" s="4"/>
      <c r="H10" s="4"/>
      <c r="I10" s="4"/>
      <c r="J10" s="4"/>
      <c r="K10" s="4"/>
      <c r="L10" s="4"/>
      <c r="M10" s="4"/>
      <c r="N10" s="4"/>
      <c r="O10" s="4"/>
      <c r="P10" s="29"/>
      <c r="Q10" s="4"/>
      <c r="R10" s="4"/>
    </row>
    <row r="11" spans="3:18" ht="15" customHeight="1">
      <c r="C11" s="4"/>
      <c r="D11" s="3"/>
      <c r="E11" s="4"/>
      <c r="F11" s="4"/>
      <c r="G11" s="4"/>
      <c r="H11" s="4"/>
      <c r="I11" s="4"/>
      <c r="J11" s="4"/>
      <c r="K11" s="4"/>
      <c r="L11" s="4"/>
      <c r="M11" s="4"/>
      <c r="N11" s="4"/>
      <c r="O11" s="4"/>
      <c r="P11" s="29"/>
      <c r="Q11" s="4"/>
      <c r="R11" s="4"/>
    </row>
    <row r="12" spans="3:32" ht="15" customHeight="1">
      <c r="C12" s="4"/>
      <c r="D12" s="3"/>
      <c r="E12" s="4"/>
      <c r="F12" s="4"/>
      <c r="G12" s="4"/>
      <c r="H12" s="32">
        <f>CH</f>
        <v>2.5</v>
      </c>
      <c r="I12" s="4" t="s">
        <v>134</v>
      </c>
      <c r="J12" s="4"/>
      <c r="K12" s="4"/>
      <c r="L12" s="4"/>
      <c r="M12" s="4"/>
      <c r="N12" s="4"/>
      <c r="O12" s="4"/>
      <c r="P12" s="29"/>
      <c r="Q12" s="4"/>
      <c r="R12" s="4"/>
      <c r="AF12" s="419"/>
    </row>
    <row r="13" spans="3:32" ht="15" customHeight="1">
      <c r="C13" s="4"/>
      <c r="D13" s="3"/>
      <c r="E13" s="4"/>
      <c r="F13" s="4"/>
      <c r="G13" s="4"/>
      <c r="H13" s="4"/>
      <c r="I13" s="4"/>
      <c r="J13" s="4"/>
      <c r="K13" s="472" t="s">
        <v>367</v>
      </c>
      <c r="L13" s="471" t="s">
        <v>366</v>
      </c>
      <c r="M13" s="4"/>
      <c r="N13" s="4"/>
      <c r="O13" s="4"/>
      <c r="P13" s="29"/>
      <c r="Q13" s="4"/>
      <c r="R13" s="4"/>
      <c r="AF13" s="419"/>
    </row>
    <row r="14" spans="3:18" ht="15" customHeight="1">
      <c r="C14" s="4"/>
      <c r="D14" s="3"/>
      <c r="E14" s="4"/>
      <c r="F14" s="472" t="s">
        <v>367</v>
      </c>
      <c r="G14" s="4"/>
      <c r="H14" s="4"/>
      <c r="I14" s="4"/>
      <c r="J14" s="405">
        <f>SS2</f>
        <v>6</v>
      </c>
      <c r="K14" s="4"/>
      <c r="L14" s="4"/>
      <c r="M14" s="34">
        <f>SS3</f>
        <v>6</v>
      </c>
      <c r="N14" s="4"/>
      <c r="O14" s="4"/>
      <c r="P14" s="29"/>
      <c r="Q14" s="4"/>
      <c r="R14" s="4"/>
    </row>
    <row r="15" spans="3:18" ht="15" customHeight="1">
      <c r="C15" s="4"/>
      <c r="D15" s="3"/>
      <c r="E15" s="4"/>
      <c r="F15" s="4"/>
      <c r="G15" s="34">
        <f>SS1</f>
        <v>10</v>
      </c>
      <c r="H15" s="4"/>
      <c r="I15" s="4"/>
      <c r="J15" s="4"/>
      <c r="K15" s="4"/>
      <c r="L15" s="4"/>
      <c r="M15" s="4"/>
      <c r="N15" s="4"/>
      <c r="O15" s="4"/>
      <c r="P15" s="29"/>
      <c r="Q15" s="4"/>
      <c r="R15" s="4"/>
    </row>
    <row r="16" spans="3:18" ht="15" customHeight="1">
      <c r="C16" s="4"/>
      <c r="D16" s="3"/>
      <c r="E16" s="4"/>
      <c r="F16" s="4"/>
      <c r="G16" s="4"/>
      <c r="H16" s="4"/>
      <c r="I16" s="4"/>
      <c r="J16" s="4"/>
      <c r="K16" s="4"/>
      <c r="L16" s="4"/>
      <c r="M16" s="4"/>
      <c r="N16" s="4"/>
      <c r="O16" s="4"/>
      <c r="P16" s="29"/>
      <c r="Q16" s="4"/>
      <c r="R16" s="4"/>
    </row>
    <row r="17" spans="3:18" ht="15" customHeight="1">
      <c r="C17" s="4"/>
      <c r="D17" s="3"/>
      <c r="E17" s="4"/>
      <c r="F17" s="4"/>
      <c r="G17" s="4"/>
      <c r="H17" s="31">
        <f>CW</f>
        <v>30</v>
      </c>
      <c r="I17" s="4" t="s">
        <v>134</v>
      </c>
      <c r="J17" s="4"/>
      <c r="K17" s="4"/>
      <c r="L17" s="4"/>
      <c r="M17" s="4"/>
      <c r="N17" s="4"/>
      <c r="O17" s="4"/>
      <c r="P17" s="29"/>
      <c r="Q17" s="4"/>
      <c r="R17" s="4"/>
    </row>
    <row r="18" spans="3:18" ht="15" customHeight="1">
      <c r="C18" s="4"/>
      <c r="D18" s="3"/>
      <c r="E18" s="4"/>
      <c r="F18" s="4"/>
      <c r="G18" s="4"/>
      <c r="H18" s="4"/>
      <c r="I18" s="4"/>
      <c r="J18" s="4"/>
      <c r="K18" s="4"/>
      <c r="L18" s="4"/>
      <c r="M18" s="4"/>
      <c r="N18" s="4"/>
      <c r="O18" s="4"/>
      <c r="P18" s="29"/>
      <c r="Q18" s="4"/>
      <c r="R18" s="4"/>
    </row>
    <row r="19" spans="3:18" ht="15" customHeight="1" thickBot="1">
      <c r="C19" s="4"/>
      <c r="D19" s="35"/>
      <c r="E19" s="36"/>
      <c r="F19" s="36"/>
      <c r="G19" s="36"/>
      <c r="H19" s="36"/>
      <c r="I19" s="36"/>
      <c r="J19" s="36"/>
      <c r="K19" s="36"/>
      <c r="L19" s="36"/>
      <c r="M19" s="36"/>
      <c r="N19" s="36"/>
      <c r="O19" s="36"/>
      <c r="P19" s="37"/>
      <c r="Q19" s="4"/>
      <c r="R19" s="4"/>
    </row>
    <row r="20" spans="3:22" ht="15" customHeight="1">
      <c r="C20" s="4"/>
      <c r="D20" s="4"/>
      <c r="E20" s="4"/>
      <c r="F20" s="4"/>
      <c r="G20" s="4"/>
      <c r="H20" s="4"/>
      <c r="I20" s="4"/>
      <c r="J20" s="4"/>
      <c r="K20" s="4"/>
      <c r="L20" s="4"/>
      <c r="M20" s="4"/>
      <c r="N20" s="4"/>
      <c r="O20" s="4"/>
      <c r="P20" s="4"/>
      <c r="Q20" s="4"/>
      <c r="R20" s="4"/>
      <c r="V20" s="2" t="s">
        <v>359</v>
      </c>
    </row>
    <row r="21" spans="7:18" ht="15" customHeight="1">
      <c r="G21" s="117" t="s">
        <v>231</v>
      </c>
      <c r="H21" s="117"/>
      <c r="I21" s="117"/>
      <c r="J21" s="117"/>
      <c r="K21" s="117"/>
      <c r="M21" s="319">
        <f>IF(divno2="","",divno2)</f>
      </c>
      <c r="N21" s="4"/>
      <c r="R21" s="4"/>
    </row>
    <row r="22" spans="7:28" ht="15" customHeight="1">
      <c r="G22" s="348" t="s">
        <v>279</v>
      </c>
      <c r="H22" s="348"/>
      <c r="I22" s="348"/>
      <c r="J22" s="348"/>
      <c r="K22" s="348"/>
      <c r="M22" s="323">
        <f>IF('Hyd Sum'!H32="",10,'Hyd Sum'!H32)</f>
        <v>10</v>
      </c>
      <c r="N22" s="228" t="s">
        <v>133</v>
      </c>
      <c r="R22" s="228"/>
      <c r="S22" s="24"/>
      <c r="V22" s="459"/>
      <c r="W22" s="460"/>
      <c r="X22" s="460"/>
      <c r="Y22" s="460"/>
      <c r="Z22" s="460"/>
      <c r="AA22" s="460"/>
      <c r="AB22" s="461"/>
    </row>
    <row r="23" spans="7:28" ht="15" customHeight="1">
      <c r="G23" s="348" t="s">
        <v>350</v>
      </c>
      <c r="H23" s="348"/>
      <c r="I23" s="348"/>
      <c r="J23" s="348"/>
      <c r="K23" s="348"/>
      <c r="M23" s="323">
        <f>IF('Hyd Sum'!M33="",60,'Hyd Sum'!M33)</f>
        <v>60</v>
      </c>
      <c r="N23" s="4"/>
      <c r="R23" s="228"/>
      <c r="V23" s="462"/>
      <c r="W23" s="467" t="s">
        <v>313</v>
      </c>
      <c r="X23" s="4"/>
      <c r="Y23" s="4"/>
      <c r="Z23" s="4"/>
      <c r="AA23" s="4"/>
      <c r="AB23" s="463"/>
    </row>
    <row r="24" spans="7:28" ht="15" customHeight="1">
      <c r="G24" s="117" t="s">
        <v>280</v>
      </c>
      <c r="H24" s="117"/>
      <c r="I24" s="117"/>
      <c r="J24" s="117"/>
      <c r="K24" s="117"/>
      <c r="M24" s="347">
        <v>10</v>
      </c>
      <c r="N24" s="322" t="s">
        <v>281</v>
      </c>
      <c r="R24" s="228"/>
      <c r="V24" s="462"/>
      <c r="W24" s="470">
        <v>2</v>
      </c>
      <c r="X24" s="470">
        <v>10</v>
      </c>
      <c r="Y24" s="470">
        <v>25</v>
      </c>
      <c r="Z24" s="4"/>
      <c r="AA24" s="4"/>
      <c r="AB24" s="463"/>
    </row>
    <row r="25" spans="7:28" ht="15" customHeight="1">
      <c r="G25" s="348" t="s">
        <v>145</v>
      </c>
      <c r="H25" s="348"/>
      <c r="I25" s="348"/>
      <c r="J25" s="348"/>
      <c r="K25" s="348"/>
      <c r="M25" s="418">
        <f>IF('Hyd Sum'!I37="",4,IF(M24=2,'Hyd Sum'!I36,IF(M24=10,'Hyd Sum'!I37,IF(M24=25,'Hyd Sum'!I38,2))))</f>
        <v>4</v>
      </c>
      <c r="N25" s="228" t="s">
        <v>147</v>
      </c>
      <c r="R25" s="228"/>
      <c r="V25" s="462"/>
      <c r="W25" s="4"/>
      <c r="X25" s="4"/>
      <c r="Y25" s="4"/>
      <c r="Z25" s="4"/>
      <c r="AA25" s="4"/>
      <c r="AB25" s="463"/>
    </row>
    <row r="26" spans="7:28" ht="15" customHeight="1">
      <c r="G26" s="117" t="s">
        <v>181</v>
      </c>
      <c r="H26" s="117"/>
      <c r="I26" s="117"/>
      <c r="J26" s="117"/>
      <c r="M26" s="351">
        <v>0.5</v>
      </c>
      <c r="N26" s="4" t="s">
        <v>220</v>
      </c>
      <c r="R26" s="228"/>
      <c r="V26" s="462"/>
      <c r="W26" s="4"/>
      <c r="X26" s="4"/>
      <c r="Y26" s="4"/>
      <c r="Z26" s="4"/>
      <c r="AA26" s="4"/>
      <c r="AB26" s="463"/>
    </row>
    <row r="27" spans="4:28" ht="15" customHeight="1">
      <c r="D27" s="117"/>
      <c r="E27" s="117"/>
      <c r="F27" s="117"/>
      <c r="G27" s="117"/>
      <c r="J27" s="246"/>
      <c r="K27" s="4"/>
      <c r="R27" s="228"/>
      <c r="V27" s="462"/>
      <c r="W27" s="4" t="s">
        <v>355</v>
      </c>
      <c r="X27" s="4"/>
      <c r="Y27" s="4"/>
      <c r="Z27" s="4"/>
      <c r="AA27" s="4"/>
      <c r="AB27" s="463"/>
    </row>
    <row r="28" spans="2:28" ht="15" customHeight="1">
      <c r="B28" t="s">
        <v>285</v>
      </c>
      <c r="H28" s="4"/>
      <c r="J28" s="228"/>
      <c r="K28" s="4" t="s">
        <v>295</v>
      </c>
      <c r="P28" s="4"/>
      <c r="V28" s="462"/>
      <c r="W28" s="4" t="s">
        <v>353</v>
      </c>
      <c r="X28" s="4"/>
      <c r="Y28" s="4"/>
      <c r="Z28" s="4"/>
      <c r="AA28" s="4"/>
      <c r="AB28" s="463"/>
    </row>
    <row r="29" spans="3:28" ht="15" customHeight="1">
      <c r="C29" s="225" t="s">
        <v>396</v>
      </c>
      <c r="D29" s="225"/>
      <c r="E29" s="225"/>
      <c r="F29" s="225"/>
      <c r="G29" s="225"/>
      <c r="H29" s="360">
        <f>IF(M25="","",ROUND((P-0.2*S)^2/(P+0.8*S),2))</f>
        <v>0.76</v>
      </c>
      <c r="I29" s="228" t="s">
        <v>147</v>
      </c>
      <c r="J29" s="228"/>
      <c r="L29" s="225" t="s">
        <v>291</v>
      </c>
      <c r="M29" s="225"/>
      <c r="N29" s="225"/>
      <c r="O29" s="225"/>
      <c r="P29" s="239">
        <v>4</v>
      </c>
      <c r="Q29" s="228" t="s">
        <v>220</v>
      </c>
      <c r="V29" s="462"/>
      <c r="W29" s="4" t="s">
        <v>352</v>
      </c>
      <c r="X29" s="4"/>
      <c r="Y29" s="468">
        <v>1.35</v>
      </c>
      <c r="Z29" s="4"/>
      <c r="AA29" s="4"/>
      <c r="AB29" s="463"/>
    </row>
    <row r="30" spans="3:28" ht="15" customHeight="1">
      <c r="C30" s="225" t="s">
        <v>397</v>
      </c>
      <c r="D30" s="225"/>
      <c r="E30" s="225"/>
      <c r="F30" s="225"/>
      <c r="G30" s="225"/>
      <c r="H30" s="361">
        <v>0.3</v>
      </c>
      <c r="I30" s="228" t="s">
        <v>147</v>
      </c>
      <c r="J30" s="228"/>
      <c r="L30" s="225" t="s">
        <v>292</v>
      </c>
      <c r="M30" s="225"/>
      <c r="N30" s="225"/>
      <c r="O30" s="225"/>
      <c r="P30" s="239">
        <v>0.5</v>
      </c>
      <c r="Q30" s="228" t="s">
        <v>29</v>
      </c>
      <c r="V30" s="462"/>
      <c r="W30" s="4" t="s">
        <v>354</v>
      </c>
      <c r="X30" s="4"/>
      <c r="Y30" s="4"/>
      <c r="Z30" s="4"/>
      <c r="AA30" s="4"/>
      <c r="AB30" s="463"/>
    </row>
    <row r="31" spans="3:28" ht="15" customHeight="1">
      <c r="C31" s="33" t="s">
        <v>190</v>
      </c>
      <c r="D31" s="33"/>
      <c r="E31" s="33"/>
      <c r="F31" s="33"/>
      <c r="G31" s="33"/>
      <c r="H31" s="362">
        <f>IF(M25="","",RS+Sed)</f>
        <v>1.06</v>
      </c>
      <c r="I31" s="4" t="s">
        <v>147</v>
      </c>
      <c r="J31" s="228"/>
      <c r="L31" s="225" t="s">
        <v>276</v>
      </c>
      <c r="M31" s="225"/>
      <c r="N31" s="225"/>
      <c r="O31" s="225"/>
      <c r="P31" s="39">
        <v>10</v>
      </c>
      <c r="Q31" s="228" t="s">
        <v>136</v>
      </c>
      <c r="S31" s="24"/>
      <c r="V31" s="462"/>
      <c r="W31" s="4"/>
      <c r="X31" s="4"/>
      <c r="Y31" s="4"/>
      <c r="Z31" s="4"/>
      <c r="AA31" s="4"/>
      <c r="AB31" s="463"/>
    </row>
    <row r="32" spans="3:28" ht="15" customHeight="1">
      <c r="C32" s="480" t="s">
        <v>283</v>
      </c>
      <c r="D32" s="480"/>
      <c r="E32" s="480"/>
      <c r="F32" s="480"/>
      <c r="G32" s="574">
        <f>IF(M25="","",DA*((RS+Sed)/12)*43560)</f>
        <v>38478</v>
      </c>
      <c r="H32" s="575"/>
      <c r="I32" s="132" t="s">
        <v>282</v>
      </c>
      <c r="J32" s="481"/>
      <c r="L32" s="225" t="s">
        <v>293</v>
      </c>
      <c r="M32" s="225"/>
      <c r="N32" s="225"/>
      <c r="O32" s="225"/>
      <c r="P32" s="39">
        <v>6</v>
      </c>
      <c r="Q32" s="228" t="s">
        <v>136</v>
      </c>
      <c r="S32" s="24"/>
      <c r="V32" s="464" t="s">
        <v>357</v>
      </c>
      <c r="W32" s="468">
        <f>1000/CN-10</f>
        <v>6.666666666666668</v>
      </c>
      <c r="X32" s="4"/>
      <c r="Y32" s="4"/>
      <c r="Z32" s="4"/>
      <c r="AA32" s="4"/>
      <c r="AB32" s="463"/>
    </row>
    <row r="33" spans="3:28" ht="15" customHeight="1">
      <c r="C33" s="225" t="s">
        <v>398</v>
      </c>
      <c r="D33" s="225"/>
      <c r="E33" s="225"/>
      <c r="F33" s="225"/>
      <c r="G33" s="225"/>
      <c r="H33" s="239">
        <v>2000</v>
      </c>
      <c r="I33" s="228" t="s">
        <v>220</v>
      </c>
      <c r="J33" s="228"/>
      <c r="L33" s="225" t="s">
        <v>294</v>
      </c>
      <c r="M33" s="225"/>
      <c r="N33" s="225"/>
      <c r="O33" s="225"/>
      <c r="P33" s="39">
        <v>6</v>
      </c>
      <c r="Q33" s="228" t="s">
        <v>136</v>
      </c>
      <c r="S33" s="24"/>
      <c r="V33" s="464"/>
      <c r="W33" s="66" t="s">
        <v>358</v>
      </c>
      <c r="X33" s="4"/>
      <c r="Y33" s="4"/>
      <c r="Z33" s="4"/>
      <c r="AA33" s="4"/>
      <c r="AB33" s="463"/>
    </row>
    <row r="34" spans="3:28" ht="15" customHeight="1">
      <c r="C34" s="225" t="s">
        <v>284</v>
      </c>
      <c r="D34" s="225"/>
      <c r="E34" s="225"/>
      <c r="F34" s="225"/>
      <c r="G34" s="225"/>
      <c r="H34" s="239">
        <v>30</v>
      </c>
      <c r="I34" s="228" t="s">
        <v>220</v>
      </c>
      <c r="J34" s="228"/>
      <c r="L34" s="225" t="s">
        <v>303</v>
      </c>
      <c r="M34" s="225"/>
      <c r="N34" s="225"/>
      <c r="O34" s="225"/>
      <c r="P34" s="407">
        <f>IF(M25="","",(SS2+SS3)/2)</f>
        <v>6</v>
      </c>
      <c r="S34" s="24"/>
      <c r="V34" s="464"/>
      <c r="W34" s="4"/>
      <c r="X34" s="4"/>
      <c r="Y34" s="4"/>
      <c r="Z34" s="4"/>
      <c r="AA34" s="4"/>
      <c r="AB34" s="463"/>
    </row>
    <row r="35" spans="3:28" ht="15" customHeight="1">
      <c r="C35" s="348" t="s">
        <v>378</v>
      </c>
      <c r="D35" s="348"/>
      <c r="E35" s="348"/>
      <c r="F35" s="348"/>
      <c r="H35" s="453">
        <f>IF(M25="","",(((CW/AS)^2+4*STOR/(AS*L))^0.5-(CW/AS))/2)</f>
        <v>0.5582077593169066</v>
      </c>
      <c r="I35" s="228" t="s">
        <v>220</v>
      </c>
      <c r="J35" s="228"/>
      <c r="L35" s="225" t="s">
        <v>304</v>
      </c>
      <c r="M35" s="225"/>
      <c r="N35" s="225"/>
      <c r="O35" s="225"/>
      <c r="P35" s="243">
        <f>IF(M25="","",(SS1+SS2)/2)</f>
        <v>8</v>
      </c>
      <c r="S35" s="24"/>
      <c r="V35" s="462"/>
      <c r="W35" s="4" t="s">
        <v>356</v>
      </c>
      <c r="X35" s="4"/>
      <c r="Y35" s="4"/>
      <c r="Z35" s="4"/>
      <c r="AA35" s="4"/>
      <c r="AB35" s="463"/>
    </row>
    <row r="36" spans="3:28" ht="15" customHeight="1">
      <c r="C36" s="484" t="s">
        <v>384</v>
      </c>
      <c r="D36" s="2"/>
      <c r="E36" s="2"/>
      <c r="F36" s="2"/>
      <c r="G36" s="2"/>
      <c r="H36" s="485">
        <v>1.8</v>
      </c>
      <c r="I36" s="132" t="s">
        <v>220</v>
      </c>
      <c r="L36" s="348" t="s">
        <v>327</v>
      </c>
      <c r="M36" s="348"/>
      <c r="N36" s="348"/>
      <c r="O36" s="348"/>
      <c r="P36" s="420">
        <f>DC</f>
        <v>0.808927991878322</v>
      </c>
      <c r="Q36" s="228" t="s">
        <v>220</v>
      </c>
      <c r="U36" s="420"/>
      <c r="V36" s="464" t="s">
        <v>346</v>
      </c>
      <c r="W36" s="469">
        <v>0.808927991878322</v>
      </c>
      <c r="X36" s="4"/>
      <c r="Y36" s="4"/>
      <c r="Z36" s="4"/>
      <c r="AA36" s="4"/>
      <c r="AB36" s="463"/>
    </row>
    <row r="37" spans="3:28" ht="15" customHeight="1">
      <c r="C37" t="s">
        <v>365</v>
      </c>
      <c r="G37" s="498">
        <f>Ain*L</f>
        <v>159840</v>
      </c>
      <c r="H37" s="498"/>
      <c r="I37" t="s">
        <v>307</v>
      </c>
      <c r="J37" s="225"/>
      <c r="L37" s="363" t="s">
        <v>343</v>
      </c>
      <c r="M37" s="363"/>
      <c r="N37" s="363"/>
      <c r="P37" s="442">
        <f>IF(M25="","",((SS2*DC+CW+100/ls*DC)/(100/ls-SS1)))</f>
        <v>1.0349429806680754</v>
      </c>
      <c r="Q37" s="364" t="s">
        <v>220</v>
      </c>
      <c r="V37" s="462"/>
      <c r="W37" s="4" t="s">
        <v>347</v>
      </c>
      <c r="X37" s="4"/>
      <c r="Y37" s="4"/>
      <c r="Z37" s="4"/>
      <c r="AA37" s="4"/>
      <c r="AB37" s="463"/>
    </row>
    <row r="38" spans="3:28" ht="15" customHeight="1">
      <c r="C38" s="440" t="s">
        <v>363</v>
      </c>
      <c r="H38" s="454">
        <f>Aout*L</f>
        <v>111209.32613751927</v>
      </c>
      <c r="I38" t="s">
        <v>307</v>
      </c>
      <c r="L38" s="348" t="s">
        <v>328</v>
      </c>
      <c r="M38" s="348"/>
      <c r="N38" s="348"/>
      <c r="O38" s="348"/>
      <c r="P38" s="349">
        <f>IF(M25="","",CH-DC)</f>
        <v>1.6910720081216781</v>
      </c>
      <c r="Q38" s="228" t="s">
        <v>220</v>
      </c>
      <c r="V38" s="462"/>
      <c r="W38" s="4"/>
      <c r="X38" s="4"/>
      <c r="Y38" s="4"/>
      <c r="Z38" s="4"/>
      <c r="AA38" s="4"/>
      <c r="AB38" s="463"/>
    </row>
    <row r="39" spans="3:28" ht="15" customHeight="1">
      <c r="C39" s="2" t="s">
        <v>383</v>
      </c>
      <c r="D39" s="2"/>
      <c r="E39" s="482"/>
      <c r="F39" s="2"/>
      <c r="G39" s="491">
        <f>+A*L</f>
        <v>271049.3261375193</v>
      </c>
      <c r="H39" s="491"/>
      <c r="I39" s="2" t="s">
        <v>307</v>
      </c>
      <c r="J39" s="483"/>
      <c r="L39" s="225" t="s">
        <v>348</v>
      </c>
      <c r="M39" s="225"/>
      <c r="N39" s="225"/>
      <c r="O39" s="225"/>
      <c r="P39" s="243">
        <f>IF(M25="","",h+freeboard)</f>
        <v>2.3</v>
      </c>
      <c r="Q39" s="228" t="s">
        <v>220</v>
      </c>
      <c r="V39" s="465"/>
      <c r="W39" s="455"/>
      <c r="X39" s="455"/>
      <c r="Y39" s="455"/>
      <c r="Z39" s="455"/>
      <c r="AA39" s="455"/>
      <c r="AB39" s="466"/>
    </row>
    <row r="40" spans="5:17" ht="15" customHeight="1">
      <c r="E40" s="228"/>
      <c r="F40" s="228"/>
      <c r="G40" s="228"/>
      <c r="H40" s="228"/>
      <c r="J40" s="4"/>
      <c r="L40" s="82" t="s">
        <v>331</v>
      </c>
      <c r="M40" s="82"/>
      <c r="N40" s="82"/>
      <c r="O40" s="82"/>
      <c r="P40" s="242">
        <f>IF(M25="","",IF(TH*1.1&lt;1.5,1.5,ROUND(TH*1.1,1)))</f>
        <v>2.5</v>
      </c>
      <c r="Q40" s="93" t="s">
        <v>220</v>
      </c>
    </row>
    <row r="41" ht="15" customHeight="1">
      <c r="B41" s="456" t="str">
        <f>IF(G39&gt;STOR*1.1,"Total Storage exceeds Required Storage--reduce Storage Depth or reduce Channel Width.",IF(G39&lt;STOR,"Total Storage is less than the Required Storage--increase Storage Depth or increase Channel Width.",""))</f>
        <v>Total Storage exceeds Required Storage--reduce Storage Depth or reduce Channel Width.</v>
      </c>
    </row>
    <row r="42" ht="15" customHeight="1">
      <c r="B42" s="457" t="str">
        <f>IF(h&gt;dAllin,"Storage Depth is greater than Storage Depth (if all In-Channel) and must be equal to or less than that value.","")</f>
        <v>Storage Depth is greater than Storage Depth (if all In-Channel) and must be equal to or less than that value.</v>
      </c>
    </row>
    <row r="43" spans="2:16" ht="15" customHeight="1">
      <c r="B43" s="24" t="s">
        <v>286</v>
      </c>
      <c r="J43" s="228"/>
      <c r="K43" t="s">
        <v>296</v>
      </c>
      <c r="P43" s="4"/>
    </row>
    <row r="44" spans="3:17" ht="15" customHeight="1">
      <c r="C44" s="225" t="s">
        <v>287</v>
      </c>
      <c r="D44" s="225"/>
      <c r="E44" s="225"/>
      <c r="F44" s="225"/>
      <c r="H44" s="239">
        <v>2</v>
      </c>
      <c r="I44" s="228"/>
      <c r="J44" s="4"/>
      <c r="L44" t="s">
        <v>415</v>
      </c>
      <c r="P44" s="350">
        <f>IF(M25="","",STOR/L)</f>
        <v>19.239</v>
      </c>
      <c r="Q44" t="s">
        <v>218</v>
      </c>
    </row>
    <row r="45" spans="3:17" ht="15" customHeight="1">
      <c r="C45" s="225" t="s">
        <v>288</v>
      </c>
      <c r="D45" s="225"/>
      <c r="E45" s="225"/>
      <c r="F45" s="225"/>
      <c r="H45" s="240">
        <f>IF(M25="","",ROUND(h*SS2+CW+((h-DC-(((DC*SS2)+CW)*(ls/100)))/(ls/100)),0))</f>
        <v>204</v>
      </c>
      <c r="I45" s="228" t="s">
        <v>220</v>
      </c>
      <c r="J45" s="228"/>
      <c r="L45" t="s">
        <v>399</v>
      </c>
      <c r="P45" s="350">
        <f>IF(M25="","",(CW+AS*h)*h)</f>
        <v>79.92</v>
      </c>
      <c r="Q45" s="228" t="s">
        <v>218</v>
      </c>
    </row>
    <row r="46" spans="3:19" ht="15" customHeight="1">
      <c r="C46" s="225" t="s">
        <v>289</v>
      </c>
      <c r="D46" s="225"/>
      <c r="E46" s="225"/>
      <c r="F46" s="225"/>
      <c r="H46" s="241">
        <f>IF(M25="","",BL*BLNO)</f>
        <v>408</v>
      </c>
      <c r="I46" s="246" t="s">
        <v>220</v>
      </c>
      <c r="J46" s="228"/>
      <c r="L46" t="s">
        <v>400</v>
      </c>
      <c r="P46" s="350">
        <f>IF(M25="","",IF(h&gt;CD,((0.5*(100/ls))*(h-CD)^2-0.5*(SS1)*(h-CD)^2),0))</f>
        <v>55.604663068759635</v>
      </c>
      <c r="Q46" s="228" t="s">
        <v>218</v>
      </c>
      <c r="S46" s="24"/>
    </row>
    <row r="47" spans="3:19" ht="15" customHeight="1">
      <c r="C47" s="117" t="s">
        <v>290</v>
      </c>
      <c r="D47" s="117"/>
      <c r="E47" s="117"/>
      <c r="F47" s="117"/>
      <c r="H47" s="260">
        <f>IF(M25="","",(((CH-h)*TW+(CH-h)^2*(SS4))+AF)/2)</f>
        <v>15.591811499987065</v>
      </c>
      <c r="I47" s="4" t="s">
        <v>218</v>
      </c>
      <c r="L47" s="348" t="s">
        <v>349</v>
      </c>
      <c r="M47" s="348"/>
      <c r="N47" s="348"/>
      <c r="O47" s="117"/>
      <c r="P47" s="350">
        <f>IF(M25="","",IF(h&gt;CD,(((CW+AS*h)*h)+(0.5*(100/ls))*(h-CD)^2-0.5*(SS1)*(h-CD)^2),(CW+AS*h)*h))</f>
        <v>135.52466306875965</v>
      </c>
      <c r="Q47" s="228" t="s">
        <v>218</v>
      </c>
      <c r="S47" s="24"/>
    </row>
    <row r="48" spans="3:18" ht="15" customHeight="1">
      <c r="C48" s="225" t="s">
        <v>306</v>
      </c>
      <c r="D48" s="225"/>
      <c r="E48" s="225"/>
      <c r="F48" s="225"/>
      <c r="H48" s="257">
        <f>IF(M25="","",h-DC)</f>
        <v>0.9910720081216781</v>
      </c>
      <c r="I48" s="228" t="s">
        <v>220</v>
      </c>
      <c r="L48" s="225" t="s">
        <v>297</v>
      </c>
      <c r="M48" s="225"/>
      <c r="N48" s="225"/>
      <c r="O48" s="33"/>
      <c r="P48" s="257">
        <f>IF(M25="","",(ls/200)*(CW+2*AS*DC)^2/(1-SS1*(ls/100))+CW*DC+AS*DC^2)</f>
        <v>34.35561936467909</v>
      </c>
      <c r="Q48" s="228" t="s">
        <v>218</v>
      </c>
      <c r="R48" s="24"/>
    </row>
    <row r="49" spans="12:17" ht="15" customHeight="1">
      <c r="L49" s="225" t="s">
        <v>298</v>
      </c>
      <c r="M49" s="225"/>
      <c r="N49" s="225"/>
      <c r="O49" s="33"/>
      <c r="P49" s="257">
        <f>IF(M25="","",(ls/200)*(TW+2*SS4*(CH-DC))^2/(1-SS4*(ls/100))+TW*(CH-DC)+SS4*(CH-DC)^2)</f>
        <v>25.44362299997413</v>
      </c>
      <c r="Q49" s="228" t="s">
        <v>218</v>
      </c>
    </row>
    <row r="50" ht="15" customHeight="1">
      <c r="B50" s="458" t="s">
        <v>410</v>
      </c>
    </row>
    <row r="51" ht="15" customHeight="1">
      <c r="B51" t="s">
        <v>411</v>
      </c>
    </row>
    <row r="52" ht="15" customHeight="1">
      <c r="B52" s="458" t="s">
        <v>364</v>
      </c>
    </row>
    <row r="53" ht="15" customHeight="1" thickBot="1">
      <c r="J53" s="228"/>
    </row>
    <row r="54" spans="7:14" ht="15" customHeight="1">
      <c r="G54" s="343" t="s">
        <v>299</v>
      </c>
      <c r="H54" s="27"/>
      <c r="I54" s="27"/>
      <c r="J54" s="27"/>
      <c r="K54" s="27"/>
      <c r="L54" s="324">
        <f>IF(M25="","",AF*L/27)</f>
        <v>1884.7128148128986</v>
      </c>
      <c r="M54" s="402" t="s">
        <v>302</v>
      </c>
      <c r="N54" s="28"/>
    </row>
    <row r="55" spans="7:14" ht="15" customHeight="1">
      <c r="G55" s="345" t="s">
        <v>401</v>
      </c>
      <c r="H55" s="4"/>
      <c r="I55" s="4"/>
      <c r="J55" s="4"/>
      <c r="K55" s="4"/>
      <c r="L55" s="325">
        <f>IF(M25="","",(AC)/(AF))</f>
        <v>1.3502644401197905</v>
      </c>
      <c r="M55" s="34"/>
      <c r="N55" s="29"/>
    </row>
    <row r="56" spans="7:14" ht="15" customHeight="1" thickBot="1">
      <c r="G56" s="344" t="s">
        <v>300</v>
      </c>
      <c r="H56" s="36"/>
      <c r="I56" s="36"/>
      <c r="J56" s="36"/>
      <c r="K56" s="36"/>
      <c r="L56" s="326">
        <f>IF(M25="","",BA*BL*BLNO/27)</f>
        <v>235.60959599980453</v>
      </c>
      <c r="M56" s="82" t="s">
        <v>302</v>
      </c>
      <c r="N56" s="29"/>
    </row>
    <row r="57" spans="7:14" ht="15" customHeight="1" thickBot="1">
      <c r="G57" s="244" t="s">
        <v>301</v>
      </c>
      <c r="H57" s="245"/>
      <c r="I57" s="245"/>
      <c r="J57" s="245"/>
      <c r="K57" s="247"/>
      <c r="L57" s="327">
        <f>IF(M25="","",Vd+Vb)</f>
        <v>2120.3224108127033</v>
      </c>
      <c r="M57" s="403" t="s">
        <v>302</v>
      </c>
      <c r="N57" s="40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password="B271" sheet="1" objects="1" scenarios="1"/>
  <mergeCells count="17">
    <mergeCell ref="B1:C1"/>
    <mergeCell ref="M4:P4"/>
    <mergeCell ref="B6:D6"/>
    <mergeCell ref="B4:C4"/>
    <mergeCell ref="B5:D5"/>
    <mergeCell ref="M6:P6"/>
    <mergeCell ref="F1:N1"/>
    <mergeCell ref="G37:H37"/>
    <mergeCell ref="G39:H39"/>
    <mergeCell ref="Q1:R1"/>
    <mergeCell ref="G32:H32"/>
    <mergeCell ref="E3:I3"/>
    <mergeCell ref="E4:I4"/>
    <mergeCell ref="E5:I5"/>
    <mergeCell ref="E6:I6"/>
    <mergeCell ref="M3:P3"/>
    <mergeCell ref="M5:P5"/>
  </mergeCells>
  <dataValidations count="3">
    <dataValidation type="list" showDropDown="1" showInputMessage="1" showErrorMessage="1" errorTitle="Enter another number!" error="Design Frequencey Storm may be 2, 10, or 25." sqref="M24">
      <formula1>$W$24:$Y$24</formula1>
    </dataValidation>
    <dataValidation type="decimal" allowBlank="1" showInputMessage="1" showErrorMessage="1" prompt="Adjust &quot;Storage Depth&quot; until &quot;Total Storage &quot; provides &quot;Required Storage&quot; using values equal to or less than &quot;Storage Depth (if all In-Channel)&quot;&#10; " errorTitle="Change &quot;Storage Depth&quot;" error="Storage Depth must be equal to or less than the Storage Depth (if all In-Channel).&#10;" sqref="H36">
      <formula1>0.86</formula1>
      <formula2>H35+0.01</formula2>
    </dataValidation>
    <dataValidation type="decimal" allowBlank="1" showInputMessage="1" showErrorMessage="1" errorTitle="Change Sediment Storage" error="Sediment Storage must be between 0.5 and 0.05 inch." sqref="H30">
      <formula1>0.05</formula1>
      <formula2>0.5</formula2>
    </dataValidation>
  </dataValidations>
  <printOptions/>
  <pageMargins left="0.5" right="0.5" top="0.75" bottom="0.75" header="0.5" footer="0.5"/>
  <pageSetup blackAndWhite="1" fitToHeight="1" fitToWidth="1" horizontalDpi="600" verticalDpi="600" orientation="portrait" scale="80" r:id="rId2"/>
  <colBreaks count="1" manualBreakCount="1">
    <brk id="18" max="65535" man="1"/>
  </colBreaks>
  <drawing r:id="rId1"/>
</worksheet>
</file>

<file path=xl/worksheets/sheet6.xml><?xml version="1.0" encoding="utf-8"?>
<worksheet xmlns="http://schemas.openxmlformats.org/spreadsheetml/2006/main" xmlns:r="http://schemas.openxmlformats.org/officeDocument/2006/relationships">
  <sheetPr codeName="Sheet7"/>
  <dimension ref="A1:FF171"/>
  <sheetViews>
    <sheetView showGridLines="0" zoomScale="80" zoomScaleNormal="80" workbookViewId="0" topLeftCell="A1">
      <selection activeCell="AX63" sqref="AX63:BH64"/>
    </sheetView>
  </sheetViews>
  <sheetFormatPr defaultColWidth="9.140625" defaultRowHeight="9" customHeight="1"/>
  <cols>
    <col min="1" max="16384" width="1.57421875" style="229" customWidth="1"/>
  </cols>
  <sheetData>
    <row r="1" spans="3:99" ht="9" customHeight="1">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row>
    <row r="2" spans="3:99" ht="9" customHeight="1">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c r="CL2" s="435"/>
      <c r="CM2" s="435"/>
      <c r="CN2" s="435"/>
      <c r="CO2" s="435"/>
      <c r="CP2" s="435"/>
      <c r="CQ2" s="435"/>
      <c r="CR2" s="435"/>
      <c r="CS2" s="435"/>
      <c r="CT2" s="435"/>
      <c r="CU2" s="435"/>
    </row>
    <row r="3" spans="90:98" ht="9" customHeight="1">
      <c r="CL3" s="487"/>
      <c r="CM3" s="487"/>
      <c r="CN3" s="487"/>
      <c r="CO3" s="487"/>
      <c r="CP3" s="487"/>
      <c r="CQ3" s="487"/>
      <c r="CR3" s="487"/>
      <c r="CS3" s="487"/>
      <c r="CT3" s="487"/>
    </row>
    <row r="4" spans="3:98" ht="12" customHeight="1">
      <c r="C4" s="636" t="s">
        <v>124</v>
      </c>
      <c r="D4" s="636"/>
      <c r="E4" s="636"/>
      <c r="F4" s="636"/>
      <c r="G4" s="533"/>
      <c r="J4" s="232"/>
      <c r="O4" s="636"/>
      <c r="P4" s="636"/>
      <c r="Q4" s="636"/>
      <c r="R4" s="636"/>
      <c r="S4" s="533"/>
      <c r="T4" s="232"/>
      <c r="U4" s="232"/>
      <c r="V4" s="232"/>
      <c r="W4" s="232"/>
      <c r="X4" s="232"/>
      <c r="Y4" s="232"/>
      <c r="Z4" s="232"/>
      <c r="AB4" s="232"/>
      <c r="AC4" s="232"/>
      <c r="AD4" s="232"/>
      <c r="AE4" s="232"/>
      <c r="AF4" s="232"/>
      <c r="AG4" s="232"/>
      <c r="AI4" s="433"/>
      <c r="AJ4" s="433"/>
      <c r="AK4" s="433"/>
      <c r="AL4" s="433"/>
      <c r="AM4" s="433"/>
      <c r="AN4" s="433"/>
      <c r="AO4" s="433"/>
      <c r="AP4" s="645" t="s">
        <v>203</v>
      </c>
      <c r="AQ4" s="556"/>
      <c r="AR4" s="556"/>
      <c r="AS4" s="556"/>
      <c r="AT4" s="556"/>
      <c r="AU4" s="556"/>
      <c r="AV4" s="556"/>
      <c r="AW4" s="556"/>
      <c r="AX4" s="556"/>
      <c r="AY4" s="556"/>
      <c r="AZ4" s="556"/>
      <c r="BA4" s="556"/>
      <c r="BB4" s="556"/>
      <c r="BC4" s="556"/>
      <c r="BD4" s="556"/>
      <c r="BE4" s="556"/>
      <c r="BF4" s="556"/>
      <c r="BG4" s="556"/>
      <c r="BH4" s="227"/>
      <c r="BI4" s="227"/>
      <c r="BJ4" s="227"/>
      <c r="BK4" s="227"/>
      <c r="BL4" s="227"/>
      <c r="BM4" s="227"/>
      <c r="BN4" s="227"/>
      <c r="BO4" s="227"/>
      <c r="BP4" s="227"/>
      <c r="BQ4" s="227"/>
      <c r="BR4" s="227"/>
      <c r="BS4" s="227"/>
      <c r="BT4" s="227"/>
      <c r="BU4" s="227"/>
      <c r="BV4" s="227"/>
      <c r="BW4" s="227"/>
      <c r="BX4" s="227"/>
      <c r="BY4" s="227"/>
      <c r="BZ4" s="232"/>
      <c r="CA4" s="232"/>
      <c r="CB4" s="232"/>
      <c r="CC4" s="232"/>
      <c r="CD4" s="232"/>
      <c r="CE4" s="232"/>
      <c r="CF4" s="232"/>
      <c r="CG4" s="232"/>
      <c r="CH4" s="232"/>
      <c r="CI4" s="232"/>
      <c r="CJ4" s="232"/>
      <c r="CL4" s="838" t="s">
        <v>191</v>
      </c>
      <c r="CM4" s="838"/>
      <c r="CN4" s="838"/>
      <c r="CO4" s="838"/>
      <c r="CP4" s="838"/>
      <c r="CQ4" s="838"/>
      <c r="CR4" s="838"/>
      <c r="CS4" s="490"/>
      <c r="CT4" s="490"/>
    </row>
    <row r="5" spans="3:98" ht="12" customHeight="1">
      <c r="C5" s="636" t="s">
        <v>125</v>
      </c>
      <c r="D5" s="636"/>
      <c r="E5" s="636"/>
      <c r="F5" s="636"/>
      <c r="G5" s="533"/>
      <c r="I5" s="232"/>
      <c r="J5" s="232"/>
      <c r="P5" s="232"/>
      <c r="Q5" s="232"/>
      <c r="R5" s="232"/>
      <c r="S5" s="232"/>
      <c r="T5" s="232"/>
      <c r="U5" s="232"/>
      <c r="V5" s="232"/>
      <c r="W5" s="232"/>
      <c r="X5" s="232"/>
      <c r="Y5" s="232"/>
      <c r="Z5" s="232"/>
      <c r="AA5" s="232"/>
      <c r="AB5" s="232"/>
      <c r="AC5" s="232"/>
      <c r="AD5" s="232"/>
      <c r="AE5" s="232"/>
      <c r="AF5" s="232"/>
      <c r="AG5" s="232"/>
      <c r="AH5" s="434"/>
      <c r="AI5" s="434"/>
      <c r="AJ5" s="434"/>
      <c r="AK5" s="434"/>
      <c r="AL5" s="434"/>
      <c r="AM5" s="434"/>
      <c r="AO5" s="434"/>
      <c r="AP5" s="556"/>
      <c r="AQ5" s="556"/>
      <c r="AR5" s="556"/>
      <c r="AS5" s="556"/>
      <c r="AT5" s="556"/>
      <c r="AU5" s="556"/>
      <c r="AV5" s="556"/>
      <c r="AW5" s="556"/>
      <c r="AX5" s="556"/>
      <c r="AY5" s="556"/>
      <c r="AZ5" s="556"/>
      <c r="BA5" s="556"/>
      <c r="BB5" s="556"/>
      <c r="BC5" s="556"/>
      <c r="BD5" s="556"/>
      <c r="BE5" s="556"/>
      <c r="BF5" s="556"/>
      <c r="BG5" s="556"/>
      <c r="BH5" s="227"/>
      <c r="BI5" s="227"/>
      <c r="BJ5" s="227"/>
      <c r="BK5" s="227"/>
      <c r="BL5" s="227"/>
      <c r="BM5" s="227"/>
      <c r="BN5" s="227"/>
      <c r="BO5" s="227"/>
      <c r="BP5" s="227"/>
      <c r="BQ5" s="227"/>
      <c r="BR5" s="227"/>
      <c r="BS5" s="227"/>
      <c r="BT5" s="227"/>
      <c r="BU5" s="227"/>
      <c r="BV5" s="227"/>
      <c r="BW5" s="227"/>
      <c r="BX5" s="227"/>
      <c r="BY5" s="227"/>
      <c r="BZ5" s="232"/>
      <c r="CA5" s="232"/>
      <c r="CB5" s="232"/>
      <c r="CC5" s="232"/>
      <c r="CD5" s="232"/>
      <c r="CE5" s="232"/>
      <c r="CF5" s="232"/>
      <c r="CG5" s="232"/>
      <c r="CH5" s="232"/>
      <c r="CI5" s="232"/>
      <c r="CJ5" s="232"/>
      <c r="CL5" s="839" t="s">
        <v>314</v>
      </c>
      <c r="CM5" s="839"/>
      <c r="CN5" s="839"/>
      <c r="CO5" s="839"/>
      <c r="CP5" s="839"/>
      <c r="CQ5" s="839"/>
      <c r="CR5" s="839"/>
      <c r="CS5" s="490"/>
      <c r="CT5" s="490"/>
    </row>
    <row r="6" spans="1:90" ht="9" customHeight="1">
      <c r="A6" s="263"/>
      <c r="B6" s="263"/>
      <c r="C6" s="263"/>
      <c r="D6" s="263"/>
      <c r="E6" s="235"/>
      <c r="F6" s="235"/>
      <c r="G6" s="235"/>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7"/>
      <c r="BI6" s="227"/>
      <c r="BJ6" s="227"/>
      <c r="BK6" s="227"/>
      <c r="BL6" s="227"/>
      <c r="BM6" s="227"/>
      <c r="BN6" s="227"/>
      <c r="BO6" s="227"/>
      <c r="BP6" s="227"/>
      <c r="BQ6" s="227"/>
      <c r="BR6" s="227"/>
      <c r="BS6" s="227"/>
      <c r="BT6" s="227"/>
      <c r="BU6" s="227"/>
      <c r="BV6" s="227"/>
      <c r="BW6" s="227"/>
      <c r="BX6" s="227"/>
      <c r="BY6" s="227"/>
      <c r="BZ6" s="232"/>
      <c r="CA6" s="232"/>
      <c r="CB6" s="232"/>
      <c r="CC6" s="232"/>
      <c r="CD6" s="232"/>
      <c r="CE6" s="232"/>
      <c r="CF6" s="232"/>
      <c r="CG6" s="232"/>
      <c r="CH6" s="232"/>
      <c r="CI6" s="232"/>
      <c r="CJ6" s="232"/>
      <c r="CL6" s="236"/>
    </row>
    <row r="7" spans="3:88" ht="9" customHeight="1">
      <c r="C7" s="797" t="s">
        <v>126</v>
      </c>
      <c r="D7" s="797"/>
      <c r="E7" s="797"/>
      <c r="F7" s="797"/>
      <c r="G7" s="797"/>
      <c r="H7" s="797"/>
      <c r="I7" s="797"/>
      <c r="J7" s="797"/>
      <c r="K7" s="797"/>
      <c r="L7" s="798">
        <f>IF('Hyd Sum'!G4="","",'Hyd Sum'!G4)</f>
      </c>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521"/>
      <c r="AL7" s="521"/>
      <c r="AM7" s="521"/>
      <c r="AN7" s="521"/>
      <c r="AO7" s="521"/>
      <c r="AP7" s="521"/>
      <c r="AQ7" s="178"/>
      <c r="AR7" s="224"/>
      <c r="AS7" s="224"/>
      <c r="AT7" s="224"/>
      <c r="AU7" s="224"/>
      <c r="AX7" s="784" t="s">
        <v>202</v>
      </c>
      <c r="AY7" s="784"/>
      <c r="AZ7" s="784"/>
      <c r="BA7" s="784"/>
      <c r="BB7" s="784"/>
      <c r="BC7" s="784"/>
      <c r="BD7" s="784"/>
      <c r="BE7" s="784"/>
      <c r="BF7" s="784"/>
      <c r="BG7" s="784"/>
      <c r="BH7" s="784"/>
      <c r="BI7" s="784"/>
      <c r="BJ7" s="784"/>
      <c r="BK7" s="784"/>
      <c r="BL7" s="784"/>
      <c r="BM7" s="784"/>
      <c r="BN7" s="784"/>
      <c r="BO7" s="784"/>
      <c r="BP7" s="784"/>
      <c r="BQ7" s="784"/>
      <c r="BR7" s="784"/>
      <c r="BS7" s="784"/>
      <c r="BT7" s="784"/>
      <c r="BU7" s="784"/>
      <c r="BV7" s="784"/>
      <c r="BW7" s="784"/>
      <c r="BX7" s="784"/>
      <c r="BY7" s="784"/>
      <c r="BZ7" s="784"/>
      <c r="CA7" s="784"/>
      <c r="CB7" s="784"/>
      <c r="CC7" s="784"/>
      <c r="CD7" s="784"/>
      <c r="CE7" s="784"/>
      <c r="CF7" s="784"/>
      <c r="CG7" s="784"/>
      <c r="CH7" s="784"/>
      <c r="CI7" s="784"/>
      <c r="CJ7" s="784"/>
    </row>
    <row r="8" spans="3:88" ht="9" customHeight="1">
      <c r="C8" s="797"/>
      <c r="D8" s="797"/>
      <c r="E8" s="797"/>
      <c r="F8" s="797"/>
      <c r="G8" s="797"/>
      <c r="H8" s="797"/>
      <c r="I8" s="797"/>
      <c r="J8" s="797"/>
      <c r="K8" s="797"/>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503"/>
      <c r="AL8" s="503"/>
      <c r="AM8" s="503"/>
      <c r="AN8" s="503"/>
      <c r="AO8" s="503"/>
      <c r="AP8" s="503"/>
      <c r="AQ8" s="178"/>
      <c r="AR8" s="178"/>
      <c r="AS8" s="178"/>
      <c r="AT8" s="178"/>
      <c r="AU8" s="176"/>
      <c r="AX8" s="785"/>
      <c r="AY8" s="785"/>
      <c r="AZ8" s="785"/>
      <c r="BA8" s="785"/>
      <c r="BB8" s="785"/>
      <c r="BC8" s="785"/>
      <c r="BD8" s="785"/>
      <c r="BE8" s="785"/>
      <c r="BF8" s="785"/>
      <c r="BG8" s="785"/>
      <c r="BH8" s="785"/>
      <c r="BI8" s="785"/>
      <c r="BJ8" s="785"/>
      <c r="BK8" s="785"/>
      <c r="BL8" s="785"/>
      <c r="BM8" s="785"/>
      <c r="BN8" s="785"/>
      <c r="BO8" s="785"/>
      <c r="BP8" s="785"/>
      <c r="BQ8" s="785"/>
      <c r="BR8" s="785"/>
      <c r="BS8" s="785"/>
      <c r="BT8" s="785"/>
      <c r="BU8" s="785"/>
      <c r="BV8" s="785"/>
      <c r="BW8" s="785"/>
      <c r="BX8" s="785"/>
      <c r="BY8" s="785"/>
      <c r="BZ8" s="785"/>
      <c r="CA8" s="785"/>
      <c r="CB8" s="785"/>
      <c r="CC8" s="785"/>
      <c r="CD8" s="785"/>
      <c r="CE8" s="785"/>
      <c r="CF8" s="785"/>
      <c r="CG8" s="785"/>
      <c r="CH8" s="785"/>
      <c r="CI8" s="785"/>
      <c r="CJ8" s="785"/>
    </row>
    <row r="9" spans="3:100" ht="9" customHeight="1">
      <c r="C9" s="797" t="s">
        <v>127</v>
      </c>
      <c r="D9" s="797"/>
      <c r="E9" s="797"/>
      <c r="F9" s="797"/>
      <c r="G9" s="797"/>
      <c r="H9" s="797"/>
      <c r="I9" s="797"/>
      <c r="J9" s="797"/>
      <c r="K9" s="533"/>
      <c r="L9" s="801">
        <f>IF('Hyd Sum'!G6="","",'Hyd Sum'!G6)</f>
      </c>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803"/>
      <c r="AM9" s="803"/>
      <c r="AN9" s="803"/>
      <c r="AO9" s="803"/>
      <c r="AP9" s="803"/>
      <c r="AQ9" s="179"/>
      <c r="AR9" s="179"/>
      <c r="AS9" s="179"/>
      <c r="AT9" s="179"/>
      <c r="AU9" s="176"/>
      <c r="AX9" s="732" t="s">
        <v>231</v>
      </c>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1">
        <f>IF('Design (1)'!M21="","",'Design (1)'!M21)</f>
      </c>
      <c r="BZ9" s="731"/>
      <c r="CA9" s="731"/>
      <c r="CB9" s="731"/>
      <c r="CC9" s="731"/>
      <c r="CD9" s="731"/>
      <c r="CE9" s="731">
        <f>IF('Design (2)'!M21="","",'Design (2)'!M21)</f>
      </c>
      <c r="CF9" s="731"/>
      <c r="CG9" s="731"/>
      <c r="CH9" s="731"/>
      <c r="CI9" s="731"/>
      <c r="CJ9" s="731"/>
      <c r="CK9" s="248"/>
      <c r="CL9" s="248"/>
      <c r="CM9" s="248"/>
      <c r="CN9" s="248"/>
      <c r="CO9" s="248"/>
      <c r="CP9" s="248"/>
      <c r="CQ9" s="248"/>
      <c r="CR9" s="248"/>
      <c r="CS9" s="248"/>
      <c r="CT9" s="248"/>
      <c r="CU9" s="248"/>
      <c r="CV9" s="248"/>
    </row>
    <row r="10" spans="3:100" ht="9" customHeight="1">
      <c r="C10" s="797"/>
      <c r="D10" s="797"/>
      <c r="E10" s="797"/>
      <c r="F10" s="797"/>
      <c r="G10" s="797"/>
      <c r="H10" s="797"/>
      <c r="I10" s="797"/>
      <c r="J10" s="797"/>
      <c r="K10" s="533"/>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503"/>
      <c r="AL10" s="503"/>
      <c r="AM10" s="503"/>
      <c r="AN10" s="503"/>
      <c r="AO10" s="503"/>
      <c r="AP10" s="503"/>
      <c r="AQ10" s="179"/>
      <c r="AR10" s="179"/>
      <c r="AS10" s="179"/>
      <c r="AT10" s="179"/>
      <c r="AU10" s="176"/>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1"/>
      <c r="BZ10" s="731"/>
      <c r="CA10" s="731"/>
      <c r="CB10" s="731"/>
      <c r="CC10" s="731"/>
      <c r="CD10" s="731"/>
      <c r="CE10" s="731"/>
      <c r="CF10" s="731"/>
      <c r="CG10" s="731"/>
      <c r="CH10" s="731"/>
      <c r="CI10" s="731"/>
      <c r="CJ10" s="731"/>
      <c r="CK10" s="248"/>
      <c r="CL10" s="248"/>
      <c r="CM10" s="248"/>
      <c r="CN10" s="248"/>
      <c r="CO10" s="248"/>
      <c r="CP10" s="248"/>
      <c r="CQ10" s="248"/>
      <c r="CR10" s="248"/>
      <c r="CS10" s="248"/>
      <c r="CT10" s="248"/>
      <c r="CU10" s="248"/>
      <c r="CV10" s="248"/>
    </row>
    <row r="11" spans="3:100" ht="9" customHeight="1">
      <c r="C11" s="797" t="s">
        <v>128</v>
      </c>
      <c r="D11" s="564"/>
      <c r="E11" s="564"/>
      <c r="F11" s="564"/>
      <c r="G11" s="564"/>
      <c r="H11" s="564"/>
      <c r="I11" s="564"/>
      <c r="J11" s="564"/>
      <c r="K11" s="564"/>
      <c r="L11" s="801">
        <f>IF('Hyd Sum'!W6="","",'Hyd Sum'!W6)</f>
      </c>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616"/>
      <c r="AL11" s="616"/>
      <c r="AM11" s="616"/>
      <c r="AN11" s="616"/>
      <c r="AO11" s="616"/>
      <c r="AP11" s="616"/>
      <c r="AQ11" s="181"/>
      <c r="AR11" s="181"/>
      <c r="AS11" s="181"/>
      <c r="AT11" s="181"/>
      <c r="AU11" s="180"/>
      <c r="AX11" s="732" t="s">
        <v>219</v>
      </c>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14">
        <f>IF(BY$9="","",'Design (1)'!L)</f>
      </c>
      <c r="BZ11" s="714"/>
      <c r="CA11" s="714"/>
      <c r="CB11" s="714"/>
      <c r="CC11" s="714"/>
      <c r="CD11" s="714"/>
      <c r="CE11" s="714">
        <f>IF(CE$9="","",'Design (2)'!L)</f>
      </c>
      <c r="CF11" s="714"/>
      <c r="CG11" s="714"/>
      <c r="CH11" s="714"/>
      <c r="CI11" s="714"/>
      <c r="CJ11" s="714"/>
      <c r="CK11" s="248"/>
      <c r="CL11" s="248"/>
      <c r="CM11" s="248"/>
      <c r="CN11" s="248"/>
      <c r="CO11" s="248"/>
      <c r="CP11" s="248"/>
      <c r="CQ11" s="248"/>
      <c r="CR11" s="248"/>
      <c r="CS11" s="248"/>
      <c r="CT11" s="248"/>
      <c r="CU11" s="248"/>
      <c r="CV11" s="248"/>
    </row>
    <row r="12" spans="3:100" ht="9" customHeight="1">
      <c r="C12" s="564"/>
      <c r="D12" s="564"/>
      <c r="E12" s="564"/>
      <c r="F12" s="564"/>
      <c r="G12" s="564"/>
      <c r="H12" s="564"/>
      <c r="I12" s="564"/>
      <c r="J12" s="564"/>
      <c r="K12" s="564"/>
      <c r="L12" s="800"/>
      <c r="M12" s="800"/>
      <c r="N12" s="800"/>
      <c r="O12" s="800"/>
      <c r="P12" s="800"/>
      <c r="Q12" s="800"/>
      <c r="R12" s="800"/>
      <c r="S12" s="800"/>
      <c r="T12" s="800"/>
      <c r="U12" s="800"/>
      <c r="V12" s="800"/>
      <c r="W12" s="800"/>
      <c r="X12" s="800"/>
      <c r="Y12" s="800"/>
      <c r="Z12" s="800"/>
      <c r="AA12" s="800"/>
      <c r="AB12" s="800"/>
      <c r="AC12" s="800"/>
      <c r="AD12" s="800"/>
      <c r="AE12" s="800"/>
      <c r="AF12" s="800"/>
      <c r="AG12" s="800"/>
      <c r="AH12" s="800"/>
      <c r="AI12" s="800"/>
      <c r="AJ12" s="800"/>
      <c r="AK12" s="577"/>
      <c r="AL12" s="577"/>
      <c r="AM12" s="577"/>
      <c r="AN12" s="577"/>
      <c r="AO12" s="577"/>
      <c r="AP12" s="577"/>
      <c r="AQ12" s="181"/>
      <c r="AR12" s="181"/>
      <c r="AS12" s="181"/>
      <c r="AT12" s="181"/>
      <c r="AU12" s="180"/>
      <c r="AV12" s="230"/>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14"/>
      <c r="BZ12" s="714"/>
      <c r="CA12" s="714"/>
      <c r="CB12" s="714"/>
      <c r="CC12" s="714"/>
      <c r="CD12" s="714"/>
      <c r="CE12" s="714"/>
      <c r="CF12" s="714"/>
      <c r="CG12" s="714"/>
      <c r="CH12" s="714"/>
      <c r="CI12" s="714"/>
      <c r="CJ12" s="714"/>
      <c r="CK12" s="248"/>
      <c r="CL12" s="248"/>
      <c r="CM12" s="248"/>
      <c r="CN12" s="248"/>
      <c r="CO12" s="248"/>
      <c r="CP12" s="248"/>
      <c r="CQ12" s="248"/>
      <c r="CR12" s="248"/>
      <c r="CS12" s="248"/>
      <c r="CT12" s="248"/>
      <c r="CU12" s="248"/>
      <c r="CV12" s="248"/>
    </row>
    <row r="13" spans="3:100" ht="9" customHeight="1">
      <c r="C13" s="804" t="s">
        <v>173</v>
      </c>
      <c r="D13" s="805"/>
      <c r="E13" s="805"/>
      <c r="F13" s="805"/>
      <c r="G13" s="805"/>
      <c r="H13" s="805"/>
      <c r="I13" s="805"/>
      <c r="J13" s="805"/>
      <c r="K13" s="805"/>
      <c r="L13" s="801">
        <f>IF('Hyd Sum'!W4="","",'Hyd Sum'!W4)</f>
      </c>
      <c r="M13" s="802"/>
      <c r="N13" s="802"/>
      <c r="O13" s="802"/>
      <c r="P13" s="802"/>
      <c r="Q13" s="802"/>
      <c r="R13" s="802"/>
      <c r="S13" s="802"/>
      <c r="T13" s="802"/>
      <c r="U13" s="802"/>
      <c r="V13" s="802"/>
      <c r="W13" s="802"/>
      <c r="X13" s="802"/>
      <c r="Y13" s="802"/>
      <c r="Z13" s="802"/>
      <c r="AA13" s="802"/>
      <c r="AB13" s="802"/>
      <c r="AC13" s="802"/>
      <c r="AD13" s="802"/>
      <c r="AE13" s="802"/>
      <c r="AF13" s="802"/>
      <c r="AG13" s="802"/>
      <c r="AH13" s="802"/>
      <c r="AI13" s="802"/>
      <c r="AJ13" s="802"/>
      <c r="AK13" s="616"/>
      <c r="AL13" s="616"/>
      <c r="AM13" s="616"/>
      <c r="AN13" s="616"/>
      <c r="AO13" s="616"/>
      <c r="AP13" s="616"/>
      <c r="AQ13" s="182"/>
      <c r="AR13" s="182"/>
      <c r="AS13" s="182"/>
      <c r="AT13" s="182"/>
      <c r="AU13" s="176"/>
      <c r="AV13" s="231"/>
      <c r="AX13" s="732" t="s">
        <v>332</v>
      </c>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1">
        <f>IF(BY$9="","",'Design (1)'!M22)</f>
      </c>
      <c r="BZ13" s="731"/>
      <c r="CA13" s="731"/>
      <c r="CB13" s="731"/>
      <c r="CC13" s="731"/>
      <c r="CD13" s="731"/>
      <c r="CE13" s="731">
        <f>IF(CE$9="","",'Design (2)'!M22)</f>
      </c>
      <c r="CF13" s="731"/>
      <c r="CG13" s="731"/>
      <c r="CH13" s="731"/>
      <c r="CI13" s="731"/>
      <c r="CJ13" s="731"/>
      <c r="CK13" s="248"/>
      <c r="CL13" s="248"/>
      <c r="CM13" s="248"/>
      <c r="CN13" s="248"/>
      <c r="CO13" s="248"/>
      <c r="CP13" s="248"/>
      <c r="CQ13" s="248"/>
      <c r="CR13" s="248"/>
      <c r="CS13" s="248"/>
      <c r="CT13" s="248"/>
      <c r="CU13" s="248"/>
      <c r="CV13" s="248"/>
    </row>
    <row r="14" spans="3:100" ht="9" customHeight="1">
      <c r="C14" s="805"/>
      <c r="D14" s="805"/>
      <c r="E14" s="805"/>
      <c r="F14" s="805"/>
      <c r="G14" s="805"/>
      <c r="H14" s="805"/>
      <c r="I14" s="805"/>
      <c r="J14" s="805"/>
      <c r="K14" s="805"/>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577"/>
      <c r="AL14" s="577"/>
      <c r="AM14" s="577"/>
      <c r="AN14" s="577"/>
      <c r="AO14" s="577"/>
      <c r="AP14" s="577"/>
      <c r="AQ14" s="182"/>
      <c r="AR14" s="182"/>
      <c r="AS14" s="182"/>
      <c r="AT14" s="182"/>
      <c r="AU14" s="176"/>
      <c r="AV14" s="231"/>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1"/>
      <c r="BZ14" s="731"/>
      <c r="CA14" s="731"/>
      <c r="CB14" s="731"/>
      <c r="CC14" s="731"/>
      <c r="CD14" s="731"/>
      <c r="CE14" s="731"/>
      <c r="CF14" s="731"/>
      <c r="CG14" s="731"/>
      <c r="CH14" s="731"/>
      <c r="CI14" s="731"/>
      <c r="CJ14" s="731"/>
      <c r="CK14" s="248"/>
      <c r="CL14" s="248"/>
      <c r="CM14" s="248"/>
      <c r="CN14" s="248"/>
      <c r="CO14" s="248"/>
      <c r="CP14" s="248"/>
      <c r="CQ14" s="248"/>
      <c r="CR14" s="248"/>
      <c r="CS14" s="248"/>
      <c r="CT14" s="248"/>
      <c r="CU14" s="248"/>
      <c r="CV14" s="248"/>
    </row>
    <row r="15" spans="3:100" ht="9" customHeight="1">
      <c r="C15" s="183"/>
      <c r="D15" s="183"/>
      <c r="E15" s="183"/>
      <c r="F15" s="183"/>
      <c r="G15" s="183"/>
      <c r="H15" s="184"/>
      <c r="I15" s="184"/>
      <c r="J15" s="184"/>
      <c r="K15" s="184"/>
      <c r="L15" s="184"/>
      <c r="M15" s="184"/>
      <c r="N15" s="184"/>
      <c r="O15" s="184"/>
      <c r="P15" s="184"/>
      <c r="Q15" s="184"/>
      <c r="R15" s="183"/>
      <c r="S15" s="183"/>
      <c r="T15" s="183"/>
      <c r="U15" s="183"/>
      <c r="V15" s="183"/>
      <c r="W15" s="184"/>
      <c r="X15" s="184"/>
      <c r="Y15" s="184"/>
      <c r="Z15" s="184"/>
      <c r="AA15" s="184"/>
      <c r="AB15" s="184"/>
      <c r="AC15" s="184"/>
      <c r="AD15" s="184"/>
      <c r="AE15" s="184"/>
      <c r="AF15" s="184"/>
      <c r="AG15" s="183"/>
      <c r="AH15" s="183"/>
      <c r="AI15" s="183"/>
      <c r="AJ15" s="183"/>
      <c r="AK15" s="185"/>
      <c r="AL15" s="185"/>
      <c r="AM15" s="185"/>
      <c r="AN15" s="185"/>
      <c r="AO15" s="185"/>
      <c r="AP15" s="185"/>
      <c r="AQ15" s="185"/>
      <c r="AR15" s="185"/>
      <c r="AS15" s="185"/>
      <c r="AT15" s="185"/>
      <c r="AU15" s="176"/>
      <c r="AX15" s="732" t="s">
        <v>261</v>
      </c>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1">
        <f>IF(BY$9="","",'Design (1)'!M23)</f>
      </c>
      <c r="BZ15" s="731"/>
      <c r="CA15" s="731"/>
      <c r="CB15" s="731"/>
      <c r="CC15" s="731"/>
      <c r="CD15" s="731"/>
      <c r="CE15" s="731">
        <f>IF(CE$9="","",'Design (2)'!M23)</f>
      </c>
      <c r="CF15" s="731"/>
      <c r="CG15" s="731"/>
      <c r="CH15" s="731"/>
      <c r="CI15" s="731"/>
      <c r="CJ15" s="731"/>
      <c r="CK15" s="248"/>
      <c r="CL15" s="248"/>
      <c r="CM15" s="248"/>
      <c r="CN15" s="248"/>
      <c r="CO15" s="248"/>
      <c r="CP15" s="248"/>
      <c r="CQ15" s="248"/>
      <c r="CR15" s="248"/>
      <c r="CS15" s="248"/>
      <c r="CT15" s="248"/>
      <c r="CU15" s="248"/>
      <c r="CV15" s="248"/>
    </row>
    <row r="16" spans="3:100" ht="9" customHeight="1">
      <c r="C16" s="430"/>
      <c r="D16" s="431"/>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117"/>
      <c r="AR16" s="117"/>
      <c r="AS16" s="117"/>
      <c r="AT16" s="117"/>
      <c r="AU16" s="26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2"/>
      <c r="BT16" s="732"/>
      <c r="BU16" s="732"/>
      <c r="BV16" s="732"/>
      <c r="BW16" s="732"/>
      <c r="BX16" s="732"/>
      <c r="BY16" s="731"/>
      <c r="BZ16" s="731"/>
      <c r="CA16" s="731"/>
      <c r="CB16" s="731"/>
      <c r="CC16" s="731"/>
      <c r="CD16" s="731"/>
      <c r="CE16" s="731"/>
      <c r="CF16" s="731"/>
      <c r="CG16" s="731"/>
      <c r="CH16" s="731"/>
      <c r="CI16" s="731"/>
      <c r="CJ16" s="731"/>
      <c r="CK16" s="248"/>
      <c r="CL16" s="248"/>
      <c r="CM16" s="248"/>
      <c r="CN16" s="248"/>
      <c r="CO16" s="248"/>
      <c r="CP16" s="248"/>
      <c r="CQ16" s="248"/>
      <c r="CR16" s="248"/>
      <c r="CS16" s="248"/>
      <c r="CT16" s="248"/>
      <c r="CU16" s="248"/>
      <c r="CV16" s="248"/>
    </row>
    <row r="17" spans="3:100" ht="9" customHeight="1">
      <c r="C17" s="428"/>
      <c r="D17" s="806" t="s">
        <v>308</v>
      </c>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429"/>
      <c r="AQ17" s="425"/>
      <c r="AR17" s="422"/>
      <c r="AS17" s="422"/>
      <c r="AT17" s="422"/>
      <c r="AU17" s="262"/>
      <c r="AX17" s="736" t="s">
        <v>333</v>
      </c>
      <c r="AY17" s="803"/>
      <c r="AZ17" s="803"/>
      <c r="BA17" s="803"/>
      <c r="BB17" s="803"/>
      <c r="BC17" s="616"/>
      <c r="BD17" s="616"/>
      <c r="BE17" s="616"/>
      <c r="BF17" s="616"/>
      <c r="BG17" s="711" t="s">
        <v>179</v>
      </c>
      <c r="BH17" s="733">
        <f>'Design (1)'!M24</f>
        <v>10</v>
      </c>
      <c r="BI17" s="733"/>
      <c r="BJ17" s="744" t="s">
        <v>209</v>
      </c>
      <c r="BK17" s="739"/>
      <c r="BL17" s="737"/>
      <c r="BM17" s="737"/>
      <c r="BN17" s="737"/>
      <c r="BO17" s="737"/>
      <c r="BP17" s="737"/>
      <c r="BQ17" s="737"/>
      <c r="BR17" s="737"/>
      <c r="BS17" s="250"/>
      <c r="BT17" s="250"/>
      <c r="BU17" s="250"/>
      <c r="BV17" s="250"/>
      <c r="BW17" s="250"/>
      <c r="BX17" s="251"/>
      <c r="BY17" s="731">
        <f>IF(BY$9="","",'Design (1)'!P)</f>
      </c>
      <c r="BZ17" s="731"/>
      <c r="CA17" s="731"/>
      <c r="CB17" s="731"/>
      <c r="CC17" s="731"/>
      <c r="CD17" s="731"/>
      <c r="CE17" s="731">
        <f>IF(CE$9="","",'Design (2)'!P)</f>
      </c>
      <c r="CF17" s="731"/>
      <c r="CG17" s="731"/>
      <c r="CH17" s="731"/>
      <c r="CI17" s="731"/>
      <c r="CJ17" s="731"/>
      <c r="CK17" s="248"/>
      <c r="CL17" s="248"/>
      <c r="CM17" s="248"/>
      <c r="CN17" s="248"/>
      <c r="CO17" s="248"/>
      <c r="CP17" s="248"/>
      <c r="CQ17" s="248"/>
      <c r="CR17" s="248"/>
      <c r="CS17" s="248"/>
      <c r="CT17" s="248"/>
      <c r="CU17" s="248"/>
      <c r="CV17" s="248"/>
    </row>
    <row r="18" spans="3:100" ht="9" customHeight="1">
      <c r="C18" s="205"/>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423"/>
      <c r="AQ18" s="425"/>
      <c r="AR18" s="422"/>
      <c r="AS18" s="422"/>
      <c r="AT18" s="422"/>
      <c r="AU18" s="262"/>
      <c r="AX18" s="840"/>
      <c r="AY18" s="503"/>
      <c r="AZ18" s="503"/>
      <c r="BA18" s="503"/>
      <c r="BB18" s="503"/>
      <c r="BC18" s="577"/>
      <c r="BD18" s="577"/>
      <c r="BE18" s="577"/>
      <c r="BF18" s="577"/>
      <c r="BG18" s="735"/>
      <c r="BH18" s="734"/>
      <c r="BI18" s="734"/>
      <c r="BJ18" s="741"/>
      <c r="BK18" s="741"/>
      <c r="BL18" s="576"/>
      <c r="BM18" s="576"/>
      <c r="BN18" s="576"/>
      <c r="BO18" s="576"/>
      <c r="BP18" s="576"/>
      <c r="BQ18" s="576"/>
      <c r="BR18" s="576"/>
      <c r="BS18" s="252"/>
      <c r="BT18" s="252"/>
      <c r="BU18" s="252"/>
      <c r="BV18" s="252"/>
      <c r="BW18" s="252"/>
      <c r="BX18" s="253"/>
      <c r="BY18" s="731"/>
      <c r="BZ18" s="731"/>
      <c r="CA18" s="731"/>
      <c r="CB18" s="731"/>
      <c r="CC18" s="731"/>
      <c r="CD18" s="731"/>
      <c r="CE18" s="731"/>
      <c r="CF18" s="731"/>
      <c r="CG18" s="731"/>
      <c r="CH18" s="731"/>
      <c r="CI18" s="731"/>
      <c r="CJ18" s="731"/>
      <c r="CK18" s="248"/>
      <c r="CL18" s="248"/>
      <c r="CM18" s="248"/>
      <c r="CN18" s="248"/>
      <c r="CO18" s="248"/>
      <c r="CP18" s="248"/>
      <c r="CQ18" s="248"/>
      <c r="CR18" s="248"/>
      <c r="CS18" s="248"/>
      <c r="CT18" s="248"/>
      <c r="CU18" s="248"/>
      <c r="CV18" s="248"/>
    </row>
    <row r="19" spans="3:100" ht="9" customHeight="1">
      <c r="C19" s="205"/>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8"/>
      <c r="AP19" s="423"/>
      <c r="AQ19" s="425"/>
      <c r="AR19" s="422"/>
      <c r="AS19" s="422"/>
      <c r="AT19" s="422"/>
      <c r="AU19" s="262"/>
      <c r="AX19" s="736" t="s">
        <v>325</v>
      </c>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737"/>
      <c r="BV19" s="737"/>
      <c r="BW19" s="737"/>
      <c r="BX19" s="737"/>
      <c r="BY19" s="731">
        <f>IF(BY$9="","",'Design (1)'!H29)</f>
      </c>
      <c r="BZ19" s="731"/>
      <c r="CA19" s="731"/>
      <c r="CB19" s="731"/>
      <c r="CC19" s="731"/>
      <c r="CD19" s="731"/>
      <c r="CE19" s="731">
        <f>IF(CE$9="","",'Design (2)'!H29)</f>
      </c>
      <c r="CF19" s="731"/>
      <c r="CG19" s="731"/>
      <c r="CH19" s="731"/>
      <c r="CI19" s="731"/>
      <c r="CJ19" s="731"/>
      <c r="CK19" s="248"/>
      <c r="CL19" s="248"/>
      <c r="CM19" s="248"/>
      <c r="CN19" s="248"/>
      <c r="CO19" s="248"/>
      <c r="CP19" s="248"/>
      <c r="CQ19" s="248"/>
      <c r="CR19" s="248"/>
      <c r="CS19" s="248"/>
      <c r="CT19" s="248"/>
      <c r="CU19" s="248"/>
      <c r="CV19" s="248"/>
    </row>
    <row r="20" spans="3:100" ht="9" customHeight="1">
      <c r="C20" s="206"/>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424"/>
      <c r="AQ20" s="426"/>
      <c r="AR20" s="427"/>
      <c r="AS20" s="427"/>
      <c r="AT20" s="427"/>
      <c r="AU20" s="262"/>
      <c r="AX20" s="738"/>
      <c r="AY20" s="576"/>
      <c r="AZ20" s="576"/>
      <c r="BA20" s="576"/>
      <c r="BB20" s="576"/>
      <c r="BC20" s="576"/>
      <c r="BD20" s="576"/>
      <c r="BE20" s="576"/>
      <c r="BF20" s="576"/>
      <c r="BG20" s="576"/>
      <c r="BH20" s="576"/>
      <c r="BI20" s="576"/>
      <c r="BJ20" s="576"/>
      <c r="BK20" s="576"/>
      <c r="BL20" s="576"/>
      <c r="BM20" s="576"/>
      <c r="BN20" s="576"/>
      <c r="BO20" s="576"/>
      <c r="BP20" s="576"/>
      <c r="BQ20" s="576"/>
      <c r="BR20" s="576"/>
      <c r="BS20" s="576"/>
      <c r="BT20" s="576"/>
      <c r="BU20" s="576"/>
      <c r="BV20" s="576"/>
      <c r="BW20" s="576"/>
      <c r="BX20" s="576"/>
      <c r="BY20" s="731"/>
      <c r="BZ20" s="731"/>
      <c r="CA20" s="731"/>
      <c r="CB20" s="731"/>
      <c r="CC20" s="731"/>
      <c r="CD20" s="731"/>
      <c r="CE20" s="731"/>
      <c r="CF20" s="731"/>
      <c r="CG20" s="731"/>
      <c r="CH20" s="731"/>
      <c r="CI20" s="731"/>
      <c r="CJ20" s="731"/>
      <c r="CK20" s="248"/>
      <c r="CL20" s="248"/>
      <c r="CM20" s="248"/>
      <c r="CN20" s="248"/>
      <c r="CO20" s="248"/>
      <c r="CP20" s="248"/>
      <c r="CQ20" s="248"/>
      <c r="CR20" s="248"/>
      <c r="CS20" s="248"/>
      <c r="CT20" s="248"/>
      <c r="CU20" s="248"/>
      <c r="CV20" s="248"/>
    </row>
    <row r="21" spans="3:100" ht="9" customHeight="1">
      <c r="C21" s="258"/>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117"/>
      <c r="AR21" s="117"/>
      <c r="AS21" s="117"/>
      <c r="AT21" s="117"/>
      <c r="AU21" s="262"/>
      <c r="AX21" s="732" t="s">
        <v>326</v>
      </c>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1">
        <f>IF(BY$9="","",'Design (1)'!H30)</f>
      </c>
      <c r="BZ21" s="731"/>
      <c r="CA21" s="731"/>
      <c r="CB21" s="731"/>
      <c r="CC21" s="731"/>
      <c r="CD21" s="731"/>
      <c r="CE21" s="731">
        <f>IF(CE$9="","",'Design (2)'!H30)</f>
      </c>
      <c r="CF21" s="731"/>
      <c r="CG21" s="731"/>
      <c r="CH21" s="731"/>
      <c r="CI21" s="731"/>
      <c r="CJ21" s="731"/>
      <c r="CK21" s="248"/>
      <c r="CL21" s="248"/>
      <c r="CM21" s="248"/>
      <c r="CN21" s="248"/>
      <c r="CO21" s="248"/>
      <c r="CP21" s="248"/>
      <c r="CQ21" s="248"/>
      <c r="CR21" s="248"/>
      <c r="CS21" s="248"/>
      <c r="CT21" s="248"/>
      <c r="CU21" s="248"/>
      <c r="CV21" s="248"/>
    </row>
    <row r="22" spans="3:100" ht="9" customHeight="1">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1"/>
      <c r="BZ22" s="731"/>
      <c r="CA22" s="731"/>
      <c r="CB22" s="731"/>
      <c r="CC22" s="731"/>
      <c r="CD22" s="731"/>
      <c r="CE22" s="731"/>
      <c r="CF22" s="731"/>
      <c r="CG22" s="731"/>
      <c r="CH22" s="731"/>
      <c r="CI22" s="731"/>
      <c r="CJ22" s="731"/>
      <c r="CK22" s="248"/>
      <c r="CL22" s="248"/>
      <c r="CM22" s="248"/>
      <c r="CN22" s="248"/>
      <c r="CO22" s="248"/>
      <c r="CP22" s="248"/>
      <c r="CQ22" s="248"/>
      <c r="CR22" s="248"/>
      <c r="CS22" s="248"/>
      <c r="CT22" s="248"/>
      <c r="CU22" s="248"/>
      <c r="CV22" s="248"/>
    </row>
    <row r="23" spans="3:100" ht="9" customHeight="1">
      <c r="C23" s="186"/>
      <c r="D23" s="187"/>
      <c r="E23" s="187"/>
      <c r="F23" s="187"/>
      <c r="G23" s="187"/>
      <c r="H23" s="187"/>
      <c r="I23" s="187"/>
      <c r="J23" s="187"/>
      <c r="K23" s="187"/>
      <c r="L23" s="187"/>
      <c r="M23" s="187"/>
      <c r="N23" s="187"/>
      <c r="O23" s="187"/>
      <c r="P23" s="187"/>
      <c r="Q23" s="187"/>
      <c r="R23" s="187"/>
      <c r="S23" s="187"/>
      <c r="T23" s="187"/>
      <c r="U23" s="187"/>
      <c r="V23" s="187"/>
      <c r="W23" s="286"/>
      <c r="X23" s="187"/>
      <c r="Y23" s="187"/>
      <c r="Z23" s="187"/>
      <c r="AA23" s="187"/>
      <c r="AB23" s="187"/>
      <c r="AC23" s="187"/>
      <c r="AD23" s="187"/>
      <c r="AE23" s="187"/>
      <c r="AF23" s="187"/>
      <c r="AG23" s="187"/>
      <c r="AH23" s="187"/>
      <c r="AI23" s="187"/>
      <c r="AJ23" s="187"/>
      <c r="AK23" s="187"/>
      <c r="AL23" s="187"/>
      <c r="AM23" s="187"/>
      <c r="AN23" s="187"/>
      <c r="AO23" s="187"/>
      <c r="AP23" s="188"/>
      <c r="AU23" s="176"/>
      <c r="AX23" s="732" t="s">
        <v>274</v>
      </c>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1">
        <f>IF(BY$9="","",'Design (1)'!H31)</f>
      </c>
      <c r="BZ23" s="731"/>
      <c r="CA23" s="731"/>
      <c r="CB23" s="731"/>
      <c r="CC23" s="731"/>
      <c r="CD23" s="731"/>
      <c r="CE23" s="731">
        <f>IF(CE$9="","",'Design (2)'!H31)</f>
      </c>
      <c r="CF23" s="731"/>
      <c r="CG23" s="731"/>
      <c r="CH23" s="731"/>
      <c r="CI23" s="731"/>
      <c r="CJ23" s="731"/>
      <c r="CK23" s="248"/>
      <c r="CL23" s="248"/>
      <c r="CM23" s="248"/>
      <c r="CN23" s="248"/>
      <c r="CO23" s="248"/>
      <c r="CP23" s="248"/>
      <c r="CQ23" s="248"/>
      <c r="CR23" s="248"/>
      <c r="CS23" s="248"/>
      <c r="CT23" s="248"/>
      <c r="CU23" s="248"/>
      <c r="CV23" s="248"/>
    </row>
    <row r="24" spans="3:117" ht="9" customHeight="1">
      <c r="C24" s="189"/>
      <c r="D24" s="190"/>
      <c r="E24" s="190"/>
      <c r="F24" s="190"/>
      <c r="G24" s="190"/>
      <c r="H24" s="190"/>
      <c r="I24" s="190"/>
      <c r="J24" s="190"/>
      <c r="K24" s="190"/>
      <c r="L24" s="190"/>
      <c r="M24" s="190"/>
      <c r="N24" s="190"/>
      <c r="O24" s="190"/>
      <c r="P24" s="190"/>
      <c r="Q24" s="190"/>
      <c r="R24" s="190"/>
      <c r="S24" s="190"/>
      <c r="T24" s="190"/>
      <c r="U24" s="190"/>
      <c r="V24" s="190"/>
      <c r="W24" s="287"/>
      <c r="X24" s="190"/>
      <c r="Y24" s="190"/>
      <c r="Z24" s="190"/>
      <c r="AA24" s="190"/>
      <c r="AB24" s="190"/>
      <c r="AC24" s="190"/>
      <c r="AD24" s="190"/>
      <c r="AE24" s="190"/>
      <c r="AF24" s="190"/>
      <c r="AG24" s="190"/>
      <c r="AH24" s="190"/>
      <c r="AI24" s="190"/>
      <c r="AJ24" s="190"/>
      <c r="AK24" s="190"/>
      <c r="AL24" s="190"/>
      <c r="AM24" s="190"/>
      <c r="AN24" s="190"/>
      <c r="AO24" s="190"/>
      <c r="AP24" s="191"/>
      <c r="AU24" s="176"/>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1"/>
      <c r="BZ24" s="731"/>
      <c r="CA24" s="731"/>
      <c r="CB24" s="731"/>
      <c r="CC24" s="731"/>
      <c r="CD24" s="731"/>
      <c r="CE24" s="731"/>
      <c r="CF24" s="731"/>
      <c r="CG24" s="731"/>
      <c r="CH24" s="731"/>
      <c r="CI24" s="731"/>
      <c r="CJ24" s="731"/>
      <c r="CK24" s="248"/>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row>
    <row r="25" spans="3:117" ht="9" customHeight="1">
      <c r="C25" s="189"/>
      <c r="D25" s="190"/>
      <c r="E25" s="190"/>
      <c r="F25" s="190"/>
      <c r="G25" s="190"/>
      <c r="H25" s="190"/>
      <c r="I25" s="190"/>
      <c r="J25" s="190"/>
      <c r="K25" s="190"/>
      <c r="L25" s="190"/>
      <c r="M25" s="190"/>
      <c r="N25" s="190"/>
      <c r="O25" s="190"/>
      <c r="P25" s="190"/>
      <c r="Q25" s="190"/>
      <c r="R25" s="190"/>
      <c r="S25" s="190"/>
      <c r="T25" s="190"/>
      <c r="U25" s="190"/>
      <c r="V25" s="190"/>
      <c r="W25" s="287"/>
      <c r="X25" s="190"/>
      <c r="Y25" s="190"/>
      <c r="Z25" s="190"/>
      <c r="AA25" s="190"/>
      <c r="AB25" s="190"/>
      <c r="AC25" s="190"/>
      <c r="AD25" s="190"/>
      <c r="AE25" s="190"/>
      <c r="AF25" s="190"/>
      <c r="AG25" s="190"/>
      <c r="AH25" s="190"/>
      <c r="AI25" s="190"/>
      <c r="AJ25" s="190"/>
      <c r="AK25" s="190"/>
      <c r="AL25" s="190"/>
      <c r="AM25" s="190"/>
      <c r="AN25" s="190"/>
      <c r="AO25" s="190"/>
      <c r="AP25" s="191"/>
      <c r="AU25" s="176"/>
      <c r="AX25" s="732" t="s">
        <v>414</v>
      </c>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14">
        <f>IF(BY$9="","",'Design (1)'!P44)</f>
      </c>
      <c r="BZ25" s="714"/>
      <c r="CA25" s="714"/>
      <c r="CB25" s="714"/>
      <c r="CC25" s="714"/>
      <c r="CD25" s="714"/>
      <c r="CE25" s="714">
        <f>IF(CE$9="","",'Design (2)'!P44)</f>
      </c>
      <c r="CF25" s="714"/>
      <c r="CG25" s="714"/>
      <c r="CH25" s="714"/>
      <c r="CI25" s="714"/>
      <c r="CJ25" s="714"/>
      <c r="CK25" s="437"/>
      <c r="CL25" s="581" t="s">
        <v>413</v>
      </c>
      <c r="CM25" s="564"/>
      <c r="CN25" s="564"/>
      <c r="CO25" s="564"/>
      <c r="CP25" s="564"/>
      <c r="CQ25" s="564"/>
      <c r="CR25" s="564"/>
      <c r="CS25" s="564"/>
      <c r="CT25" s="564"/>
      <c r="CU25" s="564"/>
      <c r="CV25" s="564"/>
      <c r="CW25" s="233"/>
      <c r="CX25" s="478"/>
      <c r="CY25" s="233"/>
      <c r="CZ25" s="233"/>
      <c r="DL25" s="233"/>
      <c r="DM25" s="233"/>
    </row>
    <row r="26" spans="3:117" ht="9" customHeight="1">
      <c r="C26" s="189"/>
      <c r="D26" s="190"/>
      <c r="E26" s="190"/>
      <c r="F26" s="190"/>
      <c r="G26" s="190"/>
      <c r="H26" s="190"/>
      <c r="I26" s="190"/>
      <c r="J26" s="190"/>
      <c r="K26" s="190"/>
      <c r="L26" s="190"/>
      <c r="M26" s="190"/>
      <c r="N26" s="190"/>
      <c r="O26" s="190"/>
      <c r="P26" s="190"/>
      <c r="Q26" s="190"/>
      <c r="R26" s="190"/>
      <c r="S26" s="190"/>
      <c r="T26" s="190"/>
      <c r="U26" s="190"/>
      <c r="V26" s="190"/>
      <c r="W26" s="287"/>
      <c r="X26" s="190"/>
      <c r="Y26" s="190"/>
      <c r="Z26" s="190"/>
      <c r="AA26" s="190"/>
      <c r="AB26" s="190"/>
      <c r="AC26" s="190"/>
      <c r="AD26" s="190"/>
      <c r="AE26" s="190"/>
      <c r="AF26" s="190"/>
      <c r="AG26" s="190"/>
      <c r="AH26" s="190"/>
      <c r="AI26" s="190"/>
      <c r="AJ26" s="190"/>
      <c r="AK26" s="190"/>
      <c r="AL26" s="190"/>
      <c r="AM26" s="190"/>
      <c r="AN26" s="190"/>
      <c r="AO26" s="190"/>
      <c r="AP26" s="191"/>
      <c r="AU26" s="176"/>
      <c r="AX26" s="732"/>
      <c r="AY26" s="732"/>
      <c r="AZ26" s="732"/>
      <c r="BA26" s="732"/>
      <c r="BB26" s="732"/>
      <c r="BC26" s="732"/>
      <c r="BD26" s="732"/>
      <c r="BE26" s="732"/>
      <c r="BF26" s="732"/>
      <c r="BG26" s="732"/>
      <c r="BH26" s="732"/>
      <c r="BI26" s="732"/>
      <c r="BJ26" s="732"/>
      <c r="BK26" s="732"/>
      <c r="BL26" s="732"/>
      <c r="BM26" s="732"/>
      <c r="BN26" s="732"/>
      <c r="BO26" s="732"/>
      <c r="BP26" s="732"/>
      <c r="BQ26" s="732"/>
      <c r="BR26" s="732"/>
      <c r="BS26" s="732"/>
      <c r="BT26" s="732"/>
      <c r="BU26" s="732"/>
      <c r="BV26" s="732"/>
      <c r="BW26" s="732"/>
      <c r="BX26" s="732"/>
      <c r="BY26" s="714"/>
      <c r="BZ26" s="714"/>
      <c r="CA26" s="714"/>
      <c r="CB26" s="714"/>
      <c r="CC26" s="714"/>
      <c r="CD26" s="714"/>
      <c r="CE26" s="714"/>
      <c r="CF26" s="714"/>
      <c r="CG26" s="714"/>
      <c r="CH26" s="714"/>
      <c r="CI26" s="714"/>
      <c r="CJ26" s="714"/>
      <c r="CK26" s="437"/>
      <c r="CL26" s="564"/>
      <c r="CM26" s="564"/>
      <c r="CN26" s="564"/>
      <c r="CO26" s="564"/>
      <c r="CP26" s="564"/>
      <c r="CQ26" s="564"/>
      <c r="CR26" s="564"/>
      <c r="CS26" s="564"/>
      <c r="CT26" s="564"/>
      <c r="CU26" s="564"/>
      <c r="CV26" s="564"/>
      <c r="CW26" s="233"/>
      <c r="CX26" s="478"/>
      <c r="CY26" s="233"/>
      <c r="CZ26" s="233"/>
      <c r="DL26" s="233"/>
      <c r="DM26" s="233"/>
    </row>
    <row r="27" spans="3:117" ht="9" customHeight="1">
      <c r="C27" s="189"/>
      <c r="D27" s="190"/>
      <c r="E27" s="190"/>
      <c r="F27" s="190"/>
      <c r="G27" s="190"/>
      <c r="H27" s="190"/>
      <c r="I27" s="190"/>
      <c r="J27" s="190"/>
      <c r="K27" s="190"/>
      <c r="L27" s="190"/>
      <c r="M27" s="190"/>
      <c r="N27" s="190"/>
      <c r="O27" s="190"/>
      <c r="P27" s="190"/>
      <c r="Q27" s="190"/>
      <c r="R27" s="190"/>
      <c r="S27" s="190"/>
      <c r="T27" s="190"/>
      <c r="U27" s="190"/>
      <c r="V27" s="190"/>
      <c r="W27" s="287"/>
      <c r="X27" s="190"/>
      <c r="Y27" s="190"/>
      <c r="Z27" s="190"/>
      <c r="AA27" s="190"/>
      <c r="AB27" s="190"/>
      <c r="AC27" s="190"/>
      <c r="AD27" s="190"/>
      <c r="AE27" s="190"/>
      <c r="AF27" s="190"/>
      <c r="AG27" s="190"/>
      <c r="AH27" s="190"/>
      <c r="AI27" s="190"/>
      <c r="AJ27" s="190"/>
      <c r="AK27" s="190"/>
      <c r="AL27" s="190"/>
      <c r="AM27" s="190"/>
      <c r="AN27" s="190"/>
      <c r="AO27" s="190"/>
      <c r="AP27" s="191"/>
      <c r="AU27" s="176"/>
      <c r="AX27" s="736" t="s">
        <v>305</v>
      </c>
      <c r="AY27" s="637"/>
      <c r="AZ27" s="637"/>
      <c r="BA27" s="637"/>
      <c r="BB27" s="637"/>
      <c r="BC27" s="637"/>
      <c r="BD27" s="637"/>
      <c r="BE27" s="637"/>
      <c r="BF27" s="637"/>
      <c r="BG27" s="637"/>
      <c r="BH27" s="637"/>
      <c r="BI27" s="637"/>
      <c r="BJ27" s="637"/>
      <c r="BK27" s="637"/>
      <c r="BL27" s="637"/>
      <c r="BM27" s="637"/>
      <c r="BN27" s="637"/>
      <c r="BO27" s="637"/>
      <c r="BP27" s="637"/>
      <c r="BQ27" s="637"/>
      <c r="BR27" s="637"/>
      <c r="BS27" s="637"/>
      <c r="BT27" s="637"/>
      <c r="BU27" s="637"/>
      <c r="BV27" s="637"/>
      <c r="BW27" s="637"/>
      <c r="BX27" s="638"/>
      <c r="BY27" s="731">
        <f>IF(BY$9="","",'Design (1)'!P30)</f>
      </c>
      <c r="BZ27" s="731"/>
      <c r="CA27" s="731"/>
      <c r="CB27" s="731"/>
      <c r="CC27" s="731"/>
      <c r="CD27" s="731"/>
      <c r="CE27" s="731">
        <f>IF(CE$9="","",'Design (2)'!P30)</f>
      </c>
      <c r="CF27" s="731"/>
      <c r="CG27" s="731"/>
      <c r="CH27" s="731"/>
      <c r="CI27" s="731"/>
      <c r="CJ27" s="731"/>
      <c r="CK27" s="437"/>
      <c r="CL27" s="233"/>
      <c r="CM27" s="580" t="s">
        <v>416</v>
      </c>
      <c r="CN27" s="580"/>
      <c r="CO27" s="580"/>
      <c r="CP27" s="580"/>
      <c r="CQ27" s="580"/>
      <c r="CR27" s="233"/>
      <c r="CS27" s="233"/>
      <c r="CT27" s="233"/>
      <c r="CU27" s="233"/>
      <c r="CV27" s="233"/>
      <c r="CW27" s="233"/>
      <c r="CX27" s="233"/>
      <c r="CY27" s="233"/>
      <c r="CZ27" s="233"/>
      <c r="DA27" s="486"/>
      <c r="DB27" s="486"/>
      <c r="DC27" s="486"/>
      <c r="DD27" s="486"/>
      <c r="DE27" s="486"/>
      <c r="DF27" s="486"/>
      <c r="DG27" s="486"/>
      <c r="DH27" s="486"/>
      <c r="DI27" s="486"/>
      <c r="DJ27" s="486"/>
      <c r="DK27" s="486"/>
      <c r="DL27" s="233"/>
      <c r="DM27" s="233"/>
    </row>
    <row r="28" spans="3:117" ht="9" customHeight="1">
      <c r="C28" s="189"/>
      <c r="D28" s="190"/>
      <c r="E28" s="190"/>
      <c r="F28" s="190"/>
      <c r="G28" s="190"/>
      <c r="H28" s="190"/>
      <c r="I28" s="190"/>
      <c r="J28" s="190"/>
      <c r="K28" s="190"/>
      <c r="L28" s="190"/>
      <c r="M28" s="190"/>
      <c r="N28" s="190"/>
      <c r="O28" s="190"/>
      <c r="P28" s="190"/>
      <c r="Q28" s="190"/>
      <c r="R28" s="190"/>
      <c r="S28" s="190"/>
      <c r="T28" s="190"/>
      <c r="U28" s="190"/>
      <c r="V28" s="190"/>
      <c r="W28" s="287"/>
      <c r="X28" s="190"/>
      <c r="Y28" s="190"/>
      <c r="Z28" s="190"/>
      <c r="AA28" s="190"/>
      <c r="AB28" s="190"/>
      <c r="AC28" s="190"/>
      <c r="AD28" s="190"/>
      <c r="AE28" s="190"/>
      <c r="AF28" s="190"/>
      <c r="AG28" s="190"/>
      <c r="AH28" s="190"/>
      <c r="AI28" s="190"/>
      <c r="AJ28" s="190"/>
      <c r="AK28" s="190"/>
      <c r="AL28" s="190"/>
      <c r="AM28" s="190"/>
      <c r="AN28" s="190"/>
      <c r="AO28" s="190"/>
      <c r="AP28" s="191"/>
      <c r="AU28" s="176"/>
      <c r="AX28" s="756"/>
      <c r="AY28" s="639"/>
      <c r="AZ28" s="639"/>
      <c r="BA28" s="639"/>
      <c r="BB28" s="639"/>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40"/>
      <c r="BY28" s="731"/>
      <c r="BZ28" s="731"/>
      <c r="CA28" s="731"/>
      <c r="CB28" s="731"/>
      <c r="CC28" s="731"/>
      <c r="CD28" s="731"/>
      <c r="CE28" s="731"/>
      <c r="CF28" s="731"/>
      <c r="CG28" s="731"/>
      <c r="CH28" s="731"/>
      <c r="CI28" s="731"/>
      <c r="CJ28" s="731"/>
      <c r="CL28" s="233"/>
      <c r="CM28" s="580"/>
      <c r="CN28" s="580"/>
      <c r="CO28" s="580"/>
      <c r="CP28" s="580"/>
      <c r="CQ28" s="580"/>
      <c r="CR28" s="233"/>
      <c r="CS28" s="233"/>
      <c r="CT28" s="233"/>
      <c r="CU28" s="233"/>
      <c r="CV28" s="233"/>
      <c r="CW28" s="233"/>
      <c r="CX28" s="233"/>
      <c r="CY28" s="233"/>
      <c r="CZ28" s="233"/>
      <c r="DA28" s="486"/>
      <c r="DB28" s="486"/>
      <c r="DC28" s="486"/>
      <c r="DD28" s="486"/>
      <c r="DE28" s="486"/>
      <c r="DF28" s="486"/>
      <c r="DG28" s="486"/>
      <c r="DH28" s="486"/>
      <c r="DI28" s="486"/>
      <c r="DJ28" s="486"/>
      <c r="DK28" s="486"/>
      <c r="DL28" s="233"/>
      <c r="DM28" s="233"/>
    </row>
    <row r="29" spans="3:117" ht="9" customHeight="1">
      <c r="C29" s="189"/>
      <c r="D29" s="190"/>
      <c r="E29" s="190"/>
      <c r="F29" s="190"/>
      <c r="G29" s="190"/>
      <c r="H29" s="190"/>
      <c r="I29" s="190"/>
      <c r="J29" s="190"/>
      <c r="K29" s="190"/>
      <c r="L29" s="190"/>
      <c r="M29" s="190"/>
      <c r="N29" s="190"/>
      <c r="O29" s="190"/>
      <c r="P29" s="190"/>
      <c r="Q29" s="190"/>
      <c r="R29" s="190"/>
      <c r="S29" s="190"/>
      <c r="T29" s="190"/>
      <c r="U29" s="190"/>
      <c r="V29" s="190"/>
      <c r="W29" s="287"/>
      <c r="X29" s="190"/>
      <c r="Y29" s="190"/>
      <c r="Z29" s="190"/>
      <c r="AA29" s="190"/>
      <c r="AB29" s="190"/>
      <c r="AC29" s="190"/>
      <c r="AD29" s="190"/>
      <c r="AE29" s="190"/>
      <c r="AF29" s="190"/>
      <c r="AG29" s="190"/>
      <c r="AH29" s="190"/>
      <c r="AI29" s="190"/>
      <c r="AJ29" s="190"/>
      <c r="AK29" s="190"/>
      <c r="AL29" s="190"/>
      <c r="AM29" s="190"/>
      <c r="AN29" s="190"/>
      <c r="AO29" s="190"/>
      <c r="AP29" s="191"/>
      <c r="AU29" s="176"/>
      <c r="AX29" s="832" t="s">
        <v>275</v>
      </c>
      <c r="AY29" s="739"/>
      <c r="AZ29" s="739"/>
      <c r="BA29" s="739"/>
      <c r="BB29" s="739"/>
      <c r="BC29" s="739"/>
      <c r="BD29" s="739"/>
      <c r="BE29" s="739"/>
      <c r="BF29" s="739"/>
      <c r="BG29" s="739"/>
      <c r="BH29" s="739"/>
      <c r="BI29" s="739"/>
      <c r="BJ29" s="739"/>
      <c r="BK29" s="739"/>
      <c r="BL29" s="739"/>
      <c r="BM29" s="739"/>
      <c r="BN29" s="739"/>
      <c r="BO29" s="739"/>
      <c r="BP29" s="739" t="s">
        <v>315</v>
      </c>
      <c r="BQ29" s="739"/>
      <c r="BR29" s="739"/>
      <c r="BS29" s="739"/>
      <c r="BT29" s="739"/>
      <c r="BU29" s="739"/>
      <c r="BV29" s="739"/>
      <c r="BW29" s="739"/>
      <c r="BX29" s="740"/>
      <c r="BY29" s="727">
        <f>IF(BY$9="","",'Design (1)'!SS1)</f>
      </c>
      <c r="BZ29" s="728"/>
      <c r="CA29" s="728"/>
      <c r="CB29" s="637" t="s">
        <v>136</v>
      </c>
      <c r="CC29" s="637"/>
      <c r="CD29" s="638"/>
      <c r="CE29" s="727">
        <f>IF(CE$9="","",'Design (2)'!SS1)</f>
      </c>
      <c r="CF29" s="728"/>
      <c r="CG29" s="728"/>
      <c r="CH29" s="637" t="s">
        <v>136</v>
      </c>
      <c r="CI29" s="637"/>
      <c r="CJ29" s="638"/>
      <c r="CL29" s="673" t="s">
        <v>223</v>
      </c>
      <c r="CM29" s="673"/>
      <c r="CN29" s="673"/>
      <c r="CO29" s="673"/>
      <c r="CP29" s="673"/>
      <c r="CQ29" s="673"/>
      <c r="CR29" s="673"/>
      <c r="CS29" s="673"/>
      <c r="CT29" s="673"/>
      <c r="CU29" s="673"/>
      <c r="CV29" s="673"/>
      <c r="CX29" s="233"/>
      <c r="CY29" s="233"/>
      <c r="CZ29" s="233"/>
      <c r="DA29" s="233"/>
      <c r="DG29" s="233"/>
      <c r="DH29" s="233"/>
      <c r="DI29" s="233"/>
      <c r="DJ29" s="233"/>
      <c r="DK29" s="233"/>
      <c r="DL29" s="233"/>
      <c r="DM29" s="233"/>
    </row>
    <row r="30" spans="3:117" ht="9" customHeight="1">
      <c r="C30" s="189"/>
      <c r="D30" s="190"/>
      <c r="E30" s="190"/>
      <c r="F30" s="190"/>
      <c r="G30" s="190"/>
      <c r="H30" s="190"/>
      <c r="I30" s="190"/>
      <c r="J30" s="190"/>
      <c r="K30" s="190"/>
      <c r="L30" s="190"/>
      <c r="M30" s="190"/>
      <c r="N30" s="190"/>
      <c r="O30" s="190"/>
      <c r="P30" s="190"/>
      <c r="Q30" s="190"/>
      <c r="R30" s="190"/>
      <c r="S30" s="190"/>
      <c r="T30" s="190"/>
      <c r="U30" s="190"/>
      <c r="V30" s="190"/>
      <c r="W30" s="287"/>
      <c r="X30" s="190"/>
      <c r="Y30" s="190"/>
      <c r="Z30" s="190"/>
      <c r="AA30" s="190"/>
      <c r="AB30" s="190"/>
      <c r="AC30" s="190"/>
      <c r="AD30" s="190"/>
      <c r="AE30" s="190"/>
      <c r="AF30" s="190"/>
      <c r="AG30" s="190"/>
      <c r="AH30" s="190"/>
      <c r="AI30" s="190"/>
      <c r="AJ30" s="190"/>
      <c r="AK30" s="190"/>
      <c r="AL30" s="190"/>
      <c r="AM30" s="190"/>
      <c r="AN30" s="190"/>
      <c r="AO30" s="190"/>
      <c r="AP30" s="191"/>
      <c r="AU30" s="176"/>
      <c r="AX30" s="833"/>
      <c r="AY30" s="834"/>
      <c r="AZ30" s="834"/>
      <c r="BA30" s="834"/>
      <c r="BB30" s="834"/>
      <c r="BC30" s="834"/>
      <c r="BD30" s="834"/>
      <c r="BE30" s="834"/>
      <c r="BF30" s="834"/>
      <c r="BG30" s="834"/>
      <c r="BH30" s="834"/>
      <c r="BI30" s="834"/>
      <c r="BJ30" s="834"/>
      <c r="BK30" s="834"/>
      <c r="BL30" s="834"/>
      <c r="BM30" s="834"/>
      <c r="BN30" s="834"/>
      <c r="BO30" s="834"/>
      <c r="BP30" s="741"/>
      <c r="BQ30" s="741"/>
      <c r="BR30" s="741"/>
      <c r="BS30" s="741"/>
      <c r="BT30" s="741"/>
      <c r="BU30" s="741"/>
      <c r="BV30" s="741"/>
      <c r="BW30" s="741"/>
      <c r="BX30" s="742"/>
      <c r="BY30" s="729"/>
      <c r="BZ30" s="730"/>
      <c r="CA30" s="730"/>
      <c r="CB30" s="639"/>
      <c r="CC30" s="639"/>
      <c r="CD30" s="640"/>
      <c r="CE30" s="729"/>
      <c r="CF30" s="730"/>
      <c r="CG30" s="730"/>
      <c r="CH30" s="639"/>
      <c r="CI30" s="639"/>
      <c r="CJ30" s="640"/>
      <c r="CL30" s="577"/>
      <c r="CM30" s="577"/>
      <c r="CN30" s="577"/>
      <c r="CO30" s="577"/>
      <c r="CP30" s="577"/>
      <c r="CQ30" s="577"/>
      <c r="CR30" s="577"/>
      <c r="CS30" s="577"/>
      <c r="CT30" s="577"/>
      <c r="CU30" s="577"/>
      <c r="CV30" s="577"/>
      <c r="CX30" s="233"/>
      <c r="CY30" s="233"/>
      <c r="CZ30" s="233"/>
      <c r="DA30" s="233"/>
      <c r="DG30" s="233"/>
      <c r="DH30" s="233"/>
      <c r="DI30" s="233"/>
      <c r="DJ30" s="233"/>
      <c r="DK30" s="233"/>
      <c r="DL30" s="233"/>
      <c r="DM30" s="233"/>
    </row>
    <row r="31" spans="3:117" ht="9" customHeight="1">
      <c r="C31" s="189"/>
      <c r="D31" s="190"/>
      <c r="E31" s="190"/>
      <c r="F31" s="190"/>
      <c r="G31" s="190"/>
      <c r="H31" s="190"/>
      <c r="I31" s="190"/>
      <c r="J31" s="190"/>
      <c r="K31" s="190"/>
      <c r="L31" s="190"/>
      <c r="M31" s="190"/>
      <c r="N31" s="190"/>
      <c r="O31" s="190"/>
      <c r="P31" s="190"/>
      <c r="Q31" s="190"/>
      <c r="R31" s="190"/>
      <c r="S31" s="190"/>
      <c r="T31" s="190"/>
      <c r="U31" s="190"/>
      <c r="V31" s="190"/>
      <c r="W31" s="287"/>
      <c r="X31" s="190"/>
      <c r="Y31" s="190"/>
      <c r="Z31" s="190"/>
      <c r="AA31" s="190"/>
      <c r="AB31" s="190"/>
      <c r="AC31" s="190"/>
      <c r="AD31" s="190"/>
      <c r="AE31" s="190"/>
      <c r="AF31" s="190"/>
      <c r="AG31" s="190"/>
      <c r="AH31" s="190"/>
      <c r="AI31" s="190"/>
      <c r="AJ31" s="190"/>
      <c r="AK31" s="190"/>
      <c r="AL31" s="190"/>
      <c r="AM31" s="190"/>
      <c r="AN31" s="190"/>
      <c r="AO31" s="190"/>
      <c r="AP31" s="191"/>
      <c r="AU31" s="176"/>
      <c r="AX31" s="265"/>
      <c r="AY31" s="266"/>
      <c r="AZ31" s="266"/>
      <c r="BA31" s="266"/>
      <c r="BB31" s="266"/>
      <c r="BC31" s="266"/>
      <c r="BD31" s="266"/>
      <c r="BE31" s="266"/>
      <c r="BF31" s="266"/>
      <c r="BG31" s="266"/>
      <c r="BH31" s="266"/>
      <c r="BI31" s="266"/>
      <c r="BJ31" s="266"/>
      <c r="BK31" s="266"/>
      <c r="BL31" s="266"/>
      <c r="BM31" s="266"/>
      <c r="BN31" s="266"/>
      <c r="BO31" s="266"/>
      <c r="BP31" s="739" t="s">
        <v>316</v>
      </c>
      <c r="BQ31" s="739"/>
      <c r="BR31" s="739"/>
      <c r="BS31" s="739"/>
      <c r="BT31" s="739"/>
      <c r="BU31" s="739"/>
      <c r="BV31" s="739"/>
      <c r="BW31" s="739"/>
      <c r="BX31" s="740"/>
      <c r="BY31" s="727">
        <f>IF(BY$9="","",'Design (1)'!SS2)</f>
      </c>
      <c r="BZ31" s="728"/>
      <c r="CA31" s="728"/>
      <c r="CB31" s="637" t="s">
        <v>136</v>
      </c>
      <c r="CC31" s="637"/>
      <c r="CD31" s="638"/>
      <c r="CE31" s="727">
        <f>IF(CE$9="","",'Design (2)'!SS2)</f>
      </c>
      <c r="CF31" s="728"/>
      <c r="CG31" s="728"/>
      <c r="CH31" s="637" t="s">
        <v>136</v>
      </c>
      <c r="CI31" s="637"/>
      <c r="CJ31" s="638"/>
      <c r="CM31" s="745" t="s">
        <v>185</v>
      </c>
      <c r="CN31" s="745"/>
      <c r="CO31" s="745"/>
      <c r="CP31" s="745"/>
      <c r="CQ31" s="745"/>
      <c r="CR31" s="745"/>
      <c r="CS31" s="745"/>
      <c r="CX31" s="233"/>
      <c r="CY31" s="233"/>
      <c r="CZ31" s="233"/>
      <c r="DA31" s="233"/>
      <c r="DB31" s="233"/>
      <c r="DC31" s="233"/>
      <c r="DD31" s="233"/>
      <c r="DE31" s="233"/>
      <c r="DF31" s="233"/>
      <c r="DG31" s="233"/>
      <c r="DH31" s="233"/>
      <c r="DI31" s="233"/>
      <c r="DJ31" s="233"/>
      <c r="DK31" s="233"/>
      <c r="DL31" s="233"/>
      <c r="DM31" s="233"/>
    </row>
    <row r="32" spans="3:117" ht="9" customHeight="1">
      <c r="C32" s="189"/>
      <c r="D32" s="190"/>
      <c r="E32" s="190"/>
      <c r="F32" s="190"/>
      <c r="G32" s="190"/>
      <c r="H32" s="190"/>
      <c r="I32" s="190"/>
      <c r="J32" s="190"/>
      <c r="K32" s="190"/>
      <c r="L32" s="190"/>
      <c r="M32" s="190"/>
      <c r="N32" s="190"/>
      <c r="O32" s="190"/>
      <c r="P32" s="190"/>
      <c r="Q32" s="190"/>
      <c r="R32" s="190"/>
      <c r="S32" s="190"/>
      <c r="T32" s="190"/>
      <c r="U32" s="190"/>
      <c r="V32" s="190"/>
      <c r="W32" s="287"/>
      <c r="X32" s="190"/>
      <c r="Y32" s="190"/>
      <c r="Z32" s="190"/>
      <c r="AA32" s="190"/>
      <c r="AB32" s="190"/>
      <c r="AC32" s="190"/>
      <c r="AD32" s="190"/>
      <c r="AE32" s="190"/>
      <c r="AF32" s="190"/>
      <c r="AG32" s="190"/>
      <c r="AH32" s="190"/>
      <c r="AI32" s="190"/>
      <c r="AJ32" s="190"/>
      <c r="AK32" s="190"/>
      <c r="AL32" s="190"/>
      <c r="AM32" s="190"/>
      <c r="AN32" s="190"/>
      <c r="AO32" s="190"/>
      <c r="AP32" s="191"/>
      <c r="AU32" s="176"/>
      <c r="AX32" s="265"/>
      <c r="AY32" s="266"/>
      <c r="AZ32" s="266"/>
      <c r="BA32" s="266"/>
      <c r="BB32" s="266"/>
      <c r="BC32" s="266"/>
      <c r="BD32" s="266"/>
      <c r="BE32" s="266"/>
      <c r="BF32" s="266"/>
      <c r="BG32" s="266"/>
      <c r="BH32" s="266"/>
      <c r="BI32" s="266"/>
      <c r="BJ32" s="266"/>
      <c r="BK32" s="266"/>
      <c r="BL32" s="266"/>
      <c r="BM32" s="266"/>
      <c r="BN32" s="266"/>
      <c r="BO32" s="266"/>
      <c r="BP32" s="741"/>
      <c r="BQ32" s="741"/>
      <c r="BR32" s="741"/>
      <c r="BS32" s="741"/>
      <c r="BT32" s="741"/>
      <c r="BU32" s="741"/>
      <c r="BV32" s="741"/>
      <c r="BW32" s="741"/>
      <c r="BX32" s="742"/>
      <c r="BY32" s="729"/>
      <c r="BZ32" s="730"/>
      <c r="CA32" s="730"/>
      <c r="CB32" s="639"/>
      <c r="CC32" s="639"/>
      <c r="CD32" s="640"/>
      <c r="CE32" s="729"/>
      <c r="CF32" s="730"/>
      <c r="CG32" s="730"/>
      <c r="CH32" s="639"/>
      <c r="CI32" s="639"/>
      <c r="CJ32" s="640"/>
      <c r="CK32" s="248"/>
      <c r="CM32" s="746"/>
      <c r="CN32" s="746"/>
      <c r="CO32" s="746"/>
      <c r="CP32" s="746"/>
      <c r="CQ32" s="746"/>
      <c r="CR32" s="746"/>
      <c r="CS32" s="746"/>
      <c r="CW32" s="436"/>
      <c r="CX32" s="233"/>
      <c r="CY32" s="233"/>
      <c r="CZ32" s="233"/>
      <c r="DA32" s="233"/>
      <c r="DB32" s="233"/>
      <c r="DC32" s="233"/>
      <c r="DD32" s="233"/>
      <c r="DE32" s="233"/>
      <c r="DF32" s="233"/>
      <c r="DG32" s="233"/>
      <c r="DH32" s="233"/>
      <c r="DI32" s="233"/>
      <c r="DJ32" s="233"/>
      <c r="DK32" s="233"/>
      <c r="DL32" s="233"/>
      <c r="DM32" s="233"/>
    </row>
    <row r="33" spans="3:117" ht="9" customHeight="1">
      <c r="C33" s="189"/>
      <c r="D33" s="190"/>
      <c r="E33" s="190"/>
      <c r="F33" s="190"/>
      <c r="G33" s="190"/>
      <c r="H33" s="190"/>
      <c r="I33" s="190"/>
      <c r="J33" s="190"/>
      <c r="K33" s="190"/>
      <c r="L33" s="190"/>
      <c r="M33" s="190"/>
      <c r="N33" s="190"/>
      <c r="O33" s="190"/>
      <c r="P33" s="190"/>
      <c r="Q33" s="190"/>
      <c r="R33" s="190"/>
      <c r="S33" s="190"/>
      <c r="T33" s="190"/>
      <c r="U33" s="190"/>
      <c r="V33" s="190"/>
      <c r="W33" s="287"/>
      <c r="X33" s="190"/>
      <c r="Y33" s="190"/>
      <c r="Z33" s="190"/>
      <c r="AA33" s="190"/>
      <c r="AB33" s="190"/>
      <c r="AC33" s="190"/>
      <c r="AD33" s="190"/>
      <c r="AE33" s="190"/>
      <c r="AF33" s="190"/>
      <c r="AG33" s="190"/>
      <c r="AH33" s="190"/>
      <c r="AI33" s="190"/>
      <c r="AJ33" s="190"/>
      <c r="AK33" s="190"/>
      <c r="AL33" s="190"/>
      <c r="AM33" s="190"/>
      <c r="AN33" s="190"/>
      <c r="AO33" s="190"/>
      <c r="AP33" s="191"/>
      <c r="AU33" s="176"/>
      <c r="AX33" s="267"/>
      <c r="AY33" s="268"/>
      <c r="AZ33" s="268"/>
      <c r="BA33" s="268"/>
      <c r="BB33" s="268"/>
      <c r="BC33" s="268"/>
      <c r="BD33" s="268"/>
      <c r="BE33" s="268"/>
      <c r="BF33" s="268"/>
      <c r="BG33" s="268"/>
      <c r="BH33" s="268"/>
      <c r="BI33" s="268"/>
      <c r="BJ33" s="268"/>
      <c r="BK33" s="268"/>
      <c r="BL33" s="268"/>
      <c r="BM33" s="268"/>
      <c r="BN33" s="268"/>
      <c r="BO33" s="268"/>
      <c r="BP33" s="739" t="s">
        <v>317</v>
      </c>
      <c r="BQ33" s="739"/>
      <c r="BR33" s="739"/>
      <c r="BS33" s="739"/>
      <c r="BT33" s="739"/>
      <c r="BU33" s="739"/>
      <c r="BV33" s="739"/>
      <c r="BW33" s="739"/>
      <c r="BX33" s="740"/>
      <c r="BY33" s="727">
        <f>IF(BY$9="","",'Design (1)'!SS3)</f>
      </c>
      <c r="BZ33" s="728"/>
      <c r="CA33" s="728"/>
      <c r="CB33" s="637" t="s">
        <v>136</v>
      </c>
      <c r="CC33" s="637"/>
      <c r="CD33" s="638"/>
      <c r="CE33" s="727">
        <f>IF(CE$9="","",'Design (2)'!SS3)</f>
      </c>
      <c r="CF33" s="728"/>
      <c r="CG33" s="728"/>
      <c r="CH33" s="637" t="s">
        <v>136</v>
      </c>
      <c r="CI33" s="637"/>
      <c r="CJ33" s="638"/>
      <c r="CV33" s="436"/>
      <c r="CW33" s="436"/>
      <c r="CX33" s="233"/>
      <c r="CY33" s="233"/>
      <c r="CZ33" s="233"/>
      <c r="DA33" s="233"/>
      <c r="DB33" s="233"/>
      <c r="DC33" s="233"/>
      <c r="DD33" s="233"/>
      <c r="DE33" s="233"/>
      <c r="DF33" s="233"/>
      <c r="DG33" s="233"/>
      <c r="DH33" s="233"/>
      <c r="DI33" s="233"/>
      <c r="DJ33" s="233"/>
      <c r="DK33" s="233"/>
      <c r="DL33" s="233"/>
      <c r="DM33" s="233"/>
    </row>
    <row r="34" spans="3:117" ht="9" customHeight="1">
      <c r="C34" s="189"/>
      <c r="D34" s="190"/>
      <c r="E34" s="190"/>
      <c r="F34" s="190"/>
      <c r="G34" s="190"/>
      <c r="H34" s="190"/>
      <c r="I34" s="190"/>
      <c r="J34" s="190"/>
      <c r="K34" s="190"/>
      <c r="L34" s="190"/>
      <c r="M34" s="190"/>
      <c r="N34" s="190"/>
      <c r="O34" s="190"/>
      <c r="P34" s="190"/>
      <c r="Q34" s="190"/>
      <c r="R34" s="190"/>
      <c r="S34" s="190"/>
      <c r="T34" s="190"/>
      <c r="U34" s="190"/>
      <c r="V34" s="190"/>
      <c r="W34" s="287"/>
      <c r="X34" s="190"/>
      <c r="Y34" s="190"/>
      <c r="Z34" s="190"/>
      <c r="AA34" s="190"/>
      <c r="AB34" s="190"/>
      <c r="AC34" s="190"/>
      <c r="AD34" s="190"/>
      <c r="AE34" s="190"/>
      <c r="AF34" s="190"/>
      <c r="AG34" s="190"/>
      <c r="AH34" s="190"/>
      <c r="AI34" s="190"/>
      <c r="AJ34" s="190"/>
      <c r="AK34" s="190"/>
      <c r="AL34" s="190"/>
      <c r="AM34" s="190"/>
      <c r="AN34" s="190"/>
      <c r="AO34" s="190"/>
      <c r="AP34" s="191"/>
      <c r="AU34" s="176"/>
      <c r="AX34" s="269"/>
      <c r="AY34" s="270"/>
      <c r="AZ34" s="270"/>
      <c r="BA34" s="270"/>
      <c r="BB34" s="270"/>
      <c r="BC34" s="270"/>
      <c r="BD34" s="270"/>
      <c r="BE34" s="270"/>
      <c r="BF34" s="270"/>
      <c r="BG34" s="270"/>
      <c r="BH34" s="270"/>
      <c r="BI34" s="270"/>
      <c r="BJ34" s="270"/>
      <c r="BK34" s="270"/>
      <c r="BL34" s="270"/>
      <c r="BM34" s="270"/>
      <c r="BN34" s="270"/>
      <c r="BO34" s="270"/>
      <c r="BP34" s="741"/>
      <c r="BQ34" s="741"/>
      <c r="BR34" s="741"/>
      <c r="BS34" s="741"/>
      <c r="BT34" s="741"/>
      <c r="BU34" s="741"/>
      <c r="BV34" s="741"/>
      <c r="BW34" s="741"/>
      <c r="BX34" s="742"/>
      <c r="BY34" s="729"/>
      <c r="BZ34" s="730"/>
      <c r="CA34" s="730"/>
      <c r="CB34" s="639"/>
      <c r="CC34" s="639"/>
      <c r="CD34" s="640"/>
      <c r="CE34" s="729"/>
      <c r="CF34" s="730"/>
      <c r="CG34" s="730"/>
      <c r="CH34" s="639"/>
      <c r="CI34" s="639"/>
      <c r="CJ34" s="640"/>
      <c r="CL34" s="810" t="s">
        <v>342</v>
      </c>
      <c r="CM34" s="673"/>
      <c r="CN34" s="673"/>
      <c r="CO34" s="673"/>
      <c r="CP34" s="673"/>
      <c r="CQ34" s="673"/>
      <c r="CR34" s="673"/>
      <c r="CS34" s="673"/>
      <c r="CT34" s="673"/>
      <c r="CU34" s="673"/>
      <c r="CV34" s="248"/>
      <c r="CW34" s="248"/>
      <c r="CX34" s="233"/>
      <c r="CY34" s="233"/>
      <c r="CZ34" s="233"/>
      <c r="DA34" s="233"/>
      <c r="DB34" s="233"/>
      <c r="DC34" s="233"/>
      <c r="DD34" s="233"/>
      <c r="DE34" s="233"/>
      <c r="DF34" s="233"/>
      <c r="DG34" s="233"/>
      <c r="DH34" s="233"/>
      <c r="DI34" s="233"/>
      <c r="DJ34" s="233"/>
      <c r="DK34" s="233"/>
      <c r="DL34" s="233"/>
      <c r="DM34" s="233"/>
    </row>
    <row r="35" spans="3:117" ht="9" customHeight="1">
      <c r="C35" s="189"/>
      <c r="D35" s="190"/>
      <c r="E35" s="190"/>
      <c r="F35" s="190"/>
      <c r="G35" s="190"/>
      <c r="H35" s="190"/>
      <c r="I35" s="190"/>
      <c r="J35" s="190"/>
      <c r="K35" s="190"/>
      <c r="L35" s="190"/>
      <c r="M35" s="190"/>
      <c r="N35" s="190"/>
      <c r="O35" s="190"/>
      <c r="P35" s="190"/>
      <c r="Q35" s="190"/>
      <c r="R35" s="190"/>
      <c r="S35" s="190"/>
      <c r="T35" s="190"/>
      <c r="U35" s="190"/>
      <c r="V35" s="190"/>
      <c r="W35" s="287"/>
      <c r="X35" s="190"/>
      <c r="Y35" s="190"/>
      <c r="Z35" s="190"/>
      <c r="AA35" s="190"/>
      <c r="AB35" s="190"/>
      <c r="AC35" s="190"/>
      <c r="AD35" s="190"/>
      <c r="AE35" s="190"/>
      <c r="AF35" s="190"/>
      <c r="AG35" s="190"/>
      <c r="AH35" s="190"/>
      <c r="AI35" s="190"/>
      <c r="AJ35" s="190"/>
      <c r="AK35" s="190"/>
      <c r="AL35" s="190"/>
      <c r="AM35" s="190"/>
      <c r="AN35" s="190"/>
      <c r="AO35" s="190"/>
      <c r="AP35" s="191"/>
      <c r="AU35" s="176"/>
      <c r="AX35" s="732" t="s">
        <v>318</v>
      </c>
      <c r="AY35" s="732"/>
      <c r="AZ35" s="732"/>
      <c r="BA35" s="732"/>
      <c r="BB35" s="732"/>
      <c r="BC35" s="732"/>
      <c r="BD35" s="732"/>
      <c r="BE35" s="732"/>
      <c r="BF35" s="732"/>
      <c r="BG35" s="732"/>
      <c r="BH35" s="732"/>
      <c r="BI35" s="732"/>
      <c r="BJ35" s="732"/>
      <c r="BK35" s="732"/>
      <c r="BL35" s="732"/>
      <c r="BM35" s="732"/>
      <c r="BN35" s="732"/>
      <c r="BO35" s="732"/>
      <c r="BP35" s="732"/>
      <c r="BQ35" s="732"/>
      <c r="BR35" s="732"/>
      <c r="BS35" s="732"/>
      <c r="BT35" s="732"/>
      <c r="BU35" s="732"/>
      <c r="BV35" s="732"/>
      <c r="BW35" s="732"/>
      <c r="BX35" s="732"/>
      <c r="BY35" s="731">
        <f>IF(BY$9="","",'Design (1)'!H34)</f>
      </c>
      <c r="BZ35" s="731"/>
      <c r="CA35" s="731"/>
      <c r="CB35" s="731"/>
      <c r="CC35" s="731"/>
      <c r="CD35" s="731"/>
      <c r="CE35" s="731">
        <f>IF(CE$9="","",'Design (2)'!H34)</f>
      </c>
      <c r="CF35" s="731"/>
      <c r="CG35" s="731"/>
      <c r="CH35" s="731"/>
      <c r="CI35" s="731"/>
      <c r="CJ35" s="731"/>
      <c r="CL35" s="673"/>
      <c r="CM35" s="673"/>
      <c r="CN35" s="673"/>
      <c r="CO35" s="673"/>
      <c r="CP35" s="673"/>
      <c r="CQ35" s="673"/>
      <c r="CR35" s="673"/>
      <c r="CS35" s="673"/>
      <c r="CT35" s="673"/>
      <c r="CU35" s="673"/>
      <c r="CV35" s="248"/>
      <c r="CW35" s="248"/>
      <c r="CX35" s="233"/>
      <c r="CY35" s="233"/>
      <c r="CZ35" s="233"/>
      <c r="DA35" s="233"/>
      <c r="DB35" s="233"/>
      <c r="DC35" s="233"/>
      <c r="DD35" s="233"/>
      <c r="DE35" s="233"/>
      <c r="DF35" s="233"/>
      <c r="DG35" s="233"/>
      <c r="DH35" s="233"/>
      <c r="DI35" s="233"/>
      <c r="DJ35" s="233"/>
      <c r="DK35" s="233"/>
      <c r="DL35" s="233"/>
      <c r="DM35" s="233"/>
    </row>
    <row r="36" spans="3:117" ht="9" customHeight="1">
      <c r="C36" s="189"/>
      <c r="D36" s="190"/>
      <c r="E36" s="190"/>
      <c r="F36" s="190"/>
      <c r="G36" s="190"/>
      <c r="H36" s="190"/>
      <c r="I36" s="190"/>
      <c r="J36" s="190"/>
      <c r="K36" s="190"/>
      <c r="L36" s="190"/>
      <c r="M36" s="190"/>
      <c r="N36" s="190"/>
      <c r="O36" s="190"/>
      <c r="P36" s="190"/>
      <c r="Q36" s="190"/>
      <c r="R36" s="190"/>
      <c r="S36" s="190"/>
      <c r="T36" s="190"/>
      <c r="U36" s="190"/>
      <c r="V36" s="190"/>
      <c r="W36" s="287"/>
      <c r="X36" s="190"/>
      <c r="Y36" s="190"/>
      <c r="Z36" s="190"/>
      <c r="AA36" s="190"/>
      <c r="AB36" s="190"/>
      <c r="AC36" s="190"/>
      <c r="AD36" s="190"/>
      <c r="AE36" s="190"/>
      <c r="AF36" s="190"/>
      <c r="AG36" s="190"/>
      <c r="AH36" s="190"/>
      <c r="AI36" s="190"/>
      <c r="AJ36" s="190"/>
      <c r="AK36" s="190"/>
      <c r="AL36" s="190"/>
      <c r="AM36" s="190"/>
      <c r="AN36" s="190"/>
      <c r="AO36" s="190"/>
      <c r="AP36" s="191"/>
      <c r="AQ36" s="177"/>
      <c r="AR36" s="192"/>
      <c r="AS36" s="192"/>
      <c r="AT36" s="192"/>
      <c r="AU36" s="176"/>
      <c r="AX36" s="732"/>
      <c r="AY36" s="732"/>
      <c r="AZ36" s="732"/>
      <c r="BA36" s="732"/>
      <c r="BB36" s="732"/>
      <c r="BC36" s="732"/>
      <c r="BD36" s="732"/>
      <c r="BE36" s="732"/>
      <c r="BF36" s="732"/>
      <c r="BG36" s="732"/>
      <c r="BH36" s="732"/>
      <c r="BI36" s="732"/>
      <c r="BJ36" s="732"/>
      <c r="BK36" s="732"/>
      <c r="BL36" s="732"/>
      <c r="BM36" s="732"/>
      <c r="BN36" s="732"/>
      <c r="BO36" s="732"/>
      <c r="BP36" s="732"/>
      <c r="BQ36" s="732"/>
      <c r="BR36" s="732"/>
      <c r="BS36" s="732"/>
      <c r="BT36" s="732"/>
      <c r="BU36" s="732"/>
      <c r="BV36" s="732"/>
      <c r="BW36" s="732"/>
      <c r="BX36" s="732"/>
      <c r="BY36" s="731"/>
      <c r="BZ36" s="731"/>
      <c r="CA36" s="731"/>
      <c r="CB36" s="731"/>
      <c r="CC36" s="731"/>
      <c r="CD36" s="731"/>
      <c r="CE36" s="731"/>
      <c r="CF36" s="731"/>
      <c r="CG36" s="731"/>
      <c r="CH36" s="731"/>
      <c r="CI36" s="731"/>
      <c r="CJ36" s="731"/>
      <c r="CV36" s="248"/>
      <c r="CW36" s="248"/>
      <c r="CX36" s="233"/>
      <c r="CY36" s="233"/>
      <c r="CZ36" s="233"/>
      <c r="DA36" s="233"/>
      <c r="DB36" s="233"/>
      <c r="DC36" s="233"/>
      <c r="DD36" s="233"/>
      <c r="DE36" s="233"/>
      <c r="DF36" s="233"/>
      <c r="DG36" s="233"/>
      <c r="DH36" s="233"/>
      <c r="DI36" s="233"/>
      <c r="DJ36" s="233"/>
      <c r="DK36" s="233"/>
      <c r="DL36" s="233"/>
      <c r="DM36" s="233"/>
    </row>
    <row r="37" spans="3:117" ht="9" customHeight="1">
      <c r="C37" s="189"/>
      <c r="D37" s="190"/>
      <c r="E37" s="190"/>
      <c r="F37" s="190"/>
      <c r="G37" s="190"/>
      <c r="H37" s="190"/>
      <c r="I37" s="190"/>
      <c r="J37" s="190"/>
      <c r="K37" s="190"/>
      <c r="L37" s="190"/>
      <c r="M37" s="190"/>
      <c r="N37" s="190"/>
      <c r="O37" s="190"/>
      <c r="P37" s="190"/>
      <c r="Q37" s="190"/>
      <c r="R37" s="190"/>
      <c r="S37" s="190"/>
      <c r="T37" s="190"/>
      <c r="U37" s="190"/>
      <c r="V37" s="190"/>
      <c r="W37" s="287"/>
      <c r="X37" s="190"/>
      <c r="Y37" s="190"/>
      <c r="Z37" s="190"/>
      <c r="AA37" s="190"/>
      <c r="AB37" s="190"/>
      <c r="AC37" s="190"/>
      <c r="AD37" s="190"/>
      <c r="AE37" s="190"/>
      <c r="AF37" s="190"/>
      <c r="AG37" s="190"/>
      <c r="AH37" s="190"/>
      <c r="AI37" s="190"/>
      <c r="AJ37" s="190"/>
      <c r="AK37" s="190"/>
      <c r="AL37" s="190"/>
      <c r="AM37" s="190"/>
      <c r="AN37" s="190"/>
      <c r="AO37" s="190"/>
      <c r="AP37" s="191"/>
      <c r="AQ37" s="177"/>
      <c r="AR37" s="193"/>
      <c r="AS37" s="193"/>
      <c r="AT37" s="193"/>
      <c r="AU37" s="176"/>
      <c r="AX37" s="732" t="s">
        <v>319</v>
      </c>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1">
        <f>IF(BY$9="","",'Design (1)'!TW)</f>
      </c>
      <c r="BZ37" s="731"/>
      <c r="CA37" s="731"/>
      <c r="CB37" s="731"/>
      <c r="CC37" s="731"/>
      <c r="CD37" s="731"/>
      <c r="CE37" s="731">
        <f>IF(CE$9="","",'Design (2)'!TW)</f>
      </c>
      <c r="CF37" s="731"/>
      <c r="CG37" s="731"/>
      <c r="CH37" s="731"/>
      <c r="CI37" s="731"/>
      <c r="CJ37" s="731"/>
      <c r="CX37" s="233"/>
      <c r="CY37" s="233"/>
      <c r="CZ37" s="233"/>
      <c r="DA37" s="233"/>
      <c r="DB37" s="233"/>
      <c r="DC37" s="233"/>
      <c r="DD37" s="233"/>
      <c r="DE37" s="233"/>
      <c r="DF37" s="233"/>
      <c r="DG37" s="233"/>
      <c r="DH37" s="233"/>
      <c r="DI37" s="233"/>
      <c r="DJ37" s="233"/>
      <c r="DK37" s="233"/>
      <c r="DL37" s="233"/>
      <c r="DM37" s="233"/>
    </row>
    <row r="38" spans="3:117" ht="9" customHeight="1">
      <c r="C38" s="189"/>
      <c r="D38" s="190"/>
      <c r="E38" s="190"/>
      <c r="F38" s="190"/>
      <c r="G38" s="190"/>
      <c r="H38" s="190"/>
      <c r="I38" s="190"/>
      <c r="J38" s="190"/>
      <c r="K38" s="190"/>
      <c r="L38" s="190"/>
      <c r="M38" s="190"/>
      <c r="N38" s="190"/>
      <c r="O38" s="190"/>
      <c r="P38" s="190"/>
      <c r="Q38" s="190"/>
      <c r="R38" s="190"/>
      <c r="S38" s="190"/>
      <c r="T38" s="190"/>
      <c r="U38" s="190"/>
      <c r="V38" s="190"/>
      <c r="W38" s="287"/>
      <c r="X38" s="190"/>
      <c r="Y38" s="190"/>
      <c r="Z38" s="190"/>
      <c r="AA38" s="190"/>
      <c r="AB38" s="190"/>
      <c r="AC38" s="190"/>
      <c r="AD38" s="190"/>
      <c r="AE38" s="190"/>
      <c r="AF38" s="190"/>
      <c r="AG38" s="190"/>
      <c r="AH38" s="190"/>
      <c r="AI38" s="190"/>
      <c r="AJ38" s="190"/>
      <c r="AK38" s="190"/>
      <c r="AL38" s="190"/>
      <c r="AM38" s="190"/>
      <c r="AN38" s="190"/>
      <c r="AO38" s="190"/>
      <c r="AP38" s="191"/>
      <c r="AQ38" s="177"/>
      <c r="AR38" s="193"/>
      <c r="AS38" s="193"/>
      <c r="AT38" s="193"/>
      <c r="AU38" s="176"/>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1"/>
      <c r="BZ38" s="731"/>
      <c r="CA38" s="731"/>
      <c r="CB38" s="731"/>
      <c r="CC38" s="731"/>
      <c r="CD38" s="731"/>
      <c r="CE38" s="731"/>
      <c r="CF38" s="731"/>
      <c r="CG38" s="731"/>
      <c r="CH38" s="731"/>
      <c r="CI38" s="731"/>
      <c r="CJ38" s="731"/>
      <c r="CK38" s="248"/>
      <c r="CL38" s="810" t="s">
        <v>337</v>
      </c>
      <c r="CM38" s="673"/>
      <c r="CN38" s="673"/>
      <c r="CO38" s="673"/>
      <c r="CP38" s="673"/>
      <c r="CQ38" s="673"/>
      <c r="CR38" s="673"/>
      <c r="CS38" s="673"/>
      <c r="CT38" s="673"/>
      <c r="CU38" s="673"/>
      <c r="CV38" s="248"/>
      <c r="CX38" s="233"/>
      <c r="CY38" s="233"/>
      <c r="CZ38" s="233"/>
      <c r="DA38" s="233"/>
      <c r="DB38" s="233"/>
      <c r="DC38" s="233"/>
      <c r="DD38" s="233"/>
      <c r="DE38" s="233"/>
      <c r="DF38" s="233"/>
      <c r="DG38" s="233"/>
      <c r="DH38" s="233"/>
      <c r="DI38" s="233"/>
      <c r="DJ38" s="233"/>
      <c r="DK38" s="233"/>
      <c r="DL38" s="233"/>
      <c r="DM38" s="233"/>
    </row>
    <row r="39" spans="3:117" ht="9" customHeight="1">
      <c r="C39" s="189"/>
      <c r="D39" s="190"/>
      <c r="E39" s="190"/>
      <c r="F39" s="190"/>
      <c r="G39" s="190"/>
      <c r="H39" s="190"/>
      <c r="I39" s="190"/>
      <c r="J39" s="190"/>
      <c r="K39" s="190"/>
      <c r="L39" s="190"/>
      <c r="M39" s="190"/>
      <c r="N39" s="190"/>
      <c r="O39" s="190"/>
      <c r="P39" s="190"/>
      <c r="Q39" s="190"/>
      <c r="R39" s="190"/>
      <c r="S39" s="190"/>
      <c r="T39" s="190"/>
      <c r="U39" s="190"/>
      <c r="V39" s="190"/>
      <c r="W39" s="287"/>
      <c r="X39" s="190"/>
      <c r="Y39" s="190"/>
      <c r="Z39" s="190"/>
      <c r="AA39" s="190"/>
      <c r="AB39" s="190"/>
      <c r="AC39" s="190"/>
      <c r="AD39" s="190"/>
      <c r="AE39" s="190"/>
      <c r="AF39" s="190"/>
      <c r="AG39" s="190"/>
      <c r="AH39" s="190"/>
      <c r="AI39" s="190"/>
      <c r="AJ39" s="190"/>
      <c r="AK39" s="190"/>
      <c r="AL39" s="190"/>
      <c r="AM39" s="190"/>
      <c r="AN39" s="190"/>
      <c r="AO39" s="190"/>
      <c r="AP39" s="191"/>
      <c r="AQ39" s="177"/>
      <c r="AR39" s="193"/>
      <c r="AS39" s="193"/>
      <c r="AT39" s="193"/>
      <c r="AU39" s="176"/>
      <c r="AX39" s="732" t="s">
        <v>320</v>
      </c>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47">
        <f>IF(BY$9="","",ROUND(([0]!BH),1))</f>
      </c>
      <c r="BZ39" s="747"/>
      <c r="CA39" s="747"/>
      <c r="CB39" s="747"/>
      <c r="CC39" s="747"/>
      <c r="CD39" s="747"/>
      <c r="CE39" s="747">
        <f>IF(CE$9="","",ROUND(('Design (2)'!BH),1))</f>
      </c>
      <c r="CF39" s="747"/>
      <c r="CG39" s="747"/>
      <c r="CH39" s="747"/>
      <c r="CI39" s="747"/>
      <c r="CJ39" s="747"/>
      <c r="CL39" s="673"/>
      <c r="CM39" s="673"/>
      <c r="CN39" s="673"/>
      <c r="CO39" s="673"/>
      <c r="CP39" s="673"/>
      <c r="CQ39" s="673"/>
      <c r="CR39" s="673"/>
      <c r="CS39" s="673"/>
      <c r="CT39" s="673"/>
      <c r="CU39" s="673"/>
      <c r="CX39" s="233"/>
      <c r="CY39" s="233"/>
      <c r="CZ39" s="233"/>
      <c r="DA39" s="233"/>
      <c r="DB39" s="233"/>
      <c r="DC39" s="233"/>
      <c r="DD39" s="233"/>
      <c r="DE39" s="233"/>
      <c r="DF39" s="233"/>
      <c r="DG39" s="233"/>
      <c r="DH39" s="233"/>
      <c r="DI39" s="233"/>
      <c r="DJ39" s="233"/>
      <c r="DK39" s="233"/>
      <c r="DL39" s="233"/>
      <c r="DM39" s="233"/>
    </row>
    <row r="40" spans="3:117" ht="9" customHeight="1">
      <c r="C40" s="189"/>
      <c r="D40" s="190"/>
      <c r="E40" s="190"/>
      <c r="F40" s="190"/>
      <c r="G40" s="190"/>
      <c r="H40" s="190"/>
      <c r="I40" s="190"/>
      <c r="J40" s="190"/>
      <c r="K40" s="190"/>
      <c r="L40" s="190"/>
      <c r="M40" s="190"/>
      <c r="N40" s="190"/>
      <c r="O40" s="190"/>
      <c r="P40" s="190"/>
      <c r="Q40" s="190"/>
      <c r="R40" s="190"/>
      <c r="S40" s="190"/>
      <c r="T40" s="190"/>
      <c r="U40" s="190"/>
      <c r="V40" s="190"/>
      <c r="W40" s="287"/>
      <c r="X40" s="190"/>
      <c r="Y40" s="190"/>
      <c r="Z40" s="190"/>
      <c r="AA40" s="190"/>
      <c r="AB40" s="190"/>
      <c r="AC40" s="190"/>
      <c r="AD40" s="190"/>
      <c r="AE40" s="190"/>
      <c r="AF40" s="190"/>
      <c r="AG40" s="190"/>
      <c r="AH40" s="190"/>
      <c r="AI40" s="190"/>
      <c r="AJ40" s="190"/>
      <c r="AK40" s="190"/>
      <c r="AL40" s="190"/>
      <c r="AM40" s="190"/>
      <c r="AN40" s="190"/>
      <c r="AO40" s="190"/>
      <c r="AP40" s="191"/>
      <c r="AQ40" s="177"/>
      <c r="AR40" s="193"/>
      <c r="AS40" s="193"/>
      <c r="AT40" s="193"/>
      <c r="AU40" s="176"/>
      <c r="AX40" s="732"/>
      <c r="AY40" s="732"/>
      <c r="AZ40" s="732"/>
      <c r="BA40" s="732"/>
      <c r="BB40" s="732"/>
      <c r="BC40" s="732"/>
      <c r="BD40" s="732"/>
      <c r="BE40" s="732"/>
      <c r="BF40" s="732"/>
      <c r="BG40" s="732"/>
      <c r="BH40" s="732"/>
      <c r="BI40" s="732"/>
      <c r="BJ40" s="732"/>
      <c r="BK40" s="732"/>
      <c r="BL40" s="732"/>
      <c r="BM40" s="732"/>
      <c r="BN40" s="732"/>
      <c r="BO40" s="732"/>
      <c r="BP40" s="732"/>
      <c r="BQ40" s="732"/>
      <c r="BR40" s="732"/>
      <c r="BS40" s="732"/>
      <c r="BT40" s="732"/>
      <c r="BU40" s="732"/>
      <c r="BV40" s="732"/>
      <c r="BW40" s="732"/>
      <c r="BX40" s="732"/>
      <c r="BY40" s="747"/>
      <c r="BZ40" s="747"/>
      <c r="CA40" s="747"/>
      <c r="CB40" s="747"/>
      <c r="CC40" s="747"/>
      <c r="CD40" s="747"/>
      <c r="CE40" s="747"/>
      <c r="CF40" s="747"/>
      <c r="CG40" s="747"/>
      <c r="CH40" s="747"/>
      <c r="CI40" s="747"/>
      <c r="CJ40" s="747"/>
      <c r="CL40" s="673" t="s">
        <v>336</v>
      </c>
      <c r="CM40" s="521"/>
      <c r="CN40" s="521"/>
      <c r="CO40" s="521"/>
      <c r="CP40" s="521"/>
      <c r="CQ40" s="521"/>
      <c r="CR40" s="521"/>
      <c r="CS40" s="521"/>
      <c r="CT40" s="533"/>
      <c r="CU40" s="533"/>
      <c r="CX40" s="233"/>
      <c r="CY40" s="233"/>
      <c r="CZ40" s="233"/>
      <c r="DA40" s="233"/>
      <c r="DB40" s="233"/>
      <c r="DC40" s="233"/>
      <c r="DD40" s="233"/>
      <c r="DE40" s="233"/>
      <c r="DF40" s="233"/>
      <c r="DG40" s="233"/>
      <c r="DH40" s="233"/>
      <c r="DI40" s="233"/>
      <c r="DJ40" s="233"/>
      <c r="DK40" s="233"/>
      <c r="DL40" s="233"/>
      <c r="DM40" s="233"/>
    </row>
    <row r="41" spans="3:117" ht="9" customHeight="1">
      <c r="C41" s="189"/>
      <c r="D41" s="190"/>
      <c r="E41" s="190"/>
      <c r="F41" s="190"/>
      <c r="G41" s="190"/>
      <c r="H41" s="190"/>
      <c r="I41" s="190"/>
      <c r="J41" s="190"/>
      <c r="K41" s="190"/>
      <c r="L41" s="190"/>
      <c r="M41" s="190"/>
      <c r="N41" s="190"/>
      <c r="O41" s="190"/>
      <c r="P41" s="190"/>
      <c r="Q41" s="190"/>
      <c r="R41" s="190"/>
      <c r="S41" s="190"/>
      <c r="T41" s="190"/>
      <c r="U41" s="190"/>
      <c r="V41" s="190"/>
      <c r="W41" s="287"/>
      <c r="X41" s="190"/>
      <c r="Y41" s="190"/>
      <c r="Z41" s="190"/>
      <c r="AA41" s="190"/>
      <c r="AB41" s="190"/>
      <c r="AC41" s="190"/>
      <c r="AD41" s="190"/>
      <c r="AE41" s="190"/>
      <c r="AF41" s="190"/>
      <c r="AG41" s="190"/>
      <c r="AH41" s="190"/>
      <c r="AI41" s="190"/>
      <c r="AJ41" s="190"/>
      <c r="AK41" s="190"/>
      <c r="AL41" s="190"/>
      <c r="AM41" s="190"/>
      <c r="AN41" s="190"/>
      <c r="AO41" s="190"/>
      <c r="AP41" s="191"/>
      <c r="AQ41" s="177"/>
      <c r="AR41" s="796" t="s">
        <v>177</v>
      </c>
      <c r="AS41" s="796"/>
      <c r="AT41" s="796"/>
      <c r="AU41" s="176"/>
      <c r="AX41" s="732" t="s">
        <v>321</v>
      </c>
      <c r="AY41" s="732"/>
      <c r="AZ41" s="732"/>
      <c r="BA41" s="732"/>
      <c r="BB41" s="732"/>
      <c r="BC41" s="732"/>
      <c r="BD41" s="732"/>
      <c r="BE41" s="732"/>
      <c r="BF41" s="732"/>
      <c r="BG41" s="732"/>
      <c r="BH41" s="732"/>
      <c r="BI41" s="732"/>
      <c r="BJ41" s="732"/>
      <c r="BK41" s="732"/>
      <c r="BL41" s="732"/>
      <c r="BM41" s="732"/>
      <c r="BN41" s="732"/>
      <c r="BO41" s="732"/>
      <c r="BP41" s="732"/>
      <c r="BQ41" s="732"/>
      <c r="BR41" s="732"/>
      <c r="BS41" s="732"/>
      <c r="BT41" s="732"/>
      <c r="BU41" s="732"/>
      <c r="BV41" s="732"/>
      <c r="BW41" s="732"/>
      <c r="BX41" s="732"/>
      <c r="BY41" s="747">
        <f>IF(BY$9="","",ROUND(('Design (1)'!DC),1))</f>
      </c>
      <c r="BZ41" s="747"/>
      <c r="CA41" s="747"/>
      <c r="CB41" s="747"/>
      <c r="CC41" s="747"/>
      <c r="CD41" s="747"/>
      <c r="CE41" s="747">
        <f>IF(CE$9="","",ROUND(('Design (2)'!DC),1))</f>
      </c>
      <c r="CF41" s="747"/>
      <c r="CG41" s="747"/>
      <c r="CH41" s="747"/>
      <c r="CI41" s="747"/>
      <c r="CJ41" s="747"/>
      <c r="CL41" s="521"/>
      <c r="CM41" s="521"/>
      <c r="CN41" s="521"/>
      <c r="CO41" s="521"/>
      <c r="CP41" s="521"/>
      <c r="CQ41" s="521"/>
      <c r="CR41" s="521"/>
      <c r="CS41" s="521"/>
      <c r="CT41" s="533"/>
      <c r="CU41" s="533"/>
      <c r="CX41" s="233"/>
      <c r="CY41" s="233"/>
      <c r="CZ41" s="233"/>
      <c r="DA41" s="233"/>
      <c r="DB41" s="233"/>
      <c r="DC41" s="233"/>
      <c r="DD41" s="233"/>
      <c r="DE41" s="233"/>
      <c r="DF41" s="233"/>
      <c r="DG41" s="233"/>
      <c r="DH41" s="233"/>
      <c r="DI41" s="233"/>
      <c r="DJ41" s="233"/>
      <c r="DK41" s="233"/>
      <c r="DL41" s="233"/>
      <c r="DM41" s="233"/>
    </row>
    <row r="42" spans="3:117" ht="9" customHeight="1">
      <c r="C42" s="189"/>
      <c r="D42" s="190"/>
      <c r="E42" s="190"/>
      <c r="F42" s="190"/>
      <c r="G42" s="190"/>
      <c r="H42" s="190"/>
      <c r="I42" s="190"/>
      <c r="J42" s="190"/>
      <c r="K42" s="190"/>
      <c r="L42" s="190"/>
      <c r="M42" s="190"/>
      <c r="N42" s="190"/>
      <c r="O42" s="190"/>
      <c r="P42" s="190"/>
      <c r="Q42" s="190"/>
      <c r="R42" s="190"/>
      <c r="S42" s="190"/>
      <c r="T42" s="190"/>
      <c r="U42" s="190"/>
      <c r="V42" s="190"/>
      <c r="W42" s="287"/>
      <c r="X42" s="190"/>
      <c r="Y42" s="190"/>
      <c r="Z42" s="190"/>
      <c r="AA42" s="190"/>
      <c r="AB42" s="190"/>
      <c r="AC42" s="190"/>
      <c r="AD42" s="190"/>
      <c r="AE42" s="190"/>
      <c r="AF42" s="190"/>
      <c r="AG42" s="190"/>
      <c r="AH42" s="190"/>
      <c r="AI42" s="190"/>
      <c r="AJ42" s="190"/>
      <c r="AK42" s="190"/>
      <c r="AL42" s="190"/>
      <c r="AM42" s="190"/>
      <c r="AN42" s="190"/>
      <c r="AO42" s="190"/>
      <c r="AP42" s="191"/>
      <c r="AQ42" s="177"/>
      <c r="AR42" s="796"/>
      <c r="AS42" s="796"/>
      <c r="AT42" s="796"/>
      <c r="AU42" s="176"/>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47"/>
      <c r="BZ42" s="747"/>
      <c r="CA42" s="747"/>
      <c r="CB42" s="747"/>
      <c r="CC42" s="747"/>
      <c r="CD42" s="747"/>
      <c r="CE42" s="747"/>
      <c r="CF42" s="747"/>
      <c r="CG42" s="747"/>
      <c r="CH42" s="747"/>
      <c r="CI42" s="747"/>
      <c r="CJ42" s="747"/>
      <c r="CX42" s="233"/>
      <c r="CY42" s="233"/>
      <c r="CZ42" s="233"/>
      <c r="DA42" s="233"/>
      <c r="DB42" s="233"/>
      <c r="DC42" s="233"/>
      <c r="DD42" s="233"/>
      <c r="DE42" s="233"/>
      <c r="DF42" s="233"/>
      <c r="DG42" s="233"/>
      <c r="DH42" s="233"/>
      <c r="DI42" s="233"/>
      <c r="DJ42" s="233"/>
      <c r="DK42" s="233"/>
      <c r="DL42" s="233"/>
      <c r="DM42" s="233"/>
    </row>
    <row r="43" spans="3:117" ht="9" customHeight="1">
      <c r="C43" s="289"/>
      <c r="D43" s="290"/>
      <c r="E43" s="290"/>
      <c r="F43" s="290"/>
      <c r="G43" s="290"/>
      <c r="H43" s="290"/>
      <c r="I43" s="290"/>
      <c r="J43" s="290"/>
      <c r="K43" s="290"/>
      <c r="L43" s="290"/>
      <c r="M43" s="290"/>
      <c r="N43" s="290"/>
      <c r="O43" s="290"/>
      <c r="P43" s="290"/>
      <c r="Q43" s="290"/>
      <c r="R43" s="290"/>
      <c r="S43" s="290"/>
      <c r="T43" s="290"/>
      <c r="U43" s="290"/>
      <c r="V43" s="290"/>
      <c r="W43" s="291"/>
      <c r="X43" s="290"/>
      <c r="Y43" s="290"/>
      <c r="Z43" s="290"/>
      <c r="AA43" s="290"/>
      <c r="AB43" s="290"/>
      <c r="AC43" s="290"/>
      <c r="AD43" s="290"/>
      <c r="AE43" s="290"/>
      <c r="AF43" s="290"/>
      <c r="AG43" s="290"/>
      <c r="AH43" s="290"/>
      <c r="AI43" s="290"/>
      <c r="AJ43" s="290"/>
      <c r="AK43" s="290"/>
      <c r="AL43" s="290"/>
      <c r="AM43" s="290"/>
      <c r="AN43" s="290"/>
      <c r="AO43" s="290"/>
      <c r="AP43" s="292"/>
      <c r="AQ43" s="177"/>
      <c r="AR43" s="796"/>
      <c r="AS43" s="796"/>
      <c r="AT43" s="796"/>
      <c r="AU43" s="176"/>
      <c r="AX43" s="732" t="s">
        <v>341</v>
      </c>
      <c r="AY43" s="732"/>
      <c r="AZ43" s="732"/>
      <c r="BA43" s="732"/>
      <c r="BB43" s="732"/>
      <c r="BC43" s="732"/>
      <c r="BD43" s="732"/>
      <c r="BE43" s="732"/>
      <c r="BF43" s="732"/>
      <c r="BG43" s="732"/>
      <c r="BH43" s="732"/>
      <c r="BI43" s="732"/>
      <c r="BJ43" s="732"/>
      <c r="BK43" s="732"/>
      <c r="BL43" s="732"/>
      <c r="BM43" s="732"/>
      <c r="BN43" s="732"/>
      <c r="BO43" s="732"/>
      <c r="BP43" s="732"/>
      <c r="BQ43" s="732"/>
      <c r="BR43" s="732"/>
      <c r="BS43" s="732"/>
      <c r="BT43" s="732"/>
      <c r="BU43" s="732"/>
      <c r="BV43" s="732"/>
      <c r="BW43" s="732"/>
      <c r="BX43" s="732"/>
      <c r="BY43" s="747">
        <f>IF(BY$9="","",'Design (1)'!h)</f>
      </c>
      <c r="BZ43" s="747"/>
      <c r="CA43" s="747"/>
      <c r="CB43" s="747"/>
      <c r="CC43" s="747"/>
      <c r="CD43" s="747"/>
      <c r="CE43" s="747">
        <f>IF(CE$9="","",'Design (2)'!h)</f>
      </c>
      <c r="CF43" s="747"/>
      <c r="CG43" s="747"/>
      <c r="CH43" s="747"/>
      <c r="CI43" s="747"/>
      <c r="CJ43" s="747"/>
      <c r="CX43" s="233"/>
      <c r="CY43" s="233"/>
      <c r="CZ43" s="233"/>
      <c r="DA43" s="233"/>
      <c r="DB43" s="233"/>
      <c r="DC43" s="233"/>
      <c r="DD43" s="233"/>
      <c r="DE43" s="233"/>
      <c r="DF43" s="233"/>
      <c r="DG43" s="233"/>
      <c r="DH43" s="233"/>
      <c r="DI43" s="233"/>
      <c r="DJ43" s="233"/>
      <c r="DK43" s="233"/>
      <c r="DL43" s="233"/>
      <c r="DM43" s="233"/>
    </row>
    <row r="44" spans="3:117" ht="9" customHeight="1">
      <c r="C44" s="189"/>
      <c r="D44" s="190"/>
      <c r="E44" s="190"/>
      <c r="F44" s="190"/>
      <c r="G44" s="190"/>
      <c r="H44" s="190"/>
      <c r="I44" s="190"/>
      <c r="J44" s="190"/>
      <c r="K44" s="190"/>
      <c r="L44" s="190"/>
      <c r="M44" s="190"/>
      <c r="N44" s="190"/>
      <c r="O44" s="190"/>
      <c r="P44" s="190"/>
      <c r="Q44" s="190"/>
      <c r="R44" s="190"/>
      <c r="S44" s="190"/>
      <c r="T44" s="190"/>
      <c r="U44" s="190"/>
      <c r="V44" s="190"/>
      <c r="W44" s="287"/>
      <c r="X44" s="190"/>
      <c r="Y44" s="190"/>
      <c r="Z44" s="190"/>
      <c r="AA44" s="190"/>
      <c r="AB44" s="190"/>
      <c r="AC44" s="190"/>
      <c r="AD44" s="190"/>
      <c r="AE44" s="190"/>
      <c r="AF44" s="190"/>
      <c r="AG44" s="190"/>
      <c r="AH44" s="190"/>
      <c r="AI44" s="190"/>
      <c r="AJ44" s="190"/>
      <c r="AK44" s="190"/>
      <c r="AL44" s="190"/>
      <c r="AM44" s="190"/>
      <c r="AN44" s="190"/>
      <c r="AO44" s="190"/>
      <c r="AP44" s="191"/>
      <c r="AQ44" s="177"/>
      <c r="AR44" s="193"/>
      <c r="AS44" s="193"/>
      <c r="AT44" s="193"/>
      <c r="AU44" s="176"/>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47"/>
      <c r="BZ44" s="747"/>
      <c r="CA44" s="747"/>
      <c r="CB44" s="747"/>
      <c r="CC44" s="747"/>
      <c r="CD44" s="747"/>
      <c r="CE44" s="747"/>
      <c r="CF44" s="747"/>
      <c r="CG44" s="747"/>
      <c r="CH44" s="747"/>
      <c r="CI44" s="747"/>
      <c r="CJ44" s="747"/>
      <c r="CL44" s="810" t="s">
        <v>338</v>
      </c>
      <c r="CM44" s="673"/>
      <c r="CN44" s="673"/>
      <c r="CO44" s="673"/>
      <c r="CP44" s="673"/>
      <c r="CQ44" s="673"/>
      <c r="CR44" s="673"/>
      <c r="CS44" s="673"/>
      <c r="CT44" s="673"/>
      <c r="CU44" s="673"/>
      <c r="CX44" s="233"/>
      <c r="CY44" s="233"/>
      <c r="CZ44" s="233"/>
      <c r="DA44" s="233"/>
      <c r="DB44" s="233"/>
      <c r="DC44" s="233"/>
      <c r="DD44" s="233"/>
      <c r="DE44" s="233"/>
      <c r="DF44" s="233"/>
      <c r="DG44" s="233"/>
      <c r="DH44" s="233"/>
      <c r="DI44" s="233"/>
      <c r="DJ44" s="233"/>
      <c r="DK44" s="233"/>
      <c r="DL44" s="233"/>
      <c r="DM44" s="233"/>
    </row>
    <row r="45" spans="3:99" ht="9" customHeight="1">
      <c r="C45" s="189"/>
      <c r="D45" s="190"/>
      <c r="E45" s="190"/>
      <c r="F45" s="190"/>
      <c r="G45" s="190"/>
      <c r="H45" s="190"/>
      <c r="I45" s="190"/>
      <c r="J45" s="190"/>
      <c r="K45" s="190"/>
      <c r="L45" s="190"/>
      <c r="M45" s="190"/>
      <c r="N45" s="190"/>
      <c r="O45" s="190"/>
      <c r="P45" s="190"/>
      <c r="Q45" s="190"/>
      <c r="R45" s="190"/>
      <c r="S45" s="190"/>
      <c r="T45" s="190"/>
      <c r="U45" s="190"/>
      <c r="V45" s="190"/>
      <c r="W45" s="287"/>
      <c r="X45" s="190"/>
      <c r="Y45" s="190"/>
      <c r="Z45" s="190"/>
      <c r="AA45" s="190"/>
      <c r="AB45" s="190"/>
      <c r="AC45" s="190"/>
      <c r="AD45" s="190"/>
      <c r="AE45" s="190"/>
      <c r="AF45" s="190"/>
      <c r="AG45" s="190"/>
      <c r="AH45" s="190"/>
      <c r="AI45" s="190"/>
      <c r="AJ45" s="190"/>
      <c r="AK45" s="190"/>
      <c r="AL45" s="190"/>
      <c r="AM45" s="190"/>
      <c r="AN45" s="190"/>
      <c r="AO45" s="190"/>
      <c r="AP45" s="191"/>
      <c r="AQ45" s="177"/>
      <c r="AR45" s="193"/>
      <c r="AS45" s="193"/>
      <c r="AT45" s="193"/>
      <c r="AU45" s="176"/>
      <c r="AX45" s="732" t="s">
        <v>335</v>
      </c>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1">
        <f>IF(BY$9="","",'Design (1)'!M26)</f>
      </c>
      <c r="BZ45" s="731"/>
      <c r="CA45" s="731"/>
      <c r="CB45" s="731"/>
      <c r="CC45" s="731"/>
      <c r="CD45" s="731"/>
      <c r="CE45" s="731">
        <f>IF(CE$9="","",'Design (2)'!M26)</f>
      </c>
      <c r="CF45" s="731"/>
      <c r="CG45" s="731"/>
      <c r="CH45" s="731"/>
      <c r="CI45" s="731"/>
      <c r="CJ45" s="731"/>
      <c r="CL45" s="673"/>
      <c r="CM45" s="673"/>
      <c r="CN45" s="673"/>
      <c r="CO45" s="673"/>
      <c r="CP45" s="673"/>
      <c r="CQ45" s="673"/>
      <c r="CR45" s="673"/>
      <c r="CS45" s="673"/>
      <c r="CT45" s="673"/>
      <c r="CU45" s="673"/>
    </row>
    <row r="46" spans="3:156" ht="9" customHeight="1">
      <c r="C46" s="189"/>
      <c r="D46" s="190"/>
      <c r="E46" s="190"/>
      <c r="F46" s="190"/>
      <c r="G46" s="190"/>
      <c r="H46" s="190"/>
      <c r="I46" s="190"/>
      <c r="J46" s="190"/>
      <c r="K46" s="190"/>
      <c r="L46" s="190"/>
      <c r="M46" s="190"/>
      <c r="N46" s="190"/>
      <c r="O46" s="190"/>
      <c r="P46" s="190"/>
      <c r="Q46" s="190"/>
      <c r="R46" s="190"/>
      <c r="S46" s="190"/>
      <c r="T46" s="190"/>
      <c r="U46" s="190"/>
      <c r="V46" s="190"/>
      <c r="W46" s="287"/>
      <c r="X46" s="190"/>
      <c r="Y46" s="190"/>
      <c r="Z46" s="190"/>
      <c r="AA46" s="190"/>
      <c r="AB46" s="190"/>
      <c r="AC46" s="190"/>
      <c r="AD46" s="190"/>
      <c r="AE46" s="190"/>
      <c r="AF46" s="190"/>
      <c r="AG46" s="190"/>
      <c r="AH46" s="190"/>
      <c r="AI46" s="190"/>
      <c r="AJ46" s="190"/>
      <c r="AK46" s="190"/>
      <c r="AL46" s="190"/>
      <c r="AM46" s="190"/>
      <c r="AN46" s="190"/>
      <c r="AO46" s="190"/>
      <c r="AP46" s="191"/>
      <c r="AQ46" s="177"/>
      <c r="AR46" s="193"/>
      <c r="AS46" s="193"/>
      <c r="AT46" s="193"/>
      <c r="AU46" s="176"/>
      <c r="AX46" s="732"/>
      <c r="AY46" s="732"/>
      <c r="AZ46" s="732"/>
      <c r="BA46" s="732"/>
      <c r="BB46" s="732"/>
      <c r="BC46" s="732"/>
      <c r="BD46" s="732"/>
      <c r="BE46" s="732"/>
      <c r="BF46" s="732"/>
      <c r="BG46" s="732"/>
      <c r="BH46" s="732"/>
      <c r="BI46" s="732"/>
      <c r="BJ46" s="732"/>
      <c r="BK46" s="732"/>
      <c r="BL46" s="732"/>
      <c r="BM46" s="732"/>
      <c r="BN46" s="732"/>
      <c r="BO46" s="732"/>
      <c r="BP46" s="732"/>
      <c r="BQ46" s="732"/>
      <c r="BR46" s="732"/>
      <c r="BS46" s="732"/>
      <c r="BT46" s="732"/>
      <c r="BU46" s="732"/>
      <c r="BV46" s="732"/>
      <c r="BW46" s="732"/>
      <c r="BX46" s="732"/>
      <c r="BY46" s="731"/>
      <c r="BZ46" s="731"/>
      <c r="CA46" s="731"/>
      <c r="CB46" s="731"/>
      <c r="CC46" s="731"/>
      <c r="CD46" s="731"/>
      <c r="CE46" s="731"/>
      <c r="CF46" s="731"/>
      <c r="CG46" s="731"/>
      <c r="CH46" s="731"/>
      <c r="CI46" s="731"/>
      <c r="CJ46" s="731"/>
      <c r="CK46" s="248"/>
      <c r="CL46" s="673" t="s">
        <v>351</v>
      </c>
      <c r="CM46" s="521"/>
      <c r="CN46" s="521"/>
      <c r="CO46" s="521"/>
      <c r="CP46" s="521"/>
      <c r="CQ46" s="521"/>
      <c r="CR46" s="521"/>
      <c r="CS46" s="521"/>
      <c r="CT46" s="497"/>
      <c r="CU46" s="497"/>
      <c r="CV46" s="497"/>
      <c r="EZ46" s="248"/>
    </row>
    <row r="47" spans="3:156" ht="9" customHeight="1">
      <c r="C47" s="189"/>
      <c r="D47" s="190"/>
      <c r="E47" s="190"/>
      <c r="F47" s="190"/>
      <c r="G47" s="190"/>
      <c r="H47" s="190"/>
      <c r="I47" s="190"/>
      <c r="J47" s="190"/>
      <c r="K47" s="190"/>
      <c r="L47" s="190"/>
      <c r="M47" s="190"/>
      <c r="N47" s="190"/>
      <c r="O47" s="190"/>
      <c r="P47" s="190"/>
      <c r="Q47" s="190"/>
      <c r="R47" s="190"/>
      <c r="S47" s="190"/>
      <c r="T47" s="190"/>
      <c r="U47" s="190"/>
      <c r="V47" s="190"/>
      <c r="W47" s="287"/>
      <c r="X47" s="190"/>
      <c r="Y47" s="190"/>
      <c r="Z47" s="190"/>
      <c r="AA47" s="190"/>
      <c r="AB47" s="190"/>
      <c r="AC47" s="190"/>
      <c r="AD47" s="190"/>
      <c r="AE47" s="190"/>
      <c r="AF47" s="190"/>
      <c r="AG47" s="190"/>
      <c r="AH47" s="190"/>
      <c r="AI47" s="190"/>
      <c r="AJ47" s="190"/>
      <c r="AK47" s="190"/>
      <c r="AL47" s="190"/>
      <c r="AM47" s="190"/>
      <c r="AN47" s="190"/>
      <c r="AO47" s="190"/>
      <c r="AP47" s="191"/>
      <c r="AQ47" s="177"/>
      <c r="AR47" s="193"/>
      <c r="AS47" s="193"/>
      <c r="AT47" s="193"/>
      <c r="AU47" s="176"/>
      <c r="AX47" s="736" t="s">
        <v>340</v>
      </c>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8"/>
      <c r="BY47" s="747">
        <f>IF(BY$9="","",'Design (1)'!CH)</f>
      </c>
      <c r="BZ47" s="747"/>
      <c r="CA47" s="747"/>
      <c r="CB47" s="747"/>
      <c r="CC47" s="747"/>
      <c r="CD47" s="747"/>
      <c r="CE47" s="747">
        <f>IF(CE$9="","",'Design (2)'!CH)</f>
      </c>
      <c r="CF47" s="747"/>
      <c r="CG47" s="747"/>
      <c r="CH47" s="747"/>
      <c r="CI47" s="747"/>
      <c r="CJ47" s="747"/>
      <c r="CK47" s="248"/>
      <c r="CL47" s="521"/>
      <c r="CM47" s="521"/>
      <c r="CN47" s="521"/>
      <c r="CO47" s="521"/>
      <c r="CP47" s="521"/>
      <c r="CQ47" s="521"/>
      <c r="CR47" s="521"/>
      <c r="CS47" s="521"/>
      <c r="CT47" s="497"/>
      <c r="CU47" s="497"/>
      <c r="CV47" s="497"/>
      <c r="EZ47" s="248"/>
    </row>
    <row r="48" spans="3:156" ht="9" customHeight="1">
      <c r="C48" s="189"/>
      <c r="D48" s="190"/>
      <c r="E48" s="190"/>
      <c r="F48" s="190"/>
      <c r="G48" s="190"/>
      <c r="H48" s="190"/>
      <c r="I48" s="190"/>
      <c r="J48" s="190"/>
      <c r="K48" s="190"/>
      <c r="L48" s="190"/>
      <c r="M48" s="190"/>
      <c r="N48" s="190"/>
      <c r="O48" s="190"/>
      <c r="P48" s="190"/>
      <c r="Q48" s="190"/>
      <c r="R48" s="190"/>
      <c r="S48" s="190"/>
      <c r="T48" s="190"/>
      <c r="U48" s="190"/>
      <c r="V48" s="190"/>
      <c r="W48" s="287"/>
      <c r="X48" s="190"/>
      <c r="Y48" s="190"/>
      <c r="Z48" s="190"/>
      <c r="AA48" s="190"/>
      <c r="AB48" s="190"/>
      <c r="AC48" s="190"/>
      <c r="AD48" s="190"/>
      <c r="AE48" s="190"/>
      <c r="AF48" s="190"/>
      <c r="AG48" s="190"/>
      <c r="AH48" s="190"/>
      <c r="AI48" s="190"/>
      <c r="AJ48" s="190"/>
      <c r="AK48" s="190"/>
      <c r="AL48" s="190"/>
      <c r="AM48" s="190"/>
      <c r="AN48" s="190"/>
      <c r="AO48" s="190"/>
      <c r="AP48" s="191"/>
      <c r="AQ48" s="177"/>
      <c r="AR48" s="192"/>
      <c r="AS48" s="192"/>
      <c r="AT48" s="192"/>
      <c r="AU48" s="176"/>
      <c r="AX48" s="756"/>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40"/>
      <c r="BY48" s="747"/>
      <c r="BZ48" s="747"/>
      <c r="CA48" s="747"/>
      <c r="CB48" s="747"/>
      <c r="CC48" s="747"/>
      <c r="CD48" s="747"/>
      <c r="CE48" s="747"/>
      <c r="CF48" s="747"/>
      <c r="CG48" s="747"/>
      <c r="CH48" s="747"/>
      <c r="CI48" s="747"/>
      <c r="CJ48" s="747"/>
      <c r="CT48" s="26"/>
      <c r="CU48" s="26"/>
      <c r="EZ48" s="248"/>
    </row>
    <row r="49" spans="3:156" ht="7.5" customHeight="1">
      <c r="C49" s="189"/>
      <c r="D49" s="190"/>
      <c r="E49" s="190"/>
      <c r="F49" s="190"/>
      <c r="G49" s="190"/>
      <c r="H49" s="190"/>
      <c r="I49" s="190"/>
      <c r="J49" s="190"/>
      <c r="K49" s="190"/>
      <c r="L49" s="190"/>
      <c r="M49" s="190"/>
      <c r="N49" s="190"/>
      <c r="O49" s="190"/>
      <c r="P49" s="190"/>
      <c r="Q49" s="190"/>
      <c r="R49" s="190"/>
      <c r="S49" s="190"/>
      <c r="T49" s="190"/>
      <c r="U49" s="190"/>
      <c r="V49" s="190"/>
      <c r="W49" s="287"/>
      <c r="X49" s="190"/>
      <c r="Y49" s="190"/>
      <c r="Z49" s="190"/>
      <c r="AA49" s="190"/>
      <c r="AB49" s="190"/>
      <c r="AC49" s="190"/>
      <c r="AD49" s="190"/>
      <c r="AE49" s="190"/>
      <c r="AF49" s="190"/>
      <c r="AG49" s="190"/>
      <c r="AH49" s="190"/>
      <c r="AI49" s="190"/>
      <c r="AJ49" s="190"/>
      <c r="AK49" s="190"/>
      <c r="AL49" s="190"/>
      <c r="AM49" s="190"/>
      <c r="AN49" s="190"/>
      <c r="AO49" s="190"/>
      <c r="AP49" s="191"/>
      <c r="AU49" s="176"/>
      <c r="AX49" s="254"/>
      <c r="AY49" s="328"/>
      <c r="AZ49" s="328"/>
      <c r="BA49" s="328"/>
      <c r="BB49" s="328"/>
      <c r="BC49" s="328"/>
      <c r="BD49" s="328"/>
      <c r="BE49" s="328"/>
      <c r="BF49" s="328"/>
      <c r="BG49" s="328"/>
      <c r="BH49" s="328"/>
      <c r="BI49" s="328"/>
      <c r="BJ49" s="328"/>
      <c r="BK49" s="328"/>
      <c r="BL49" s="609" t="s">
        <v>192</v>
      </c>
      <c r="BM49" s="585"/>
      <c r="BN49" s="585"/>
      <c r="BO49" s="585"/>
      <c r="BP49" s="585"/>
      <c r="BQ49" s="585"/>
      <c r="BR49" s="585"/>
      <c r="BS49" s="585"/>
      <c r="BT49" s="585"/>
      <c r="BU49" s="585"/>
      <c r="BV49" s="585"/>
      <c r="BW49" s="585"/>
      <c r="BX49" s="585"/>
      <c r="BY49" s="585"/>
      <c r="BZ49" s="585"/>
      <c r="CA49" s="585"/>
      <c r="CB49" s="585"/>
      <c r="CC49" s="585"/>
      <c r="CD49" s="585"/>
      <c r="CE49" s="585"/>
      <c r="CF49" s="328"/>
      <c r="CG49" s="328"/>
      <c r="CH49" s="328"/>
      <c r="CI49" s="328"/>
      <c r="CJ49" s="328"/>
      <c r="EZ49" s="248"/>
    </row>
    <row r="50" spans="3:156" ht="7.5" customHeight="1">
      <c r="C50" s="189"/>
      <c r="D50" s="190"/>
      <c r="E50" s="190"/>
      <c r="F50" s="190"/>
      <c r="G50" s="190"/>
      <c r="H50" s="190"/>
      <c r="I50" s="190"/>
      <c r="J50" s="190"/>
      <c r="K50" s="190"/>
      <c r="L50" s="190"/>
      <c r="M50" s="190"/>
      <c r="N50" s="190"/>
      <c r="O50" s="190"/>
      <c r="P50" s="190"/>
      <c r="Q50" s="190"/>
      <c r="R50" s="190"/>
      <c r="S50" s="190"/>
      <c r="T50" s="190"/>
      <c r="U50" s="190"/>
      <c r="V50" s="190"/>
      <c r="W50" s="287"/>
      <c r="X50" s="190"/>
      <c r="Y50" s="190"/>
      <c r="Z50" s="190"/>
      <c r="AA50" s="190"/>
      <c r="AB50" s="190"/>
      <c r="AC50" s="190"/>
      <c r="AD50" s="190"/>
      <c r="AE50" s="190"/>
      <c r="AF50" s="190"/>
      <c r="AG50" s="190"/>
      <c r="AH50" s="190"/>
      <c r="AI50" s="190"/>
      <c r="AJ50" s="190"/>
      <c r="AK50" s="190"/>
      <c r="AL50" s="190"/>
      <c r="AM50" s="190"/>
      <c r="AN50" s="190"/>
      <c r="AO50" s="190"/>
      <c r="AP50" s="191"/>
      <c r="AU50" s="176"/>
      <c r="AX50" s="254"/>
      <c r="AY50" s="421"/>
      <c r="AZ50" s="421"/>
      <c r="BA50" s="421"/>
      <c r="BB50" s="421"/>
      <c r="BC50" s="421"/>
      <c r="BD50" s="421"/>
      <c r="BE50" s="421"/>
      <c r="BF50" s="421"/>
      <c r="BG50" s="421"/>
      <c r="BH50" s="421"/>
      <c r="BI50" s="421"/>
      <c r="BJ50" s="421"/>
      <c r="BK50" s="421"/>
      <c r="BL50" s="651"/>
      <c r="BM50" s="651"/>
      <c r="BN50" s="651"/>
      <c r="BO50" s="651"/>
      <c r="BP50" s="651"/>
      <c r="BQ50" s="651"/>
      <c r="BR50" s="651"/>
      <c r="BS50" s="651"/>
      <c r="BT50" s="651"/>
      <c r="BU50" s="651"/>
      <c r="BV50" s="651"/>
      <c r="BW50" s="651"/>
      <c r="BX50" s="651"/>
      <c r="BY50" s="651"/>
      <c r="BZ50" s="651"/>
      <c r="CA50" s="651"/>
      <c r="CB50" s="651"/>
      <c r="CC50" s="651"/>
      <c r="CD50" s="651"/>
      <c r="CE50" s="651"/>
      <c r="CF50" s="421"/>
      <c r="CG50" s="421"/>
      <c r="CH50" s="421"/>
      <c r="CI50" s="421"/>
      <c r="CJ50" s="421"/>
      <c r="CK50" s="421"/>
      <c r="CL50" s="421"/>
      <c r="CM50" s="421"/>
      <c r="CN50" s="421"/>
      <c r="CO50" s="421"/>
      <c r="CP50" s="421"/>
      <c r="CQ50" s="421"/>
      <c r="CR50" s="421"/>
      <c r="CS50" s="254"/>
      <c r="CT50" s="255"/>
      <c r="CU50" s="255"/>
      <c r="EZ50" s="248"/>
    </row>
    <row r="51" spans="3:156" ht="15" customHeight="1">
      <c r="C51" s="189"/>
      <c r="D51" s="190"/>
      <c r="E51" s="190"/>
      <c r="F51" s="190"/>
      <c r="G51" s="190"/>
      <c r="H51" s="190"/>
      <c r="I51" s="190"/>
      <c r="J51" s="190"/>
      <c r="K51" s="190"/>
      <c r="L51" s="190"/>
      <c r="M51" s="190"/>
      <c r="N51" s="190"/>
      <c r="O51" s="190"/>
      <c r="P51" s="190"/>
      <c r="Q51" s="190"/>
      <c r="R51" s="190"/>
      <c r="S51" s="190"/>
      <c r="T51" s="190"/>
      <c r="U51" s="190"/>
      <c r="V51" s="190"/>
      <c r="W51" s="287"/>
      <c r="X51" s="190"/>
      <c r="Y51" s="190"/>
      <c r="Z51" s="190"/>
      <c r="AA51" s="190"/>
      <c r="AB51" s="190"/>
      <c r="AC51" s="190"/>
      <c r="AD51" s="190"/>
      <c r="AE51" s="190"/>
      <c r="AF51" s="190"/>
      <c r="AG51" s="190"/>
      <c r="AH51" s="190"/>
      <c r="AI51" s="190"/>
      <c r="AJ51" s="190"/>
      <c r="AK51" s="190"/>
      <c r="AL51" s="190"/>
      <c r="AM51" s="190"/>
      <c r="AN51" s="190"/>
      <c r="AO51" s="190"/>
      <c r="AP51" s="191"/>
      <c r="AU51" s="176"/>
      <c r="AX51" s="661" t="s">
        <v>334</v>
      </c>
      <c r="AY51" s="662"/>
      <c r="AZ51" s="662"/>
      <c r="BA51" s="662"/>
      <c r="BB51" s="662"/>
      <c r="BC51" s="807"/>
      <c r="BD51" s="445"/>
      <c r="BE51" s="445"/>
      <c r="BF51" s="445"/>
      <c r="BG51" s="446"/>
      <c r="BH51" s="743" t="s">
        <v>205</v>
      </c>
      <c r="BI51" s="731"/>
      <c r="BJ51" s="731"/>
      <c r="BK51" s="731"/>
      <c r="BL51" s="731"/>
      <c r="BM51" s="731"/>
      <c r="BN51" s="731"/>
      <c r="BO51" s="731"/>
      <c r="BP51" s="753" t="s">
        <v>182</v>
      </c>
      <c r="BQ51" s="754"/>
      <c r="BR51" s="754"/>
      <c r="BS51" s="754"/>
      <c r="BT51" s="754"/>
      <c r="BU51" s="754"/>
      <c r="BV51" s="754"/>
      <c r="BW51" s="754"/>
      <c r="BX51" s="754"/>
      <c r="BY51" s="754"/>
      <c r="BZ51" s="754"/>
      <c r="CA51" s="754"/>
      <c r="CB51" s="754"/>
      <c r="CC51" s="754"/>
      <c r="CD51" s="754"/>
      <c r="CE51" s="754"/>
      <c r="CF51" s="754"/>
      <c r="CG51" s="754"/>
      <c r="CH51" s="754"/>
      <c r="CI51" s="754"/>
      <c r="CJ51" s="754"/>
      <c r="CK51" s="754"/>
      <c r="CL51" s="754"/>
      <c r="CM51" s="754"/>
      <c r="CN51" s="754"/>
      <c r="CO51" s="754"/>
      <c r="CP51" s="754"/>
      <c r="CQ51" s="754"/>
      <c r="CR51" s="755"/>
      <c r="CS51" s="254"/>
      <c r="CT51" s="248"/>
      <c r="CU51" s="248"/>
      <c r="EZ51" s="248"/>
    </row>
    <row r="52" spans="3:156" ht="9" customHeight="1">
      <c r="C52" s="189"/>
      <c r="D52" s="190"/>
      <c r="E52" s="190"/>
      <c r="F52" s="190"/>
      <c r="G52" s="190"/>
      <c r="H52" s="190"/>
      <c r="I52" s="190"/>
      <c r="J52" s="190"/>
      <c r="K52" s="190"/>
      <c r="L52" s="190"/>
      <c r="M52" s="190"/>
      <c r="N52" s="190"/>
      <c r="O52" s="190"/>
      <c r="P52" s="190"/>
      <c r="Q52" s="190"/>
      <c r="R52" s="190"/>
      <c r="S52" s="190"/>
      <c r="T52" s="190"/>
      <c r="U52" s="190"/>
      <c r="V52" s="190"/>
      <c r="W52" s="287"/>
      <c r="X52" s="190"/>
      <c r="Y52" s="190"/>
      <c r="Z52" s="190"/>
      <c r="AA52" s="190"/>
      <c r="AB52" s="190"/>
      <c r="AC52" s="190"/>
      <c r="AD52" s="190"/>
      <c r="AE52" s="190"/>
      <c r="AF52" s="190"/>
      <c r="AG52" s="190"/>
      <c r="AH52" s="190"/>
      <c r="AI52" s="190"/>
      <c r="AJ52" s="190"/>
      <c r="AK52" s="190"/>
      <c r="AL52" s="190"/>
      <c r="AM52" s="190"/>
      <c r="AN52" s="190"/>
      <c r="AO52" s="190"/>
      <c r="AP52" s="191"/>
      <c r="AU52" s="176"/>
      <c r="AX52" s="664"/>
      <c r="AY52" s="726"/>
      <c r="AZ52" s="726"/>
      <c r="BA52" s="726"/>
      <c r="BB52" s="726"/>
      <c r="BC52" s="830"/>
      <c r="BD52" s="447"/>
      <c r="BE52" s="447"/>
      <c r="BF52" s="447"/>
      <c r="BG52" s="448"/>
      <c r="BH52" s="731"/>
      <c r="BI52" s="731"/>
      <c r="BJ52" s="731"/>
      <c r="BK52" s="731"/>
      <c r="BL52" s="731"/>
      <c r="BM52" s="731"/>
      <c r="BN52" s="731"/>
      <c r="BO52" s="731"/>
      <c r="BP52" s="667" t="s">
        <v>210</v>
      </c>
      <c r="BQ52" s="748"/>
      <c r="BR52" s="748"/>
      <c r="BS52" s="748"/>
      <c r="BT52" s="748"/>
      <c r="BU52" s="748"/>
      <c r="BV52" s="748"/>
      <c r="BW52" s="748"/>
      <c r="BX52" s="748"/>
      <c r="BY52" s="748"/>
      <c r="BZ52" s="748"/>
      <c r="CA52" s="748"/>
      <c r="CB52" s="748"/>
      <c r="CC52" s="749"/>
      <c r="CD52" s="667" t="s">
        <v>339</v>
      </c>
      <c r="CE52" s="748"/>
      <c r="CF52" s="748"/>
      <c r="CG52" s="748"/>
      <c r="CH52" s="748"/>
      <c r="CI52" s="748"/>
      <c r="CJ52" s="748"/>
      <c r="CK52" s="748"/>
      <c r="CL52" s="748"/>
      <c r="CM52" s="748"/>
      <c r="CN52" s="748"/>
      <c r="CO52" s="748"/>
      <c r="CP52" s="748"/>
      <c r="CQ52" s="748"/>
      <c r="CR52" s="749"/>
      <c r="CS52" s="254"/>
      <c r="CT52" s="248"/>
      <c r="CU52" s="248"/>
      <c r="EZ52" s="248"/>
    </row>
    <row r="53" spans="3:156" ht="9" customHeight="1">
      <c r="C53" s="189"/>
      <c r="D53" s="190"/>
      <c r="E53" s="190"/>
      <c r="F53" s="190"/>
      <c r="G53" s="190"/>
      <c r="H53" s="190"/>
      <c r="I53" s="190"/>
      <c r="J53" s="190"/>
      <c r="K53" s="190"/>
      <c r="L53" s="190"/>
      <c r="M53" s="190"/>
      <c r="N53" s="190"/>
      <c r="O53" s="190"/>
      <c r="P53" s="190"/>
      <c r="Q53" s="190"/>
      <c r="R53" s="190"/>
      <c r="S53" s="190"/>
      <c r="T53" s="190"/>
      <c r="U53" s="190"/>
      <c r="V53" s="190"/>
      <c r="W53" s="287"/>
      <c r="X53" s="190"/>
      <c r="Y53" s="190"/>
      <c r="Z53" s="190"/>
      <c r="AA53" s="190"/>
      <c r="AB53" s="190"/>
      <c r="AC53" s="190"/>
      <c r="AD53" s="190"/>
      <c r="AE53" s="190"/>
      <c r="AF53" s="190"/>
      <c r="AG53" s="190"/>
      <c r="AH53" s="190"/>
      <c r="AI53" s="190"/>
      <c r="AJ53" s="190"/>
      <c r="AK53" s="190"/>
      <c r="AL53" s="190"/>
      <c r="AM53" s="190"/>
      <c r="AN53" s="190"/>
      <c r="AO53" s="190"/>
      <c r="AP53" s="191"/>
      <c r="AU53" s="176"/>
      <c r="AX53" s="664"/>
      <c r="AY53" s="726"/>
      <c r="AZ53" s="726"/>
      <c r="BA53" s="726"/>
      <c r="BB53" s="726"/>
      <c r="BC53" s="830"/>
      <c r="BD53" s="412"/>
      <c r="BE53" s="412"/>
      <c r="BF53" s="412"/>
      <c r="BG53" s="449"/>
      <c r="BH53" s="731"/>
      <c r="BI53" s="731"/>
      <c r="BJ53" s="731"/>
      <c r="BK53" s="731"/>
      <c r="BL53" s="731"/>
      <c r="BM53" s="731"/>
      <c r="BN53" s="731"/>
      <c r="BO53" s="731"/>
      <c r="BP53" s="667"/>
      <c r="BQ53" s="748"/>
      <c r="BR53" s="748"/>
      <c r="BS53" s="748"/>
      <c r="BT53" s="748"/>
      <c r="BU53" s="748"/>
      <c r="BV53" s="748"/>
      <c r="BW53" s="748"/>
      <c r="BX53" s="748"/>
      <c r="BY53" s="748"/>
      <c r="BZ53" s="748"/>
      <c r="CA53" s="748"/>
      <c r="CB53" s="748"/>
      <c r="CC53" s="749"/>
      <c r="CD53" s="667"/>
      <c r="CE53" s="748"/>
      <c r="CF53" s="748"/>
      <c r="CG53" s="748"/>
      <c r="CH53" s="748"/>
      <c r="CI53" s="748"/>
      <c r="CJ53" s="748"/>
      <c r="CK53" s="748"/>
      <c r="CL53" s="748"/>
      <c r="CM53" s="748"/>
      <c r="CN53" s="748"/>
      <c r="CO53" s="748"/>
      <c r="CP53" s="748"/>
      <c r="CQ53" s="748"/>
      <c r="CR53" s="749"/>
      <c r="CS53" s="254"/>
      <c r="CT53" s="248"/>
      <c r="CU53" s="248"/>
      <c r="EZ53" s="248"/>
    </row>
    <row r="54" spans="3:156" ht="9" customHeight="1">
      <c r="C54" s="189"/>
      <c r="D54" s="190"/>
      <c r="E54" s="190"/>
      <c r="F54" s="190"/>
      <c r="G54" s="190"/>
      <c r="H54" s="190"/>
      <c r="I54" s="190"/>
      <c r="J54" s="190"/>
      <c r="K54" s="190"/>
      <c r="L54" s="190"/>
      <c r="M54" s="190"/>
      <c r="N54" s="190"/>
      <c r="O54" s="190"/>
      <c r="P54" s="190"/>
      <c r="Q54" s="190"/>
      <c r="R54" s="190"/>
      <c r="S54" s="190"/>
      <c r="T54" s="190"/>
      <c r="U54" s="190"/>
      <c r="V54" s="190"/>
      <c r="W54" s="287"/>
      <c r="X54" s="190"/>
      <c r="Y54" s="190"/>
      <c r="Z54" s="190"/>
      <c r="AA54" s="190"/>
      <c r="AB54" s="190"/>
      <c r="AC54" s="190"/>
      <c r="AD54" s="190"/>
      <c r="AE54" s="190"/>
      <c r="AF54" s="190"/>
      <c r="AG54" s="190"/>
      <c r="AH54" s="190"/>
      <c r="AI54" s="190"/>
      <c r="AJ54" s="190"/>
      <c r="AK54" s="190"/>
      <c r="AL54" s="190"/>
      <c r="AM54" s="190"/>
      <c r="AN54" s="190"/>
      <c r="AO54" s="190"/>
      <c r="AP54" s="191"/>
      <c r="AU54" s="176"/>
      <c r="AX54" s="668"/>
      <c r="AY54" s="669"/>
      <c r="AZ54" s="669"/>
      <c r="BA54" s="669"/>
      <c r="BB54" s="669"/>
      <c r="BC54" s="809"/>
      <c r="BD54" s="450"/>
      <c r="BE54" s="450"/>
      <c r="BF54" s="450"/>
      <c r="BG54" s="451"/>
      <c r="BH54" s="731"/>
      <c r="BI54" s="731"/>
      <c r="BJ54" s="731"/>
      <c r="BK54" s="731"/>
      <c r="BL54" s="731"/>
      <c r="BM54" s="731"/>
      <c r="BN54" s="731"/>
      <c r="BO54" s="731"/>
      <c r="BP54" s="750"/>
      <c r="BQ54" s="751"/>
      <c r="BR54" s="751"/>
      <c r="BS54" s="751"/>
      <c r="BT54" s="751"/>
      <c r="BU54" s="751"/>
      <c r="BV54" s="751"/>
      <c r="BW54" s="751"/>
      <c r="BX54" s="751"/>
      <c r="BY54" s="751"/>
      <c r="BZ54" s="751"/>
      <c r="CA54" s="751"/>
      <c r="CB54" s="751"/>
      <c r="CC54" s="752"/>
      <c r="CD54" s="750"/>
      <c r="CE54" s="751"/>
      <c r="CF54" s="751"/>
      <c r="CG54" s="751"/>
      <c r="CH54" s="751"/>
      <c r="CI54" s="751"/>
      <c r="CJ54" s="751"/>
      <c r="CK54" s="751"/>
      <c r="CL54" s="751"/>
      <c r="CM54" s="751"/>
      <c r="CN54" s="751"/>
      <c r="CO54" s="751"/>
      <c r="CP54" s="751"/>
      <c r="CQ54" s="751"/>
      <c r="CR54" s="752"/>
      <c r="CS54" s="254"/>
      <c r="CT54" s="248"/>
      <c r="CU54" s="248"/>
      <c r="EZ54" s="248"/>
    </row>
    <row r="55" spans="3:156" ht="9" customHeight="1">
      <c r="C55" s="189"/>
      <c r="D55" s="190"/>
      <c r="E55" s="190"/>
      <c r="F55" s="190"/>
      <c r="G55" s="190"/>
      <c r="H55" s="190"/>
      <c r="I55" s="190"/>
      <c r="J55" s="190"/>
      <c r="K55" s="190"/>
      <c r="L55" s="190"/>
      <c r="M55" s="190"/>
      <c r="N55" s="190"/>
      <c r="O55" s="190"/>
      <c r="P55" s="190"/>
      <c r="Q55" s="190"/>
      <c r="R55" s="190"/>
      <c r="S55" s="190"/>
      <c r="T55" s="190"/>
      <c r="U55" s="190"/>
      <c r="V55" s="190"/>
      <c r="W55" s="287"/>
      <c r="X55" s="190"/>
      <c r="Y55" s="190"/>
      <c r="Z55" s="190"/>
      <c r="AA55" s="190"/>
      <c r="AB55" s="190"/>
      <c r="AC55" s="190"/>
      <c r="AD55" s="190"/>
      <c r="AE55" s="190"/>
      <c r="AF55" s="190"/>
      <c r="AG55" s="190"/>
      <c r="AH55" s="190"/>
      <c r="AI55" s="190"/>
      <c r="AJ55" s="190"/>
      <c r="AK55" s="190"/>
      <c r="AL55" s="190"/>
      <c r="AM55" s="190"/>
      <c r="AN55" s="190"/>
      <c r="AO55" s="190"/>
      <c r="AP55" s="191"/>
      <c r="AU55" s="176"/>
      <c r="AX55" s="661">
        <f>IF(BY9="","",BY9)</f>
      </c>
      <c r="AY55" s="662"/>
      <c r="AZ55" s="662"/>
      <c r="BA55" s="662"/>
      <c r="BB55" s="663"/>
      <c r="BC55" s="299"/>
      <c r="BD55" s="637" t="s">
        <v>193</v>
      </c>
      <c r="BE55" s="637"/>
      <c r="BF55" s="637"/>
      <c r="BG55" s="638"/>
      <c r="BH55" s="714">
        <f>BY11</f>
      </c>
      <c r="BI55" s="731"/>
      <c r="BJ55" s="731"/>
      <c r="BK55" s="731"/>
      <c r="BL55" s="731"/>
      <c r="BM55" s="731"/>
      <c r="BN55" s="731"/>
      <c r="BO55" s="731"/>
      <c r="BP55" s="710">
        <f>IF(BH55="","",'Design (1)'!P49)</f>
      </c>
      <c r="BQ55" s="710"/>
      <c r="BR55" s="710"/>
      <c r="BS55" s="710"/>
      <c r="BT55" s="710"/>
      <c r="BU55" s="710"/>
      <c r="BV55" s="710"/>
      <c r="BW55" s="710"/>
      <c r="BX55" s="710"/>
      <c r="BY55" s="710"/>
      <c r="BZ55" s="710"/>
      <c r="CA55" s="710"/>
      <c r="CB55" s="710"/>
      <c r="CC55" s="710"/>
      <c r="CD55" s="714">
        <f>IF(BH55="","",ROUND((BH55*BP55)/27,0))</f>
      </c>
      <c r="CE55" s="714"/>
      <c r="CF55" s="714"/>
      <c r="CG55" s="714"/>
      <c r="CH55" s="714"/>
      <c r="CI55" s="714"/>
      <c r="CJ55" s="714"/>
      <c r="CK55" s="714"/>
      <c r="CL55" s="714"/>
      <c r="CM55" s="714"/>
      <c r="CN55" s="714"/>
      <c r="CO55" s="714"/>
      <c r="CP55" s="714"/>
      <c r="CQ55" s="714"/>
      <c r="CR55" s="714"/>
      <c r="CS55" s="254"/>
      <c r="CT55" s="248"/>
      <c r="CU55" s="248"/>
      <c r="EZ55" s="248"/>
    </row>
    <row r="56" spans="3:156" ht="9" customHeight="1">
      <c r="C56" s="189"/>
      <c r="D56" s="190"/>
      <c r="E56" s="190"/>
      <c r="F56" s="190"/>
      <c r="G56" s="190"/>
      <c r="H56" s="190"/>
      <c r="I56" s="190"/>
      <c r="J56" s="190"/>
      <c r="K56" s="190"/>
      <c r="L56" s="190"/>
      <c r="M56" s="190"/>
      <c r="N56" s="190"/>
      <c r="O56" s="190"/>
      <c r="P56" s="190"/>
      <c r="Q56" s="190"/>
      <c r="R56" s="190"/>
      <c r="S56" s="190"/>
      <c r="T56" s="190"/>
      <c r="U56" s="190"/>
      <c r="V56" s="190"/>
      <c r="W56" s="287"/>
      <c r="X56" s="190"/>
      <c r="Y56" s="190"/>
      <c r="Z56" s="190"/>
      <c r="AA56" s="190"/>
      <c r="AB56" s="190"/>
      <c r="AC56" s="190"/>
      <c r="AD56" s="190"/>
      <c r="AE56" s="190"/>
      <c r="AF56" s="190"/>
      <c r="AG56" s="190"/>
      <c r="AH56" s="190"/>
      <c r="AI56" s="190"/>
      <c r="AJ56" s="190"/>
      <c r="AK56" s="190"/>
      <c r="AL56" s="190"/>
      <c r="AM56" s="190"/>
      <c r="AN56" s="190"/>
      <c r="AO56" s="190"/>
      <c r="AP56" s="191"/>
      <c r="AU56" s="176"/>
      <c r="AX56" s="664"/>
      <c r="AY56" s="665"/>
      <c r="AZ56" s="665"/>
      <c r="BA56" s="665"/>
      <c r="BB56" s="666"/>
      <c r="BC56" s="300"/>
      <c r="BD56" s="639"/>
      <c r="BE56" s="639"/>
      <c r="BF56" s="639"/>
      <c r="BG56" s="640"/>
      <c r="BH56" s="731"/>
      <c r="BI56" s="731"/>
      <c r="BJ56" s="731"/>
      <c r="BK56" s="731"/>
      <c r="BL56" s="731"/>
      <c r="BM56" s="731"/>
      <c r="BN56" s="731"/>
      <c r="BO56" s="731"/>
      <c r="BP56" s="710"/>
      <c r="BQ56" s="710"/>
      <c r="BR56" s="710"/>
      <c r="BS56" s="710"/>
      <c r="BT56" s="710"/>
      <c r="BU56" s="710"/>
      <c r="BV56" s="710"/>
      <c r="BW56" s="710"/>
      <c r="BX56" s="710"/>
      <c r="BY56" s="710"/>
      <c r="BZ56" s="710"/>
      <c r="CA56" s="710"/>
      <c r="CB56" s="710"/>
      <c r="CC56" s="710"/>
      <c r="CD56" s="714"/>
      <c r="CE56" s="714"/>
      <c r="CF56" s="714"/>
      <c r="CG56" s="714"/>
      <c r="CH56" s="714"/>
      <c r="CI56" s="714"/>
      <c r="CJ56" s="714"/>
      <c r="CK56" s="714"/>
      <c r="CL56" s="714"/>
      <c r="CM56" s="714"/>
      <c r="CN56" s="714"/>
      <c r="CO56" s="714"/>
      <c r="CP56" s="714"/>
      <c r="CQ56" s="714"/>
      <c r="CR56" s="714"/>
      <c r="CS56" s="254"/>
      <c r="CT56" s="248"/>
      <c r="CU56" s="248"/>
      <c r="EZ56" s="248"/>
    </row>
    <row r="57" spans="3:156" ht="9" customHeight="1">
      <c r="C57" s="189"/>
      <c r="D57" s="190"/>
      <c r="E57" s="190"/>
      <c r="F57" s="190"/>
      <c r="G57" s="190"/>
      <c r="H57" s="190"/>
      <c r="I57" s="190"/>
      <c r="J57" s="190"/>
      <c r="K57" s="190"/>
      <c r="L57" s="190"/>
      <c r="M57" s="190"/>
      <c r="N57" s="190"/>
      <c r="O57" s="190"/>
      <c r="P57" s="190"/>
      <c r="Q57" s="190"/>
      <c r="R57" s="190"/>
      <c r="S57" s="190"/>
      <c r="T57" s="190"/>
      <c r="U57" s="190"/>
      <c r="V57" s="190"/>
      <c r="W57" s="287"/>
      <c r="X57" s="190"/>
      <c r="Y57" s="190"/>
      <c r="Z57" s="190"/>
      <c r="AA57" s="190"/>
      <c r="AB57" s="190"/>
      <c r="AC57" s="190"/>
      <c r="AD57" s="190"/>
      <c r="AE57" s="190"/>
      <c r="AF57" s="190"/>
      <c r="AG57" s="190"/>
      <c r="AH57" s="190"/>
      <c r="AI57" s="190"/>
      <c r="AJ57" s="190"/>
      <c r="AK57" s="190"/>
      <c r="AL57" s="190"/>
      <c r="AM57" s="190"/>
      <c r="AN57" s="190"/>
      <c r="AO57" s="190"/>
      <c r="AP57" s="191"/>
      <c r="AU57" s="176"/>
      <c r="AX57" s="667"/>
      <c r="AY57" s="665"/>
      <c r="AZ57" s="665"/>
      <c r="BA57" s="665"/>
      <c r="BB57" s="666"/>
      <c r="BC57" s="299"/>
      <c r="BD57" s="637" t="s">
        <v>194</v>
      </c>
      <c r="BE57" s="637"/>
      <c r="BF57" s="637"/>
      <c r="BG57" s="638"/>
      <c r="BH57" s="829">
        <f>IF(BY9="","",'Design (1)'!H46)</f>
      </c>
      <c r="BI57" s="829"/>
      <c r="BJ57" s="829"/>
      <c r="BK57" s="829"/>
      <c r="BL57" s="829"/>
      <c r="BM57" s="829"/>
      <c r="BN57" s="829"/>
      <c r="BO57" s="829"/>
      <c r="BP57" s="710">
        <f>IF(BH57="","",'Design (1)'!H47)</f>
      </c>
      <c r="BQ57" s="710"/>
      <c r="BR57" s="710"/>
      <c r="BS57" s="710"/>
      <c r="BT57" s="710"/>
      <c r="BU57" s="710"/>
      <c r="BV57" s="710"/>
      <c r="BW57" s="710"/>
      <c r="BX57" s="710"/>
      <c r="BY57" s="710"/>
      <c r="BZ57" s="710"/>
      <c r="CA57" s="710"/>
      <c r="CB57" s="710"/>
      <c r="CC57" s="710"/>
      <c r="CD57" s="714">
        <f>IF(BH57="","",ROUND((BH57*BP57)/27,0))</f>
      </c>
      <c r="CE57" s="714"/>
      <c r="CF57" s="714"/>
      <c r="CG57" s="714"/>
      <c r="CH57" s="714"/>
      <c r="CI57" s="714"/>
      <c r="CJ57" s="714"/>
      <c r="CK57" s="714"/>
      <c r="CL57" s="714"/>
      <c r="CM57" s="714"/>
      <c r="CN57" s="714"/>
      <c r="CO57" s="714"/>
      <c r="CP57" s="714"/>
      <c r="CQ57" s="714"/>
      <c r="CR57" s="714"/>
      <c r="CS57" s="254"/>
      <c r="CT57" s="248"/>
      <c r="CU57" s="248"/>
      <c r="EZ57" s="248"/>
    </row>
    <row r="58" spans="3:156" ht="9" customHeight="1">
      <c r="C58" s="189"/>
      <c r="D58" s="190"/>
      <c r="E58" s="190"/>
      <c r="F58" s="190"/>
      <c r="G58" s="190"/>
      <c r="H58" s="190"/>
      <c r="I58" s="190"/>
      <c r="J58" s="190"/>
      <c r="K58" s="190"/>
      <c r="L58" s="190"/>
      <c r="M58" s="190"/>
      <c r="N58" s="190"/>
      <c r="O58" s="190"/>
      <c r="P58" s="190"/>
      <c r="Q58" s="190"/>
      <c r="R58" s="190"/>
      <c r="S58" s="190"/>
      <c r="T58" s="190"/>
      <c r="U58" s="190"/>
      <c r="V58" s="190"/>
      <c r="W58" s="287"/>
      <c r="X58" s="190"/>
      <c r="Y58" s="190"/>
      <c r="Z58" s="190"/>
      <c r="AA58" s="190"/>
      <c r="AB58" s="190"/>
      <c r="AC58" s="190"/>
      <c r="AD58" s="190"/>
      <c r="AE58" s="190"/>
      <c r="AF58" s="190"/>
      <c r="AG58" s="190"/>
      <c r="AH58" s="190"/>
      <c r="AI58" s="190"/>
      <c r="AJ58" s="190"/>
      <c r="AK58" s="190"/>
      <c r="AL58" s="190"/>
      <c r="AM58" s="190"/>
      <c r="AN58" s="190"/>
      <c r="AO58" s="190"/>
      <c r="AP58" s="191"/>
      <c r="AU58" s="176"/>
      <c r="AX58" s="668"/>
      <c r="AY58" s="669"/>
      <c r="AZ58" s="669"/>
      <c r="BA58" s="669"/>
      <c r="BB58" s="670"/>
      <c r="BC58" s="301"/>
      <c r="BD58" s="639"/>
      <c r="BE58" s="639"/>
      <c r="BF58" s="639"/>
      <c r="BG58" s="640"/>
      <c r="BH58" s="829"/>
      <c r="BI58" s="829"/>
      <c r="BJ58" s="829"/>
      <c r="BK58" s="829"/>
      <c r="BL58" s="829"/>
      <c r="BM58" s="829"/>
      <c r="BN58" s="829"/>
      <c r="BO58" s="829"/>
      <c r="BP58" s="710"/>
      <c r="BQ58" s="710"/>
      <c r="BR58" s="710"/>
      <c r="BS58" s="710"/>
      <c r="BT58" s="710"/>
      <c r="BU58" s="710"/>
      <c r="BV58" s="710"/>
      <c r="BW58" s="710"/>
      <c r="BX58" s="710"/>
      <c r="BY58" s="710"/>
      <c r="BZ58" s="710"/>
      <c r="CA58" s="710"/>
      <c r="CB58" s="710"/>
      <c r="CC58" s="710"/>
      <c r="CD58" s="714"/>
      <c r="CE58" s="714"/>
      <c r="CF58" s="714"/>
      <c r="CG58" s="714"/>
      <c r="CH58" s="714"/>
      <c r="CI58" s="714"/>
      <c r="CJ58" s="714"/>
      <c r="CK58" s="714"/>
      <c r="CL58" s="714"/>
      <c r="CM58" s="714"/>
      <c r="CN58" s="714"/>
      <c r="CO58" s="714"/>
      <c r="CP58" s="714"/>
      <c r="CQ58" s="714"/>
      <c r="CR58" s="714"/>
      <c r="CS58" s="254"/>
      <c r="CT58" s="248"/>
      <c r="CU58" s="248"/>
      <c r="EZ58" s="248"/>
    </row>
    <row r="59" spans="3:156" ht="9" customHeight="1">
      <c r="C59" s="189"/>
      <c r="D59" s="190"/>
      <c r="E59" s="190"/>
      <c r="F59" s="190"/>
      <c r="G59" s="190"/>
      <c r="H59" s="190"/>
      <c r="I59" s="190"/>
      <c r="J59" s="190"/>
      <c r="K59" s="190"/>
      <c r="L59" s="190"/>
      <c r="M59" s="190"/>
      <c r="N59" s="190"/>
      <c r="O59" s="190"/>
      <c r="P59" s="190"/>
      <c r="Q59" s="190"/>
      <c r="R59" s="190"/>
      <c r="S59" s="190"/>
      <c r="T59" s="190"/>
      <c r="U59" s="190"/>
      <c r="V59" s="190"/>
      <c r="W59" s="287"/>
      <c r="X59" s="190"/>
      <c r="Y59" s="190"/>
      <c r="Z59" s="190"/>
      <c r="AA59" s="190"/>
      <c r="AB59" s="190"/>
      <c r="AC59" s="190"/>
      <c r="AD59" s="190"/>
      <c r="AE59" s="190"/>
      <c r="AF59" s="190"/>
      <c r="AG59" s="190"/>
      <c r="AH59" s="190"/>
      <c r="AI59" s="190"/>
      <c r="AJ59" s="190"/>
      <c r="AK59" s="190"/>
      <c r="AL59" s="190"/>
      <c r="AM59" s="190"/>
      <c r="AN59" s="190"/>
      <c r="AO59" s="190"/>
      <c r="AP59" s="191"/>
      <c r="AU59" s="176"/>
      <c r="AX59" s="661">
        <f>IF(CE9="","",CE9)</f>
      </c>
      <c r="AY59" s="662"/>
      <c r="AZ59" s="662"/>
      <c r="BA59" s="662"/>
      <c r="BB59" s="663"/>
      <c r="BC59" s="300"/>
      <c r="BD59" s="637" t="s">
        <v>193</v>
      </c>
      <c r="BE59" s="637"/>
      <c r="BF59" s="637"/>
      <c r="BG59" s="638"/>
      <c r="BH59" s="714">
        <f>CE11</f>
      </c>
      <c r="BI59" s="731"/>
      <c r="BJ59" s="731"/>
      <c r="BK59" s="731"/>
      <c r="BL59" s="731"/>
      <c r="BM59" s="731"/>
      <c r="BN59" s="731"/>
      <c r="BO59" s="731"/>
      <c r="BP59" s="710">
        <f>IF(BH59="","",'Design (2)'!P49)</f>
      </c>
      <c r="BQ59" s="710"/>
      <c r="BR59" s="710"/>
      <c r="BS59" s="710"/>
      <c r="BT59" s="710"/>
      <c r="BU59" s="710"/>
      <c r="BV59" s="710"/>
      <c r="BW59" s="710"/>
      <c r="BX59" s="710"/>
      <c r="BY59" s="710"/>
      <c r="BZ59" s="710"/>
      <c r="CA59" s="710"/>
      <c r="CB59" s="710"/>
      <c r="CC59" s="710"/>
      <c r="CD59" s="714">
        <f>IF(BH59="","",ROUND((BH59*BP59)/27,0))</f>
      </c>
      <c r="CE59" s="714"/>
      <c r="CF59" s="714"/>
      <c r="CG59" s="714"/>
      <c r="CH59" s="714"/>
      <c r="CI59" s="714"/>
      <c r="CJ59" s="714"/>
      <c r="CK59" s="714"/>
      <c r="CL59" s="714"/>
      <c r="CM59" s="714"/>
      <c r="CN59" s="714"/>
      <c r="CO59" s="714"/>
      <c r="CP59" s="714"/>
      <c r="CQ59" s="714"/>
      <c r="CR59" s="714"/>
      <c r="CS59" s="254"/>
      <c r="CT59" s="248"/>
      <c r="CU59" s="248"/>
      <c r="EZ59" s="248"/>
    </row>
    <row r="60" spans="3:156" ht="9" customHeight="1">
      <c r="C60" s="189"/>
      <c r="D60" s="190"/>
      <c r="E60" s="190"/>
      <c r="F60" s="190"/>
      <c r="G60" s="190"/>
      <c r="H60" s="190"/>
      <c r="I60" s="190"/>
      <c r="J60" s="190"/>
      <c r="K60" s="190"/>
      <c r="L60" s="190"/>
      <c r="M60" s="190"/>
      <c r="N60" s="190"/>
      <c r="O60" s="190"/>
      <c r="P60" s="190"/>
      <c r="Q60" s="190"/>
      <c r="R60" s="190"/>
      <c r="S60" s="190"/>
      <c r="T60" s="190"/>
      <c r="U60" s="190"/>
      <c r="V60" s="190"/>
      <c r="W60" s="287"/>
      <c r="X60" s="190"/>
      <c r="Y60" s="190"/>
      <c r="Z60" s="190"/>
      <c r="AA60" s="190"/>
      <c r="AB60" s="190"/>
      <c r="AC60" s="190"/>
      <c r="AD60" s="190"/>
      <c r="AE60" s="190"/>
      <c r="AF60" s="190"/>
      <c r="AG60" s="190"/>
      <c r="AH60" s="190"/>
      <c r="AI60" s="190"/>
      <c r="AJ60" s="190"/>
      <c r="AK60" s="190"/>
      <c r="AL60" s="190"/>
      <c r="AM60" s="190"/>
      <c r="AN60" s="190"/>
      <c r="AO60" s="190"/>
      <c r="AP60" s="191"/>
      <c r="AU60" s="176"/>
      <c r="AX60" s="664"/>
      <c r="AY60" s="665"/>
      <c r="AZ60" s="665"/>
      <c r="BA60" s="665"/>
      <c r="BB60" s="666"/>
      <c r="BC60" s="300"/>
      <c r="BD60" s="639"/>
      <c r="BE60" s="639"/>
      <c r="BF60" s="639"/>
      <c r="BG60" s="640"/>
      <c r="BH60" s="731"/>
      <c r="BI60" s="731"/>
      <c r="BJ60" s="731"/>
      <c r="BK60" s="731"/>
      <c r="BL60" s="731"/>
      <c r="BM60" s="731"/>
      <c r="BN60" s="731"/>
      <c r="BO60" s="731"/>
      <c r="BP60" s="710"/>
      <c r="BQ60" s="710"/>
      <c r="BR60" s="710"/>
      <c r="BS60" s="710"/>
      <c r="BT60" s="710"/>
      <c r="BU60" s="710"/>
      <c r="BV60" s="710"/>
      <c r="BW60" s="710"/>
      <c r="BX60" s="710"/>
      <c r="BY60" s="710"/>
      <c r="BZ60" s="710"/>
      <c r="CA60" s="710"/>
      <c r="CB60" s="710"/>
      <c r="CC60" s="710"/>
      <c r="CD60" s="714"/>
      <c r="CE60" s="714"/>
      <c r="CF60" s="714"/>
      <c r="CG60" s="714"/>
      <c r="CH60" s="714"/>
      <c r="CI60" s="714"/>
      <c r="CJ60" s="714"/>
      <c r="CK60" s="714"/>
      <c r="CL60" s="714"/>
      <c r="CM60" s="714"/>
      <c r="CN60" s="714"/>
      <c r="CO60" s="714"/>
      <c r="CP60" s="714"/>
      <c r="CQ60" s="714"/>
      <c r="CR60" s="714"/>
      <c r="CS60" s="254"/>
      <c r="CT60" s="248"/>
      <c r="CU60" s="248"/>
      <c r="EZ60" s="248"/>
    </row>
    <row r="61" spans="3:156" ht="9" customHeight="1">
      <c r="C61" s="189"/>
      <c r="D61" s="190"/>
      <c r="E61" s="190"/>
      <c r="F61" s="190"/>
      <c r="G61" s="190"/>
      <c r="H61" s="190"/>
      <c r="I61" s="190"/>
      <c r="J61" s="190"/>
      <c r="K61" s="190"/>
      <c r="L61" s="190"/>
      <c r="M61" s="190"/>
      <c r="N61" s="190"/>
      <c r="O61" s="190"/>
      <c r="P61" s="190"/>
      <c r="Q61" s="190"/>
      <c r="R61" s="190"/>
      <c r="S61" s="190"/>
      <c r="T61" s="190"/>
      <c r="U61" s="190"/>
      <c r="V61" s="190"/>
      <c r="W61" s="287"/>
      <c r="X61" s="190"/>
      <c r="Y61" s="190"/>
      <c r="Z61" s="190"/>
      <c r="AA61" s="190"/>
      <c r="AB61" s="190"/>
      <c r="AC61" s="190"/>
      <c r="AD61" s="190"/>
      <c r="AE61" s="190"/>
      <c r="AF61" s="190"/>
      <c r="AG61" s="190"/>
      <c r="AH61" s="190"/>
      <c r="AI61" s="190"/>
      <c r="AJ61" s="190"/>
      <c r="AK61" s="190"/>
      <c r="AL61" s="190"/>
      <c r="AM61" s="190"/>
      <c r="AN61" s="190"/>
      <c r="AO61" s="190"/>
      <c r="AP61" s="191"/>
      <c r="AU61" s="176"/>
      <c r="AX61" s="667"/>
      <c r="AY61" s="665"/>
      <c r="AZ61" s="665"/>
      <c r="BA61" s="665"/>
      <c r="BB61" s="666"/>
      <c r="BC61" s="299"/>
      <c r="BD61" s="637" t="s">
        <v>194</v>
      </c>
      <c r="BE61" s="637"/>
      <c r="BF61" s="637"/>
      <c r="BG61" s="638"/>
      <c r="BH61" s="829">
        <f>IF(CE9="","",'Design (2)'!H46)</f>
      </c>
      <c r="BI61" s="829"/>
      <c r="BJ61" s="829"/>
      <c r="BK61" s="829"/>
      <c r="BL61" s="829"/>
      <c r="BM61" s="829"/>
      <c r="BN61" s="829"/>
      <c r="BO61" s="829"/>
      <c r="BP61" s="710">
        <f>IF(BH61="","",'Design (2)'!H47)</f>
      </c>
      <c r="BQ61" s="710"/>
      <c r="BR61" s="710"/>
      <c r="BS61" s="710"/>
      <c r="BT61" s="710"/>
      <c r="BU61" s="710"/>
      <c r="BV61" s="710"/>
      <c r="BW61" s="710"/>
      <c r="BX61" s="710"/>
      <c r="BY61" s="710"/>
      <c r="BZ61" s="710"/>
      <c r="CA61" s="710"/>
      <c r="CB61" s="710"/>
      <c r="CC61" s="710"/>
      <c r="CD61" s="714">
        <f>IF(BH61="","",ROUND((BH61*BP61)/27,0))</f>
      </c>
      <c r="CE61" s="714"/>
      <c r="CF61" s="714"/>
      <c r="CG61" s="714"/>
      <c r="CH61" s="714"/>
      <c r="CI61" s="714"/>
      <c r="CJ61" s="714"/>
      <c r="CK61" s="714"/>
      <c r="CL61" s="714"/>
      <c r="CM61" s="714"/>
      <c r="CN61" s="714"/>
      <c r="CO61" s="714"/>
      <c r="CP61" s="714"/>
      <c r="CQ61" s="714"/>
      <c r="CR61" s="714"/>
      <c r="CS61" s="254"/>
      <c r="CT61" s="248"/>
      <c r="CU61" s="248"/>
      <c r="EZ61" s="248"/>
    </row>
    <row r="62" spans="3:156" ht="9" customHeight="1">
      <c r="C62" s="194"/>
      <c r="D62" s="195"/>
      <c r="E62" s="195"/>
      <c r="F62" s="195"/>
      <c r="G62" s="195"/>
      <c r="H62" s="195"/>
      <c r="I62" s="195"/>
      <c r="J62" s="195"/>
      <c r="K62" s="195"/>
      <c r="L62" s="195"/>
      <c r="M62" s="195"/>
      <c r="N62" s="195"/>
      <c r="O62" s="195"/>
      <c r="P62" s="195"/>
      <c r="Q62" s="195"/>
      <c r="R62" s="195"/>
      <c r="S62" s="195"/>
      <c r="T62" s="195"/>
      <c r="U62" s="195"/>
      <c r="V62" s="195"/>
      <c r="W62" s="288"/>
      <c r="X62" s="195"/>
      <c r="Y62" s="195"/>
      <c r="Z62" s="195"/>
      <c r="AA62" s="195"/>
      <c r="AB62" s="195"/>
      <c r="AC62" s="195"/>
      <c r="AD62" s="195"/>
      <c r="AE62" s="195"/>
      <c r="AF62" s="195"/>
      <c r="AG62" s="195"/>
      <c r="AH62" s="195"/>
      <c r="AI62" s="195"/>
      <c r="AJ62" s="195"/>
      <c r="AK62" s="195"/>
      <c r="AL62" s="195"/>
      <c r="AM62" s="195"/>
      <c r="AN62" s="195"/>
      <c r="AO62" s="195"/>
      <c r="AP62" s="196"/>
      <c r="AU62" s="176"/>
      <c r="AX62" s="668"/>
      <c r="AY62" s="669"/>
      <c r="AZ62" s="669"/>
      <c r="BA62" s="669"/>
      <c r="BB62" s="670"/>
      <c r="BC62" s="301"/>
      <c r="BD62" s="639"/>
      <c r="BE62" s="639"/>
      <c r="BF62" s="639"/>
      <c r="BG62" s="640"/>
      <c r="BH62" s="829"/>
      <c r="BI62" s="829"/>
      <c r="BJ62" s="829"/>
      <c r="BK62" s="829"/>
      <c r="BL62" s="829"/>
      <c r="BM62" s="829"/>
      <c r="BN62" s="829"/>
      <c r="BO62" s="829"/>
      <c r="BP62" s="710"/>
      <c r="BQ62" s="710"/>
      <c r="BR62" s="710"/>
      <c r="BS62" s="710"/>
      <c r="BT62" s="710"/>
      <c r="BU62" s="710"/>
      <c r="BV62" s="710"/>
      <c r="BW62" s="710"/>
      <c r="BX62" s="710"/>
      <c r="BY62" s="710"/>
      <c r="BZ62" s="710"/>
      <c r="CA62" s="710"/>
      <c r="CB62" s="710"/>
      <c r="CC62" s="710"/>
      <c r="CD62" s="714"/>
      <c r="CE62" s="714"/>
      <c r="CF62" s="714"/>
      <c r="CG62" s="714"/>
      <c r="CH62" s="714"/>
      <c r="CI62" s="714"/>
      <c r="CJ62" s="714"/>
      <c r="CK62" s="714"/>
      <c r="CL62" s="714"/>
      <c r="CM62" s="714"/>
      <c r="CN62" s="714"/>
      <c r="CO62" s="714"/>
      <c r="CP62" s="714"/>
      <c r="CQ62" s="714"/>
      <c r="CR62" s="714"/>
      <c r="CS62" s="254"/>
      <c r="CT62" s="248"/>
      <c r="CU62" s="248"/>
      <c r="EZ62" s="248"/>
    </row>
    <row r="63" spans="3:162" ht="9" customHeight="1">
      <c r="C63" s="176"/>
      <c r="D63" s="176"/>
      <c r="E63" s="176"/>
      <c r="F63" s="584" t="s">
        <v>176</v>
      </c>
      <c r="G63" s="584"/>
      <c r="H63" s="584"/>
      <c r="I63" s="584"/>
      <c r="J63" s="584"/>
      <c r="K63" s="584"/>
      <c r="L63" s="584"/>
      <c r="M63" s="584"/>
      <c r="N63" s="584"/>
      <c r="O63" s="584"/>
      <c r="P63" s="584"/>
      <c r="Q63" s="584"/>
      <c r="R63" s="330"/>
      <c r="S63" s="177"/>
      <c r="T63" s="177"/>
      <c r="U63" s="176"/>
      <c r="Y63" s="584" t="s">
        <v>175</v>
      </c>
      <c r="Z63" s="585"/>
      <c r="AA63" s="585"/>
      <c r="AB63" s="585"/>
      <c r="AC63" s="585"/>
      <c r="AD63" s="585"/>
      <c r="AE63" s="585"/>
      <c r="AF63" s="586"/>
      <c r="AG63" s="586"/>
      <c r="AH63" s="586"/>
      <c r="AI63" s="586"/>
      <c r="AJ63" s="586"/>
      <c r="AK63" s="586"/>
      <c r="AL63" s="439"/>
      <c r="AM63" s="177"/>
      <c r="AN63" s="177"/>
      <c r="AO63" s="177"/>
      <c r="AP63" s="177"/>
      <c r="AV63" s="233"/>
      <c r="AX63" s="673" t="s">
        <v>222</v>
      </c>
      <c r="AY63" s="673"/>
      <c r="AZ63" s="673"/>
      <c r="BA63" s="673"/>
      <c r="BB63" s="673"/>
      <c r="BC63" s="673"/>
      <c r="BD63" s="673"/>
      <c r="BE63" s="673"/>
      <c r="BF63" s="673"/>
      <c r="BG63" s="674"/>
      <c r="BH63" s="564"/>
      <c r="BI63" s="320"/>
      <c r="BJ63" s="757">
        <f>IF(BY9="","",'Design (1)'!L55)</f>
      </c>
      <c r="BK63" s="585"/>
      <c r="BL63" s="585"/>
      <c r="BM63" s="585"/>
      <c r="BN63" s="320"/>
      <c r="BO63" s="249"/>
      <c r="BP63" s="711" t="s">
        <v>183</v>
      </c>
      <c r="BQ63" s="712"/>
      <c r="BR63" s="712"/>
      <c r="BS63" s="712"/>
      <c r="BT63" s="712"/>
      <c r="BU63" s="712"/>
      <c r="BV63" s="712"/>
      <c r="BW63" s="712"/>
      <c r="BX63" s="712"/>
      <c r="BY63" s="712"/>
      <c r="BZ63" s="712"/>
      <c r="CA63" s="712"/>
      <c r="CB63" s="712"/>
      <c r="CC63" s="317"/>
      <c r="CD63" s="714">
        <f>IF(BH55="","",SUM(CD55:CR62))</f>
      </c>
      <c r="CE63" s="714"/>
      <c r="CF63" s="714"/>
      <c r="CG63" s="714"/>
      <c r="CH63" s="714"/>
      <c r="CI63" s="714"/>
      <c r="CJ63" s="714"/>
      <c r="CK63" s="714"/>
      <c r="CL63" s="714"/>
      <c r="CM63" s="714"/>
      <c r="CN63" s="714"/>
      <c r="CO63" s="714"/>
      <c r="CP63" s="714"/>
      <c r="CQ63" s="714"/>
      <c r="CR63" s="714"/>
      <c r="CS63" s="254"/>
      <c r="CT63" s="248"/>
      <c r="CU63" s="248"/>
      <c r="CV63" s="248"/>
      <c r="EZ63" s="248"/>
      <c r="FB63" s="232"/>
      <c r="FC63" s="232"/>
      <c r="FD63" s="233"/>
      <c r="FE63" s="233"/>
      <c r="FF63" s="233"/>
    </row>
    <row r="64" spans="3:156" ht="9" customHeight="1">
      <c r="C64" s="176"/>
      <c r="D64" s="176"/>
      <c r="E64" s="176"/>
      <c r="F64" s="646"/>
      <c r="G64" s="646"/>
      <c r="H64" s="646"/>
      <c r="I64" s="646"/>
      <c r="J64" s="646"/>
      <c r="K64" s="646"/>
      <c r="L64" s="646"/>
      <c r="M64" s="646"/>
      <c r="N64" s="646"/>
      <c r="O64" s="646"/>
      <c r="P64" s="646"/>
      <c r="Q64" s="646"/>
      <c r="R64" s="330"/>
      <c r="S64" s="177"/>
      <c r="T64" s="177"/>
      <c r="U64" s="176"/>
      <c r="Y64" s="556"/>
      <c r="Z64" s="556"/>
      <c r="AA64" s="556"/>
      <c r="AB64" s="556"/>
      <c r="AC64" s="556"/>
      <c r="AD64" s="556"/>
      <c r="AE64" s="556"/>
      <c r="AF64" s="587"/>
      <c r="AG64" s="587"/>
      <c r="AH64" s="587"/>
      <c r="AI64" s="587"/>
      <c r="AJ64" s="587"/>
      <c r="AK64" s="587"/>
      <c r="AL64" s="440"/>
      <c r="AM64" s="177"/>
      <c r="AN64" s="177"/>
      <c r="AO64" s="177"/>
      <c r="AP64" s="177"/>
      <c r="AX64" s="675"/>
      <c r="AY64" s="675"/>
      <c r="AZ64" s="675"/>
      <c r="BA64" s="675"/>
      <c r="BB64" s="675"/>
      <c r="BC64" s="675"/>
      <c r="BD64" s="675"/>
      <c r="BE64" s="675"/>
      <c r="BF64" s="675"/>
      <c r="BG64" s="558"/>
      <c r="BH64" s="564"/>
      <c r="BI64" s="321"/>
      <c r="BJ64" s="651"/>
      <c r="BK64" s="651"/>
      <c r="BL64" s="651"/>
      <c r="BM64" s="651"/>
      <c r="BN64" s="321"/>
      <c r="BO64" s="256"/>
      <c r="BP64" s="713"/>
      <c r="BQ64" s="713"/>
      <c r="BR64" s="713"/>
      <c r="BS64" s="713"/>
      <c r="BT64" s="713"/>
      <c r="BU64" s="713"/>
      <c r="BV64" s="713"/>
      <c r="BW64" s="713"/>
      <c r="BX64" s="713"/>
      <c r="BY64" s="713"/>
      <c r="BZ64" s="713"/>
      <c r="CA64" s="713"/>
      <c r="CB64" s="713"/>
      <c r="CC64" s="318"/>
      <c r="CD64" s="714"/>
      <c r="CE64" s="714"/>
      <c r="CF64" s="714"/>
      <c r="CG64" s="714"/>
      <c r="CH64" s="714"/>
      <c r="CI64" s="714"/>
      <c r="CJ64" s="714"/>
      <c r="CK64" s="714"/>
      <c r="CL64" s="714"/>
      <c r="CM64" s="714"/>
      <c r="CN64" s="714"/>
      <c r="CO64" s="714"/>
      <c r="CP64" s="714"/>
      <c r="CQ64" s="714"/>
      <c r="CR64" s="714"/>
      <c r="CS64" s="254"/>
      <c r="CT64" s="248"/>
      <c r="CU64" s="248"/>
      <c r="CV64" s="255"/>
      <c r="EZ64" s="248"/>
    </row>
    <row r="65" spans="3:116" ht="9" customHeight="1">
      <c r="C65" s="176"/>
      <c r="D65" s="176"/>
      <c r="E65" s="176"/>
      <c r="F65" s="176"/>
      <c r="G65" s="176"/>
      <c r="H65" s="176"/>
      <c r="I65" s="176"/>
      <c r="J65" s="176"/>
      <c r="K65" s="176"/>
      <c r="L65" s="176"/>
      <c r="M65" s="176"/>
      <c r="N65" s="176"/>
      <c r="O65" s="176"/>
      <c r="P65" s="176"/>
      <c r="Q65" s="176"/>
      <c r="R65" s="176"/>
      <c r="S65" s="176"/>
      <c r="T65" s="176"/>
      <c r="U65" s="176"/>
      <c r="V65" s="176"/>
      <c r="W65" s="197"/>
      <c r="X65" s="197"/>
      <c r="Y65" s="197"/>
      <c r="Z65" s="197"/>
      <c r="AA65" s="197"/>
      <c r="AB65" s="197"/>
      <c r="AC65" s="197"/>
      <c r="AD65" s="197"/>
      <c r="AE65" s="176"/>
      <c r="AF65" s="176"/>
      <c r="AG65" s="176"/>
      <c r="AH65" s="176"/>
      <c r="AI65" s="176"/>
      <c r="AJ65" s="176"/>
      <c r="AK65" s="176"/>
      <c r="AL65" s="176"/>
      <c r="AM65" s="197"/>
      <c r="AN65" s="197"/>
      <c r="AO65" s="197"/>
      <c r="AP65" s="197"/>
      <c r="CU65" s="255"/>
      <c r="CV65" s="255"/>
      <c r="DI65" s="331"/>
      <c r="DJ65" s="331"/>
      <c r="DK65" s="331"/>
      <c r="DL65" s="331"/>
    </row>
    <row r="66" spans="3:100" ht="9" customHeight="1">
      <c r="C66" s="647" t="s">
        <v>138</v>
      </c>
      <c r="D66" s="647"/>
      <c r="E66" s="647"/>
      <c r="F66" s="647"/>
      <c r="G66" s="647"/>
      <c r="H66" s="647"/>
      <c r="I66" s="647"/>
      <c r="J66" s="647"/>
      <c r="K66" s="647"/>
      <c r="L66" s="657"/>
      <c r="M66" s="657"/>
      <c r="N66" s="657"/>
      <c r="O66" s="657"/>
      <c r="P66" s="657"/>
      <c r="Q66" s="657"/>
      <c r="R66" s="657"/>
      <c r="S66" s="657"/>
      <c r="T66" s="657"/>
      <c r="U66" s="657"/>
      <c r="V66" s="657"/>
      <c r="W66" s="657"/>
      <c r="X66" s="657"/>
      <c r="Y66" s="657"/>
      <c r="Z66" s="657"/>
      <c r="AA66" s="657"/>
      <c r="AB66" s="657"/>
      <c r="AC66" s="198"/>
      <c r="AD66" s="198"/>
      <c r="AE66" s="198"/>
      <c r="AF66" s="641" t="s">
        <v>129</v>
      </c>
      <c r="AG66" s="641"/>
      <c r="AH66" s="641"/>
      <c r="AI66" s="641"/>
      <c r="AJ66" s="641"/>
      <c r="AK66" s="671"/>
      <c r="AL66" s="671"/>
      <c r="AM66" s="671"/>
      <c r="AN66" s="671"/>
      <c r="AO66" s="671"/>
      <c r="AP66" s="671"/>
      <c r="AQ66" s="671"/>
      <c r="AR66" s="671"/>
      <c r="AV66" s="233"/>
      <c r="AW66" s="233"/>
      <c r="AX66" s="248"/>
      <c r="AY66" s="248"/>
      <c r="AZ66" s="248"/>
      <c r="BA66" s="248"/>
      <c r="BB66" s="248"/>
      <c r="BC66" s="248"/>
      <c r="BD66" s="248"/>
      <c r="BE66" s="248"/>
      <c r="BF66" s="248"/>
      <c r="BG66" s="248"/>
      <c r="BH66" s="248"/>
      <c r="BI66" s="248"/>
      <c r="BJ66" s="617" t="s">
        <v>323</v>
      </c>
      <c r="BK66" s="564"/>
      <c r="BL66" s="564"/>
      <c r="BM66" s="564"/>
      <c r="BN66" s="564"/>
      <c r="BO66" s="564"/>
      <c r="BP66" s="564"/>
      <c r="BQ66" s="564"/>
      <c r="BR66" s="617" t="s">
        <v>328</v>
      </c>
      <c r="BS66" s="564"/>
      <c r="BT66" s="564"/>
      <c r="BU66" s="564"/>
      <c r="BV66" s="564"/>
      <c r="BW66" s="564"/>
      <c r="BX66" s="564"/>
      <c r="BZ66" s="675" t="s">
        <v>324</v>
      </c>
      <c r="CA66" s="533"/>
      <c r="CB66" s="533"/>
      <c r="CC66" s="533"/>
      <c r="CD66" s="533"/>
      <c r="CE66" s="533"/>
      <c r="CF66" s="533"/>
      <c r="CG66" s="533"/>
      <c r="CH66" s="533"/>
      <c r="CI66" s="835" t="s">
        <v>331</v>
      </c>
      <c r="CJ66" s="835"/>
      <c r="CK66" s="835"/>
      <c r="CL66" s="835"/>
      <c r="CM66" s="835"/>
      <c r="CN66" s="835"/>
      <c r="CO66" s="835"/>
      <c r="CP66" s="830"/>
      <c r="CQ66" s="248"/>
      <c r="CR66" s="248"/>
      <c r="CS66" s="248"/>
      <c r="CT66" s="248"/>
      <c r="CU66" s="255"/>
      <c r="CV66" s="255"/>
    </row>
    <row r="67" spans="3:100" ht="9" customHeight="1">
      <c r="C67" s="647"/>
      <c r="D67" s="647"/>
      <c r="E67" s="647"/>
      <c r="F67" s="647"/>
      <c r="G67" s="647"/>
      <c r="H67" s="647"/>
      <c r="I67" s="647"/>
      <c r="J67" s="647"/>
      <c r="K67" s="647"/>
      <c r="L67" s="658"/>
      <c r="M67" s="658"/>
      <c r="N67" s="658"/>
      <c r="O67" s="658"/>
      <c r="P67" s="658"/>
      <c r="Q67" s="658"/>
      <c r="R67" s="658"/>
      <c r="S67" s="658"/>
      <c r="T67" s="658"/>
      <c r="U67" s="658"/>
      <c r="V67" s="658"/>
      <c r="W67" s="658"/>
      <c r="X67" s="658"/>
      <c r="Y67" s="658"/>
      <c r="Z67" s="658"/>
      <c r="AA67" s="658"/>
      <c r="AB67" s="658"/>
      <c r="AC67" s="199"/>
      <c r="AD67" s="199"/>
      <c r="AE67" s="199"/>
      <c r="AF67" s="641"/>
      <c r="AG67" s="641"/>
      <c r="AH67" s="641"/>
      <c r="AI67" s="641"/>
      <c r="AJ67" s="641"/>
      <c r="AK67" s="672"/>
      <c r="AL67" s="672"/>
      <c r="AM67" s="672"/>
      <c r="AN67" s="672"/>
      <c r="AO67" s="672"/>
      <c r="AP67" s="672"/>
      <c r="AQ67" s="672"/>
      <c r="AR67" s="672"/>
      <c r="AV67" s="233"/>
      <c r="AW67" s="233"/>
      <c r="AX67" s="248"/>
      <c r="AY67" s="248"/>
      <c r="AZ67" s="248"/>
      <c r="BA67" s="248"/>
      <c r="BB67" s="248"/>
      <c r="BC67" s="248"/>
      <c r="BD67" s="248"/>
      <c r="BE67" s="248"/>
      <c r="BF67" s="676" t="s">
        <v>277</v>
      </c>
      <c r="BG67" s="556"/>
      <c r="BH67" s="556"/>
      <c r="BI67" s="248"/>
      <c r="BJ67" s="564"/>
      <c r="BK67" s="564"/>
      <c r="BL67" s="564"/>
      <c r="BM67" s="564"/>
      <c r="BN67" s="564"/>
      <c r="BO67" s="564"/>
      <c r="BP67" s="564"/>
      <c r="BQ67" s="564"/>
      <c r="BR67" s="564"/>
      <c r="BS67" s="564"/>
      <c r="BT67" s="564"/>
      <c r="BU67" s="564"/>
      <c r="BV67" s="564"/>
      <c r="BW67" s="564"/>
      <c r="BX67" s="564"/>
      <c r="BZ67" s="533"/>
      <c r="CA67" s="533"/>
      <c r="CB67" s="533"/>
      <c r="CC67" s="533"/>
      <c r="CD67" s="533"/>
      <c r="CE67" s="533"/>
      <c r="CF67" s="533"/>
      <c r="CG67" s="533"/>
      <c r="CH67" s="533"/>
      <c r="CI67" s="835"/>
      <c r="CJ67" s="835"/>
      <c r="CK67" s="835"/>
      <c r="CL67" s="835"/>
      <c r="CM67" s="835"/>
      <c r="CN67" s="835"/>
      <c r="CO67" s="835"/>
      <c r="CP67" s="830"/>
      <c r="CQ67" s="248"/>
      <c r="CR67" s="248"/>
      <c r="CS67" s="248"/>
      <c r="CT67" s="248"/>
      <c r="CU67" s="255"/>
      <c r="CV67" s="255"/>
    </row>
    <row r="68" spans="3:100" ht="9" customHeight="1">
      <c r="C68" s="647" t="s">
        <v>130</v>
      </c>
      <c r="D68" s="647"/>
      <c r="E68" s="647"/>
      <c r="F68" s="647"/>
      <c r="G68" s="647"/>
      <c r="H68" s="647"/>
      <c r="I68" s="647"/>
      <c r="J68" s="647"/>
      <c r="K68" s="647"/>
      <c r="L68" s="653">
        <f>IF('Hyd Sum'!G8="","",'Hyd Sum'!G8)</f>
      </c>
      <c r="M68" s="653"/>
      <c r="N68" s="653"/>
      <c r="O68" s="653"/>
      <c r="P68" s="653"/>
      <c r="Q68" s="653"/>
      <c r="R68" s="653"/>
      <c r="S68" s="653"/>
      <c r="T68" s="653"/>
      <c r="U68" s="653"/>
      <c r="V68" s="653"/>
      <c r="W68" s="653"/>
      <c r="X68" s="653"/>
      <c r="Y68" s="653"/>
      <c r="Z68" s="653"/>
      <c r="AA68" s="653"/>
      <c r="AB68" s="653"/>
      <c r="AC68" s="178"/>
      <c r="AD68" s="178"/>
      <c r="AE68" s="178"/>
      <c r="AF68" s="641" t="s">
        <v>129</v>
      </c>
      <c r="AG68" s="641"/>
      <c r="AH68" s="641"/>
      <c r="AI68" s="641"/>
      <c r="AJ68" s="641"/>
      <c r="AK68" s="693">
        <f>IF('Hyd Sum'!W8="","",'Hyd Sum'!W8)</f>
      </c>
      <c r="AL68" s="693"/>
      <c r="AM68" s="693"/>
      <c r="AN68" s="693"/>
      <c r="AO68" s="693"/>
      <c r="AP68" s="693"/>
      <c r="AQ68" s="693"/>
      <c r="AR68" s="693"/>
      <c r="AT68" s="200"/>
      <c r="AV68" s="233"/>
      <c r="AW68" s="233"/>
      <c r="AX68" s="248"/>
      <c r="AY68" s="248"/>
      <c r="AZ68" s="248"/>
      <c r="BA68" s="248"/>
      <c r="BB68" s="248"/>
      <c r="BC68" s="248"/>
      <c r="BD68" s="248"/>
      <c r="BE68" s="248"/>
      <c r="BF68" s="676"/>
      <c r="BG68" s="556"/>
      <c r="BH68" s="556"/>
      <c r="BI68" s="248"/>
      <c r="BJ68" s="248"/>
      <c r="BK68" s="248"/>
      <c r="BL68" s="248"/>
      <c r="BM68" s="248"/>
      <c r="BN68" s="248"/>
      <c r="BO68" s="248"/>
      <c r="BP68" s="248"/>
      <c r="BQ68" s="248"/>
      <c r="BR68" s="248"/>
      <c r="BS68" s="248"/>
      <c r="BT68" s="248"/>
      <c r="BU68" s="248"/>
      <c r="BV68" s="248"/>
      <c r="BW68" s="248"/>
      <c r="BX68" s="248"/>
      <c r="BY68" s="248"/>
      <c r="BZ68" s="248"/>
      <c r="CA68" s="248"/>
      <c r="CB68" s="248"/>
      <c r="CC68" s="248"/>
      <c r="CD68" s="248"/>
      <c r="CE68" s="248"/>
      <c r="CF68" s="248"/>
      <c r="CG68" s="248"/>
      <c r="CH68" s="248"/>
      <c r="CI68" s="835"/>
      <c r="CJ68" s="835"/>
      <c r="CK68" s="835"/>
      <c r="CL68" s="835"/>
      <c r="CM68" s="835"/>
      <c r="CN68" s="835"/>
      <c r="CO68" s="835"/>
      <c r="CP68" s="830"/>
      <c r="CQ68" s="248"/>
      <c r="CR68" s="248"/>
      <c r="CS68" s="248"/>
      <c r="CT68" s="248"/>
      <c r="CU68" s="255"/>
      <c r="CV68" s="255"/>
    </row>
    <row r="69" spans="3:100" ht="9" customHeight="1">
      <c r="C69" s="647"/>
      <c r="D69" s="647"/>
      <c r="E69" s="647"/>
      <c r="F69" s="647"/>
      <c r="G69" s="647"/>
      <c r="H69" s="647"/>
      <c r="I69" s="647"/>
      <c r="J69" s="647"/>
      <c r="K69" s="647"/>
      <c r="L69" s="654"/>
      <c r="M69" s="654"/>
      <c r="N69" s="654"/>
      <c r="O69" s="654"/>
      <c r="P69" s="654"/>
      <c r="Q69" s="654"/>
      <c r="R69" s="654"/>
      <c r="S69" s="654"/>
      <c r="T69" s="654"/>
      <c r="U69" s="654"/>
      <c r="V69" s="654"/>
      <c r="W69" s="654"/>
      <c r="X69" s="654"/>
      <c r="Y69" s="654"/>
      <c r="Z69" s="654"/>
      <c r="AA69" s="654"/>
      <c r="AB69" s="654"/>
      <c r="AC69" s="178"/>
      <c r="AD69" s="178"/>
      <c r="AE69" s="178"/>
      <c r="AF69" s="641"/>
      <c r="AG69" s="641"/>
      <c r="AH69" s="641"/>
      <c r="AI69" s="641"/>
      <c r="AJ69" s="641"/>
      <c r="AK69" s="694"/>
      <c r="AL69" s="694"/>
      <c r="AM69" s="694"/>
      <c r="AN69" s="694"/>
      <c r="AO69" s="694"/>
      <c r="AP69" s="694"/>
      <c r="AQ69" s="694"/>
      <c r="AR69" s="694"/>
      <c r="AT69" s="201"/>
      <c r="AV69" s="233"/>
      <c r="AW69" s="233"/>
      <c r="AX69" s="248"/>
      <c r="AY69" s="248"/>
      <c r="AZ69" s="248"/>
      <c r="BA69" s="248"/>
      <c r="BB69" s="248"/>
      <c r="BC69" s="248"/>
      <c r="BD69" s="248"/>
      <c r="BE69" s="248"/>
      <c r="BF69" s="248"/>
      <c r="BG69" s="248"/>
      <c r="BH69" s="248"/>
      <c r="BI69" s="248"/>
      <c r="BJ69" s="248"/>
      <c r="BK69" s="248"/>
      <c r="BL69" s="248"/>
      <c r="BM69" s="248"/>
      <c r="BN69" s="248"/>
      <c r="BO69" s="248"/>
      <c r="BP69" s="248"/>
      <c r="BQ69" s="248"/>
      <c r="BR69" s="248"/>
      <c r="BS69" s="248"/>
      <c r="BT69" s="248"/>
      <c r="BU69" s="248"/>
      <c r="BV69" s="248"/>
      <c r="BW69" s="248"/>
      <c r="BX69" s="248"/>
      <c r="BY69" s="248"/>
      <c r="BZ69" s="248"/>
      <c r="CA69" s="248"/>
      <c r="CB69" s="248"/>
      <c r="CC69" s="248"/>
      <c r="CD69" s="248"/>
      <c r="CE69" s="248"/>
      <c r="CF69" s="248"/>
      <c r="CG69" s="248"/>
      <c r="CH69" s="248"/>
      <c r="CI69" s="830"/>
      <c r="CJ69" s="830"/>
      <c r="CK69" s="830"/>
      <c r="CL69" s="830"/>
      <c r="CM69" s="830"/>
      <c r="CN69" s="830"/>
      <c r="CO69" s="830"/>
      <c r="CP69" s="830"/>
      <c r="CQ69" s="709" t="s">
        <v>195</v>
      </c>
      <c r="CR69" s="709"/>
      <c r="CS69" s="248"/>
      <c r="CT69" s="248"/>
      <c r="CU69" s="255"/>
      <c r="CV69" s="255"/>
    </row>
    <row r="70" spans="3:100" ht="9" customHeight="1">
      <c r="C70" s="642" t="s">
        <v>132</v>
      </c>
      <c r="D70" s="642"/>
      <c r="E70" s="642"/>
      <c r="F70" s="642"/>
      <c r="G70" s="642"/>
      <c r="H70" s="642"/>
      <c r="I70" s="642"/>
      <c r="J70" s="642"/>
      <c r="K70" s="642"/>
      <c r="L70" s="699"/>
      <c r="M70" s="699"/>
      <c r="N70" s="699"/>
      <c r="O70" s="699"/>
      <c r="P70" s="699"/>
      <c r="Q70" s="699"/>
      <c r="R70" s="699"/>
      <c r="S70" s="699"/>
      <c r="T70" s="699"/>
      <c r="U70" s="699"/>
      <c r="V70" s="699"/>
      <c r="W70" s="699"/>
      <c r="X70" s="699"/>
      <c r="Y70" s="699"/>
      <c r="Z70" s="699"/>
      <c r="AA70" s="699"/>
      <c r="AB70" s="699"/>
      <c r="AC70" s="203"/>
      <c r="AD70" s="203"/>
      <c r="AE70" s="203"/>
      <c r="AF70" s="641" t="s">
        <v>129</v>
      </c>
      <c r="AG70" s="641"/>
      <c r="AH70" s="641"/>
      <c r="AI70" s="641"/>
      <c r="AJ70" s="641"/>
      <c r="AK70" s="692"/>
      <c r="AL70" s="692"/>
      <c r="AM70" s="692"/>
      <c r="AN70" s="692"/>
      <c r="AO70" s="692"/>
      <c r="AP70" s="692"/>
      <c r="AQ70" s="692"/>
      <c r="AR70" s="692"/>
      <c r="AT70" s="202"/>
      <c r="AV70" s="233"/>
      <c r="AW70" s="233"/>
      <c r="AX70" s="248"/>
      <c r="AY70" s="248"/>
      <c r="AZ70" s="709" t="s">
        <v>196</v>
      </c>
      <c r="BA70" s="709"/>
      <c r="BB70" s="248"/>
      <c r="BC70" s="248"/>
      <c r="BD70" s="248"/>
      <c r="BE70" s="248"/>
      <c r="BF70" s="248"/>
      <c r="BG70" s="248"/>
      <c r="BH70" s="248"/>
      <c r="BI70" s="248"/>
      <c r="BJ70" s="248"/>
      <c r="BK70" s="248"/>
      <c r="BL70" s="248"/>
      <c r="BM70" s="709" t="s">
        <v>197</v>
      </c>
      <c r="BN70" s="709"/>
      <c r="BO70" s="248"/>
      <c r="BP70" s="248"/>
      <c r="BQ70" s="248"/>
      <c r="BR70" s="248"/>
      <c r="BS70" s="248"/>
      <c r="BT70" s="248"/>
      <c r="BU70" s="248"/>
      <c r="BV70" s="248"/>
      <c r="BW70" s="248"/>
      <c r="BX70" s="328"/>
      <c r="BY70" s="248"/>
      <c r="BZ70" s="248"/>
      <c r="CA70" s="248"/>
      <c r="CB70" s="248"/>
      <c r="CC70" s="248"/>
      <c r="CD70" s="248"/>
      <c r="CE70" s="248"/>
      <c r="CF70" s="248"/>
      <c r="CG70" s="248"/>
      <c r="CH70" s="248"/>
      <c r="CI70" s="248"/>
      <c r="CJ70" s="248"/>
      <c r="CK70" s="248"/>
      <c r="CL70" s="248"/>
      <c r="CM70" s="248"/>
      <c r="CN70" s="248"/>
      <c r="CO70" s="248"/>
      <c r="CQ70" s="709"/>
      <c r="CR70" s="709"/>
      <c r="CS70" s="248"/>
      <c r="CT70" s="248"/>
      <c r="CU70" s="255"/>
      <c r="CV70" s="255"/>
    </row>
    <row r="71" spans="3:100" ht="9" customHeight="1">
      <c r="C71" s="642"/>
      <c r="D71" s="642"/>
      <c r="E71" s="642"/>
      <c r="F71" s="642"/>
      <c r="G71" s="642"/>
      <c r="H71" s="642"/>
      <c r="I71" s="642"/>
      <c r="J71" s="642"/>
      <c r="K71" s="642"/>
      <c r="L71" s="658"/>
      <c r="M71" s="658"/>
      <c r="N71" s="658"/>
      <c r="O71" s="658"/>
      <c r="P71" s="658"/>
      <c r="Q71" s="658"/>
      <c r="R71" s="658"/>
      <c r="S71" s="658"/>
      <c r="T71" s="658"/>
      <c r="U71" s="658"/>
      <c r="V71" s="658"/>
      <c r="W71" s="658"/>
      <c r="X71" s="658"/>
      <c r="Y71" s="658"/>
      <c r="Z71" s="658"/>
      <c r="AA71" s="658"/>
      <c r="AB71" s="658"/>
      <c r="AC71" s="203"/>
      <c r="AD71" s="203"/>
      <c r="AE71" s="203"/>
      <c r="AF71" s="641"/>
      <c r="AG71" s="641"/>
      <c r="AH71" s="641"/>
      <c r="AI71" s="641"/>
      <c r="AJ71" s="641"/>
      <c r="AK71" s="672"/>
      <c r="AL71" s="672"/>
      <c r="AM71" s="672"/>
      <c r="AN71" s="672"/>
      <c r="AO71" s="672"/>
      <c r="AP71" s="672"/>
      <c r="AQ71" s="672"/>
      <c r="AR71" s="672"/>
      <c r="AT71" s="203"/>
      <c r="AV71" s="233"/>
      <c r="AW71" s="233"/>
      <c r="AX71" s="248"/>
      <c r="AY71" s="248"/>
      <c r="AZ71" s="709"/>
      <c r="BA71" s="709"/>
      <c r="BB71" s="248"/>
      <c r="BC71" s="248"/>
      <c r="BD71" s="248"/>
      <c r="BE71" s="248"/>
      <c r="BF71" s="248"/>
      <c r="BG71" s="248"/>
      <c r="BH71" s="248"/>
      <c r="BI71" s="248"/>
      <c r="BJ71" s="248"/>
      <c r="BK71" s="248"/>
      <c r="BL71" s="248"/>
      <c r="BM71" s="709"/>
      <c r="BN71" s="709"/>
      <c r="BO71" s="248"/>
      <c r="BQ71" s="328"/>
      <c r="BR71" s="328"/>
      <c r="BS71" s="328"/>
      <c r="BT71" s="248"/>
      <c r="BU71" s="248"/>
      <c r="BV71" s="248"/>
      <c r="BW71" s="337"/>
      <c r="BX71" s="346"/>
      <c r="BY71" s="248"/>
      <c r="BZ71" s="248"/>
      <c r="CA71" s="248"/>
      <c r="CB71" s="248"/>
      <c r="CC71" s="248"/>
      <c r="CD71" s="248"/>
      <c r="CE71" s="248"/>
      <c r="CF71" s="248"/>
      <c r="CG71" s="248"/>
      <c r="CH71" s="248"/>
      <c r="CI71" s="248"/>
      <c r="CJ71" s="248"/>
      <c r="CK71" s="248"/>
      <c r="CL71" s="248"/>
      <c r="CM71" s="248"/>
      <c r="CN71" s="248"/>
      <c r="CO71" s="248"/>
      <c r="CP71" s="248"/>
      <c r="CQ71" s="248"/>
      <c r="CR71" s="248"/>
      <c r="CS71" s="248"/>
      <c r="CT71" s="248"/>
      <c r="CU71" s="255"/>
      <c r="CV71" s="255"/>
    </row>
    <row r="72" spans="3:100" ht="9" customHeight="1">
      <c r="C72" s="642" t="s">
        <v>174</v>
      </c>
      <c r="D72" s="642"/>
      <c r="E72" s="642"/>
      <c r="F72" s="642"/>
      <c r="G72" s="642"/>
      <c r="H72" s="642"/>
      <c r="I72" s="642"/>
      <c r="J72" s="642"/>
      <c r="K72" s="642"/>
      <c r="L72" s="679"/>
      <c r="M72" s="679"/>
      <c r="N72" s="679"/>
      <c r="O72" s="679"/>
      <c r="P72" s="679"/>
      <c r="Q72" s="679"/>
      <c r="R72" s="679"/>
      <c r="S72" s="679"/>
      <c r="T72" s="679"/>
      <c r="U72" s="679"/>
      <c r="V72" s="679"/>
      <c r="W72" s="679"/>
      <c r="X72" s="679"/>
      <c r="Y72" s="679"/>
      <c r="Z72" s="679"/>
      <c r="AA72" s="679"/>
      <c r="AB72" s="679"/>
      <c r="AC72" s="203"/>
      <c r="AD72" s="203"/>
      <c r="AE72" s="203"/>
      <c r="AF72" s="641" t="s">
        <v>129</v>
      </c>
      <c r="AG72" s="641"/>
      <c r="AH72" s="641"/>
      <c r="AI72" s="641"/>
      <c r="AJ72" s="641"/>
      <c r="AK72" s="659"/>
      <c r="AL72" s="659"/>
      <c r="AM72" s="659"/>
      <c r="AN72" s="659"/>
      <c r="AO72" s="659"/>
      <c r="AP72" s="659"/>
      <c r="AQ72" s="659"/>
      <c r="AR72" s="659"/>
      <c r="AT72" s="203"/>
      <c r="AV72" s="233"/>
      <c r="AW72" s="233"/>
      <c r="AX72" s="248"/>
      <c r="AY72" s="248"/>
      <c r="AZ72" s="248"/>
      <c r="BA72" s="248"/>
      <c r="BB72" s="248"/>
      <c r="BC72" s="248"/>
      <c r="BD72" s="248"/>
      <c r="BE72" s="248"/>
      <c r="BF72" s="248"/>
      <c r="BG72" s="248"/>
      <c r="BH72" s="248"/>
      <c r="BI72" s="248"/>
      <c r="BJ72" s="248"/>
      <c r="BK72" s="248"/>
      <c r="BL72" s="248"/>
      <c r="BM72" s="248"/>
      <c r="BN72" s="248"/>
      <c r="BO72" s="248"/>
      <c r="BP72" s="328"/>
      <c r="BQ72" s="328"/>
      <c r="BR72" s="328"/>
      <c r="BS72" s="328"/>
      <c r="BT72" s="248"/>
      <c r="BU72" s="248"/>
      <c r="BV72" s="248"/>
      <c r="BW72" s="346"/>
      <c r="BX72" s="346"/>
      <c r="BY72" s="248"/>
      <c r="BZ72" s="248"/>
      <c r="CA72" s="248"/>
      <c r="CB72" s="248"/>
      <c r="CC72" s="248"/>
      <c r="CD72" s="248"/>
      <c r="CE72" s="248"/>
      <c r="CF72" s="248"/>
      <c r="CG72" s="248"/>
      <c r="CH72" s="248"/>
      <c r="CI72" s="248"/>
      <c r="CJ72" s="248"/>
      <c r="CK72" s="248"/>
      <c r="CL72" s="248"/>
      <c r="CM72" s="248"/>
      <c r="CN72" s="248"/>
      <c r="CO72" s="248"/>
      <c r="CP72" s="248"/>
      <c r="CQ72" s="248"/>
      <c r="CR72" s="248"/>
      <c r="CS72" s="248"/>
      <c r="CT72" s="248"/>
      <c r="CU72" s="255"/>
      <c r="CV72" s="255"/>
    </row>
    <row r="73" spans="3:100" ht="9" customHeight="1">
      <c r="C73" s="642"/>
      <c r="D73" s="642"/>
      <c r="E73" s="642"/>
      <c r="F73" s="642"/>
      <c r="G73" s="642"/>
      <c r="H73" s="642"/>
      <c r="I73" s="642"/>
      <c r="J73" s="642"/>
      <c r="K73" s="642"/>
      <c r="L73" s="593"/>
      <c r="M73" s="593"/>
      <c r="N73" s="593"/>
      <c r="O73" s="593"/>
      <c r="P73" s="593"/>
      <c r="Q73" s="593"/>
      <c r="R73" s="593"/>
      <c r="S73" s="593"/>
      <c r="T73" s="593"/>
      <c r="U73" s="593"/>
      <c r="V73" s="593"/>
      <c r="W73" s="593"/>
      <c r="X73" s="593"/>
      <c r="Y73" s="593"/>
      <c r="Z73" s="593"/>
      <c r="AA73" s="593"/>
      <c r="AB73" s="593"/>
      <c r="AC73" s="203"/>
      <c r="AD73" s="203"/>
      <c r="AE73" s="203"/>
      <c r="AF73" s="641"/>
      <c r="AG73" s="641"/>
      <c r="AH73" s="641"/>
      <c r="AI73" s="641"/>
      <c r="AJ73" s="641"/>
      <c r="AK73" s="660"/>
      <c r="AL73" s="660"/>
      <c r="AM73" s="660"/>
      <c r="AN73" s="660"/>
      <c r="AO73" s="660"/>
      <c r="AP73" s="660"/>
      <c r="AQ73" s="660"/>
      <c r="AR73" s="660"/>
      <c r="AT73" s="202"/>
      <c r="AV73" s="233"/>
      <c r="AW73" s="233"/>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328"/>
      <c r="CC73" s="328"/>
      <c r="CD73" s="328"/>
      <c r="CE73" s="248"/>
      <c r="CF73" s="248"/>
      <c r="CG73" s="248"/>
      <c r="CH73" s="248"/>
      <c r="CI73" s="248"/>
      <c r="CJ73" s="248"/>
      <c r="CK73" s="248"/>
      <c r="CL73" s="248"/>
      <c r="CM73" s="248"/>
      <c r="CN73" s="248"/>
      <c r="CO73" s="709" t="s">
        <v>198</v>
      </c>
      <c r="CP73" s="709"/>
      <c r="CQ73" s="248"/>
      <c r="CR73" s="248"/>
      <c r="CS73" s="248"/>
      <c r="CT73" s="248"/>
      <c r="CU73" s="255"/>
      <c r="CV73" s="255"/>
    </row>
    <row r="74" spans="46:100" ht="9" customHeight="1">
      <c r="AT74" s="204"/>
      <c r="AV74" s="233"/>
      <c r="AW74" s="233"/>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328"/>
      <c r="BX74" s="328"/>
      <c r="BY74" s="248"/>
      <c r="BZ74" s="248"/>
      <c r="CA74" s="248"/>
      <c r="CB74" s="328"/>
      <c r="CC74" s="328"/>
      <c r="CD74" s="328"/>
      <c r="CE74" s="248"/>
      <c r="CF74" s="248"/>
      <c r="CG74" s="248"/>
      <c r="CH74" s="248"/>
      <c r="CI74" s="248"/>
      <c r="CJ74" s="248"/>
      <c r="CK74" s="248"/>
      <c r="CL74" s="248"/>
      <c r="CM74" s="248"/>
      <c r="CN74" s="248"/>
      <c r="CO74" s="709"/>
      <c r="CP74" s="709"/>
      <c r="CQ74" s="248"/>
      <c r="CR74" s="248"/>
      <c r="CS74" s="248"/>
      <c r="CT74" s="248"/>
      <c r="CU74" s="255"/>
      <c r="CV74" s="255"/>
    </row>
    <row r="75" spans="46:100" ht="9" customHeight="1">
      <c r="AT75" s="204"/>
      <c r="AV75" s="233"/>
      <c r="AW75" s="233"/>
      <c r="AX75" s="248"/>
      <c r="AY75" s="248"/>
      <c r="AZ75" s="248"/>
      <c r="BA75" s="248"/>
      <c r="BB75" s="248"/>
      <c r="BC75" s="248"/>
      <c r="BD75" s="248"/>
      <c r="BE75" s="248"/>
      <c r="BF75" s="248"/>
      <c r="BG75" s="248"/>
      <c r="BI75" s="831" t="s">
        <v>327</v>
      </c>
      <c r="BJ75" s="564"/>
      <c r="BK75" s="564"/>
      <c r="BL75" s="564"/>
      <c r="BM75" s="564"/>
      <c r="BN75" s="564"/>
      <c r="BO75" s="26"/>
      <c r="BP75" s="248"/>
      <c r="BQ75" s="248"/>
      <c r="BR75" s="248"/>
      <c r="BS75" s="248"/>
      <c r="BT75" s="248"/>
      <c r="BU75" s="248"/>
      <c r="BV75" s="248"/>
      <c r="BW75" s="328"/>
      <c r="BX75" s="328"/>
      <c r="BY75" s="248"/>
      <c r="BZ75" s="248"/>
      <c r="CA75" s="248"/>
      <c r="CB75" s="248"/>
      <c r="CC75" s="248"/>
      <c r="CD75" s="248"/>
      <c r="CE75" s="248"/>
      <c r="CF75" s="248"/>
      <c r="CG75" s="248"/>
      <c r="CH75" s="248"/>
      <c r="CI75" s="248"/>
      <c r="CJ75" s="248"/>
      <c r="CK75" s="248"/>
      <c r="CL75" s="248"/>
      <c r="CM75" s="248"/>
      <c r="CN75" s="248"/>
      <c r="CO75" s="248"/>
      <c r="CP75" s="248"/>
      <c r="CQ75" s="248"/>
      <c r="CR75" s="248"/>
      <c r="CS75" s="248"/>
      <c r="CT75" s="248"/>
      <c r="CU75" s="255"/>
      <c r="CV75" s="255"/>
    </row>
    <row r="76" spans="46:100" ht="9" customHeight="1">
      <c r="AT76" s="202"/>
      <c r="AV76" s="233"/>
      <c r="AW76" s="233"/>
      <c r="AX76" s="248"/>
      <c r="AY76" s="248"/>
      <c r="AZ76" s="248"/>
      <c r="BA76" s="248"/>
      <c r="BB76" s="248"/>
      <c r="BC76" s="248"/>
      <c r="BD76" s="248"/>
      <c r="BE76" s="248"/>
      <c r="BF76" s="248"/>
      <c r="BG76" s="248"/>
      <c r="BH76" s="26"/>
      <c r="BI76" s="564"/>
      <c r="BJ76" s="564"/>
      <c r="BK76" s="564"/>
      <c r="BL76" s="564"/>
      <c r="BM76" s="564"/>
      <c r="BN76" s="564"/>
      <c r="BO76" s="26"/>
      <c r="BP76" s="248"/>
      <c r="BQ76" s="248"/>
      <c r="BR76" s="248"/>
      <c r="BS76" s="248"/>
      <c r="BT76" s="248"/>
      <c r="BU76" s="248"/>
      <c r="BV76" s="248"/>
      <c r="BW76" s="248"/>
      <c r="BX76" s="248"/>
      <c r="BY76" s="248"/>
      <c r="BZ76" s="255"/>
      <c r="CA76" s="248"/>
      <c r="CB76" s="248"/>
      <c r="CC76" s="248"/>
      <c r="CD76" s="248"/>
      <c r="CE76" s="248"/>
      <c r="CF76" s="248"/>
      <c r="CG76" s="248"/>
      <c r="CH76" s="248"/>
      <c r="CI76" s="248"/>
      <c r="CJ76" s="248"/>
      <c r="CK76" s="248"/>
      <c r="CL76" s="248"/>
      <c r="CM76" s="248"/>
      <c r="CN76" s="248"/>
      <c r="CO76" s="248"/>
      <c r="CP76" s="248"/>
      <c r="CQ76" s="248"/>
      <c r="CR76" s="248"/>
      <c r="CS76" s="248"/>
      <c r="CT76" s="248"/>
      <c r="CU76" s="255"/>
      <c r="CV76" s="255"/>
    </row>
    <row r="77" spans="46:100" ht="9" customHeight="1">
      <c r="AT77" s="204"/>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675" t="s">
        <v>228</v>
      </c>
      <c r="CA77" s="675"/>
      <c r="CB77" s="533"/>
      <c r="CC77" s="255"/>
      <c r="CD77" s="255"/>
      <c r="CE77" s="255"/>
      <c r="CF77" s="255"/>
      <c r="CG77" s="255"/>
      <c r="CH77" s="255"/>
      <c r="CI77" s="255"/>
      <c r="CJ77" s="255"/>
      <c r="CK77" s="255"/>
      <c r="CL77" s="255"/>
      <c r="CM77" s="255"/>
      <c r="CN77" s="255"/>
      <c r="CO77" s="255"/>
      <c r="CP77" s="255"/>
      <c r="CQ77" s="255"/>
      <c r="CR77" s="255"/>
      <c r="CS77" s="255"/>
      <c r="CT77" s="255"/>
      <c r="CU77" s="255"/>
      <c r="CV77" s="255"/>
    </row>
    <row r="78" spans="46:100" ht="9" customHeight="1">
      <c r="AT78" s="204"/>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675"/>
      <c r="CA78" s="675"/>
      <c r="CB78" s="533"/>
      <c r="CC78" s="255"/>
      <c r="CD78" s="255"/>
      <c r="CE78" s="255"/>
      <c r="CF78" s="255"/>
      <c r="CG78" s="255"/>
      <c r="CH78" s="255"/>
      <c r="CI78" s="255"/>
      <c r="CJ78" s="255"/>
      <c r="CK78" s="255"/>
      <c r="CL78" s="255"/>
      <c r="CM78" s="255"/>
      <c r="CN78" s="255"/>
      <c r="CO78" s="255"/>
      <c r="CP78" s="255"/>
      <c r="CQ78" s="255"/>
      <c r="CR78" s="255"/>
      <c r="CS78" s="255"/>
      <c r="CT78" s="255"/>
      <c r="CU78" s="255"/>
      <c r="CV78" s="255"/>
    </row>
    <row r="79" spans="1:102" ht="7.5" customHeight="1">
      <c r="A79" s="643" t="s">
        <v>126</v>
      </c>
      <c r="B79" s="643"/>
      <c r="C79" s="643"/>
      <c r="D79" s="643"/>
      <c r="E79" s="644"/>
      <c r="F79" s="599">
        <f>IF(L7="","",L7)</f>
      </c>
      <c r="G79" s="690"/>
      <c r="H79" s="690"/>
      <c r="I79" s="690"/>
      <c r="J79" s="690"/>
      <c r="K79" s="690"/>
      <c r="L79" s="690"/>
      <c r="M79" s="690"/>
      <c r="N79" s="690"/>
      <c r="O79" s="690"/>
      <c r="P79" s="690"/>
      <c r="Q79" s="690"/>
      <c r="R79" s="690"/>
      <c r="S79" s="690"/>
      <c r="T79" s="690"/>
      <c r="U79" s="690"/>
      <c r="V79" s="690"/>
      <c r="W79" s="690"/>
      <c r="X79" s="690"/>
      <c r="Y79" s="271"/>
      <c r="Z79" s="678" t="s">
        <v>127</v>
      </c>
      <c r="AA79" s="678"/>
      <c r="AB79" s="678"/>
      <c r="AC79" s="678"/>
      <c r="AD79" s="678"/>
      <c r="AE79" s="678"/>
      <c r="AF79" s="678"/>
      <c r="AG79" s="599">
        <f>IF(L9="","",L9)</f>
      </c>
      <c r="AH79" s="690"/>
      <c r="AI79" s="690"/>
      <c r="AJ79" s="690"/>
      <c r="AK79" s="690"/>
      <c r="AL79" s="690"/>
      <c r="AM79" s="690"/>
      <c r="AN79" s="690"/>
      <c r="AO79" s="690"/>
      <c r="AP79" s="690"/>
      <c r="AQ79" s="690"/>
      <c r="AR79" s="690"/>
      <c r="AS79" s="690"/>
      <c r="AT79" s="690"/>
      <c r="AU79" s="690"/>
      <c r="AV79" s="690"/>
      <c r="AW79" s="690"/>
      <c r="AX79" s="233"/>
      <c r="AY79" s="237"/>
      <c r="AZ79" s="237"/>
      <c r="BA79" s="237"/>
      <c r="BB79" s="237"/>
      <c r="BC79" s="237"/>
      <c r="BD79" s="237"/>
      <c r="BE79" s="237"/>
      <c r="BF79" s="237"/>
      <c r="BG79" s="237"/>
      <c r="BH79" s="237"/>
      <c r="BI79" s="237"/>
      <c r="BJ79" s="271"/>
      <c r="BK79" s="271"/>
      <c r="BL79" s="271"/>
      <c r="BM79" s="271"/>
      <c r="BN79" s="271"/>
      <c r="BO79" s="271"/>
      <c r="BP79" s="271"/>
      <c r="BQ79" s="271"/>
      <c r="BR79" s="271"/>
      <c r="BS79" s="271"/>
      <c r="BT79" s="271"/>
      <c r="BU79" s="233"/>
      <c r="BV79" s="233"/>
      <c r="BW79" s="233"/>
      <c r="BX79" s="233"/>
      <c r="BY79" s="233"/>
      <c r="BZ79" s="233"/>
      <c r="CA79" s="233"/>
      <c r="CB79" s="233"/>
      <c r="CC79" s="271"/>
      <c r="CD79" s="271"/>
      <c r="CE79" s="271"/>
      <c r="CF79" s="271"/>
      <c r="CG79" s="271"/>
      <c r="CH79" s="271"/>
      <c r="CI79" s="634" t="s">
        <v>215</v>
      </c>
      <c r="CJ79" s="635"/>
      <c r="CK79" s="635"/>
      <c r="CL79" s="635"/>
      <c r="CM79" s="635"/>
      <c r="CN79" s="635"/>
      <c r="CO79" s="635"/>
      <c r="CP79" s="635"/>
      <c r="CQ79" s="635"/>
      <c r="CR79" s="635"/>
      <c r="CS79" s="635"/>
      <c r="CT79" s="635"/>
      <c r="CU79" s="635"/>
      <c r="CV79" s="635"/>
      <c r="CW79" s="233"/>
      <c r="CX79" s="233"/>
    </row>
    <row r="80" spans="1:102" ht="9" customHeight="1">
      <c r="A80" s="643"/>
      <c r="B80" s="643"/>
      <c r="C80" s="643"/>
      <c r="D80" s="643"/>
      <c r="E80" s="644"/>
      <c r="F80" s="691"/>
      <c r="G80" s="691"/>
      <c r="H80" s="691"/>
      <c r="I80" s="691"/>
      <c r="J80" s="691"/>
      <c r="K80" s="691"/>
      <c r="L80" s="691"/>
      <c r="M80" s="691"/>
      <c r="N80" s="691"/>
      <c r="O80" s="691"/>
      <c r="P80" s="691"/>
      <c r="Q80" s="691"/>
      <c r="R80" s="691"/>
      <c r="S80" s="691"/>
      <c r="T80" s="691"/>
      <c r="U80" s="691"/>
      <c r="V80" s="691"/>
      <c r="W80" s="691"/>
      <c r="X80" s="691"/>
      <c r="Y80" s="233"/>
      <c r="Z80" s="678"/>
      <c r="AA80" s="678"/>
      <c r="AB80" s="678"/>
      <c r="AC80" s="678"/>
      <c r="AD80" s="678"/>
      <c r="AE80" s="678"/>
      <c r="AF80" s="678"/>
      <c r="AG80" s="691"/>
      <c r="AH80" s="691"/>
      <c r="AI80" s="691"/>
      <c r="AJ80" s="691"/>
      <c r="AK80" s="691"/>
      <c r="AL80" s="691"/>
      <c r="AM80" s="691"/>
      <c r="AN80" s="691"/>
      <c r="AO80" s="691"/>
      <c r="AP80" s="691"/>
      <c r="AQ80" s="691"/>
      <c r="AR80" s="691"/>
      <c r="AS80" s="691"/>
      <c r="AT80" s="691"/>
      <c r="AU80" s="691"/>
      <c r="AV80" s="691"/>
      <c r="AW80" s="691"/>
      <c r="AX80" s="233"/>
      <c r="AY80" s="233"/>
      <c r="AZ80" s="233"/>
      <c r="BA80" s="233"/>
      <c r="BB80" s="264"/>
      <c r="BC80" s="264"/>
      <c r="BD80" s="264"/>
      <c r="BE80" s="264"/>
      <c r="BF80" s="264"/>
      <c r="BG80" s="264"/>
      <c r="BH80" s="264"/>
      <c r="BI80" s="264"/>
      <c r="BJ80" s="264"/>
      <c r="BK80" s="264"/>
      <c r="BL80" s="264"/>
      <c r="BM80" s="264"/>
      <c r="BN80" s="264"/>
      <c r="BO80" s="264"/>
      <c r="BP80" s="264"/>
      <c r="BQ80" s="264"/>
      <c r="BR80" s="264"/>
      <c r="BS80" s="264"/>
      <c r="BT80" s="264"/>
      <c r="BU80" s="233"/>
      <c r="BV80" s="233"/>
      <c r="BW80" s="233"/>
      <c r="BX80" s="233"/>
      <c r="BY80" s="233"/>
      <c r="BZ80" s="233"/>
      <c r="CA80" s="233"/>
      <c r="CB80" s="233"/>
      <c r="CC80" s="264"/>
      <c r="CD80" s="264"/>
      <c r="CE80" s="264"/>
      <c r="CF80" s="264"/>
      <c r="CH80" s="264"/>
      <c r="CI80" s="635"/>
      <c r="CJ80" s="635"/>
      <c r="CK80" s="635"/>
      <c r="CL80" s="635"/>
      <c r="CM80" s="635"/>
      <c r="CN80" s="635"/>
      <c r="CO80" s="635"/>
      <c r="CP80" s="635"/>
      <c r="CQ80" s="635"/>
      <c r="CR80" s="635"/>
      <c r="CS80" s="635"/>
      <c r="CT80" s="635"/>
      <c r="CU80" s="635"/>
      <c r="CV80" s="635"/>
      <c r="CW80" s="233"/>
      <c r="CX80" s="233"/>
    </row>
    <row r="81" spans="1:102" ht="9" customHeight="1">
      <c r="A81" s="233"/>
      <c r="B81" s="272"/>
      <c r="C81" s="272"/>
      <c r="D81" s="272"/>
      <c r="E81" s="272"/>
      <c r="F81" s="275"/>
      <c r="G81" s="275"/>
      <c r="H81" s="275"/>
      <c r="I81" s="275"/>
      <c r="J81" s="275"/>
      <c r="K81" s="275"/>
      <c r="L81" s="275"/>
      <c r="M81" s="275"/>
      <c r="N81" s="275"/>
      <c r="O81" s="275"/>
      <c r="P81" s="275"/>
      <c r="Q81" s="275"/>
      <c r="R81" s="275"/>
      <c r="S81" s="275"/>
      <c r="T81" s="275"/>
      <c r="U81" s="275"/>
      <c r="V81" s="275"/>
      <c r="W81" s="275"/>
      <c r="X81" s="275"/>
      <c r="Y81" s="275"/>
      <c r="Z81" s="233"/>
      <c r="AA81" s="271"/>
      <c r="AB81" s="271"/>
      <c r="AC81" s="271"/>
      <c r="AD81" s="271"/>
      <c r="AE81" s="271"/>
      <c r="AF81" s="271"/>
      <c r="AG81" s="271"/>
      <c r="AH81" s="233"/>
      <c r="AI81" s="233"/>
      <c r="AJ81" s="233"/>
      <c r="AK81" s="233"/>
      <c r="AL81" s="233"/>
      <c r="AM81" s="233"/>
      <c r="AN81" s="233"/>
      <c r="AO81" s="233"/>
      <c r="AP81" s="233"/>
      <c r="AQ81" s="233"/>
      <c r="AR81" s="233"/>
      <c r="AS81" s="304"/>
      <c r="AT81" s="304"/>
      <c r="AU81" s="304"/>
      <c r="AV81" s="304"/>
      <c r="AW81" s="304"/>
      <c r="AX81" s="304"/>
      <c r="AY81" s="233"/>
      <c r="AZ81" s="233"/>
      <c r="BA81" s="233"/>
      <c r="BB81" s="264"/>
      <c r="BC81" s="264"/>
      <c r="BD81" s="264"/>
      <c r="BE81" s="264"/>
      <c r="BF81" s="264"/>
      <c r="BG81" s="264"/>
      <c r="BH81" s="264"/>
      <c r="BI81" s="264"/>
      <c r="BJ81" s="264"/>
      <c r="BK81" s="264"/>
      <c r="BL81" s="264"/>
      <c r="BM81" s="264"/>
      <c r="BN81" s="264"/>
      <c r="BO81" s="264"/>
      <c r="BP81" s="264"/>
      <c r="BQ81" s="264"/>
      <c r="BR81" s="264"/>
      <c r="BS81" s="264"/>
      <c r="BT81" s="264"/>
      <c r="BU81" s="233"/>
      <c r="BV81" s="303"/>
      <c r="BW81" s="303"/>
      <c r="BX81" s="303"/>
      <c r="BY81" s="303"/>
      <c r="BZ81" s="303"/>
      <c r="CA81" s="303"/>
      <c r="CB81" s="303"/>
      <c r="CC81" s="264"/>
      <c r="CD81" s="264"/>
      <c r="CE81" s="264"/>
      <c r="CF81" s="264"/>
      <c r="CG81" s="264"/>
      <c r="CH81" s="264"/>
      <c r="CI81" s="264"/>
      <c r="CJ81" s="264"/>
      <c r="CK81" s="264"/>
      <c r="CL81" s="264"/>
      <c r="CM81" s="264"/>
      <c r="CN81" s="264"/>
      <c r="CO81" s="264"/>
      <c r="CP81" s="264"/>
      <c r="CQ81" s="264"/>
      <c r="CR81" s="264"/>
      <c r="CS81" s="264"/>
      <c r="CT81" s="264"/>
      <c r="CU81" s="264"/>
      <c r="CV81" s="264"/>
      <c r="CW81" s="233"/>
      <c r="CX81" s="233"/>
    </row>
    <row r="82" spans="1:102" ht="9" customHeight="1">
      <c r="A82" s="233"/>
      <c r="B82" s="272"/>
      <c r="C82" s="272"/>
      <c r="D82" s="272"/>
      <c r="E82" s="272"/>
      <c r="F82" s="275"/>
      <c r="G82" s="275"/>
      <c r="H82" s="275"/>
      <c r="I82" s="275"/>
      <c r="J82" s="275"/>
      <c r="K82" s="275"/>
      <c r="L82" s="275"/>
      <c r="M82" s="275"/>
      <c r="N82" s="275"/>
      <c r="O82" s="275"/>
      <c r="P82" s="275"/>
      <c r="Q82" s="275"/>
      <c r="R82" s="643" t="s">
        <v>180</v>
      </c>
      <c r="S82" s="643"/>
      <c r="T82" s="643"/>
      <c r="U82" s="643"/>
      <c r="V82" s="643"/>
      <c r="W82" s="643"/>
      <c r="X82" s="643"/>
      <c r="Y82" s="643"/>
      <c r="Z82" s="643"/>
      <c r="AA82" s="643"/>
      <c r="AB82" s="643"/>
      <c r="AC82" s="643"/>
      <c r="AD82" s="643"/>
      <c r="AE82" s="643"/>
      <c r="AF82" s="643"/>
      <c r="AG82" s="271"/>
      <c r="AH82" s="233"/>
      <c r="AI82" s="233"/>
      <c r="AJ82" s="233"/>
      <c r="AK82" s="233"/>
      <c r="AL82" s="233"/>
      <c r="AM82" s="233"/>
      <c r="AN82" s="233"/>
      <c r="AO82" s="233"/>
      <c r="AP82" s="233"/>
      <c r="AQ82" s="233"/>
      <c r="AR82" s="233"/>
      <c r="AS82" s="233"/>
      <c r="AT82" s="233"/>
      <c r="AU82" s="696" t="s">
        <v>204</v>
      </c>
      <c r="AV82" s="697"/>
      <c r="AW82" s="697"/>
      <c r="AX82" s="697"/>
      <c r="AY82" s="697"/>
      <c r="AZ82" s="697"/>
      <c r="BA82" s="698"/>
      <c r="BC82" s="264"/>
      <c r="BD82" s="264"/>
      <c r="BK82" s="264"/>
      <c r="BL82" s="264"/>
      <c r="BM82" s="264"/>
      <c r="BN82" s="264"/>
      <c r="BO82" s="264"/>
      <c r="BP82" s="264"/>
      <c r="BQ82" s="264"/>
      <c r="BR82" s="264"/>
      <c r="BS82" s="264"/>
      <c r="BT82" s="264"/>
      <c r="BU82" s="678" t="s">
        <v>207</v>
      </c>
      <c r="BV82" s="678"/>
      <c r="BW82" s="678"/>
      <c r="BX82" s="678"/>
      <c r="BY82" s="678"/>
      <c r="BZ82" s="678"/>
      <c r="CA82" s="678"/>
      <c r="CB82" s="678"/>
      <c r="CC82" s="264"/>
      <c r="CD82" s="264"/>
      <c r="CE82" s="264"/>
      <c r="CF82" s="264"/>
      <c r="CG82" s="264"/>
      <c r="CH82" s="264"/>
      <c r="CI82" s="264"/>
      <c r="CJ82" s="264"/>
      <c r="CK82" s="264"/>
      <c r="CL82" s="264"/>
      <c r="CM82" s="264"/>
      <c r="CN82" s="264"/>
      <c r="CO82" s="264"/>
      <c r="CP82" s="264"/>
      <c r="CQ82" s="264"/>
      <c r="CR82" s="264"/>
      <c r="CS82" s="264"/>
      <c r="CT82" s="264"/>
      <c r="CU82" s="264"/>
      <c r="CV82" s="264"/>
      <c r="CW82" s="233"/>
      <c r="CX82" s="233"/>
    </row>
    <row r="83" spans="1:102" ht="9" customHeight="1">
      <c r="A83" s="233"/>
      <c r="B83" s="272"/>
      <c r="C83" s="272"/>
      <c r="D83" s="272"/>
      <c r="E83" s="272"/>
      <c r="F83" s="275"/>
      <c r="G83" s="275"/>
      <c r="H83" s="275"/>
      <c r="I83" s="275"/>
      <c r="J83" s="275"/>
      <c r="K83" s="275"/>
      <c r="L83" s="275"/>
      <c r="M83" s="275"/>
      <c r="N83" s="275"/>
      <c r="O83" s="275"/>
      <c r="P83" s="275"/>
      <c r="Q83" s="275"/>
      <c r="R83" s="620"/>
      <c r="S83" s="620"/>
      <c r="T83" s="620"/>
      <c r="U83" s="620"/>
      <c r="V83" s="620"/>
      <c r="W83" s="620"/>
      <c r="X83" s="620"/>
      <c r="Y83" s="620"/>
      <c r="Z83" s="620"/>
      <c r="AA83" s="620"/>
      <c r="AB83" s="620"/>
      <c r="AC83" s="620"/>
      <c r="AD83" s="620"/>
      <c r="AE83" s="620"/>
      <c r="AF83" s="620"/>
      <c r="AG83" s="233"/>
      <c r="AH83" s="233"/>
      <c r="AI83" s="233"/>
      <c r="AJ83" s="233"/>
      <c r="AK83" s="233"/>
      <c r="AL83" s="233"/>
      <c r="AM83" s="233"/>
      <c r="AN83" s="233"/>
      <c r="AO83" s="233"/>
      <c r="AP83" s="233"/>
      <c r="AQ83" s="233"/>
      <c r="AR83" s="233"/>
      <c r="AS83" s="233"/>
      <c r="AT83" s="233"/>
      <c r="AU83" s="697"/>
      <c r="AV83" s="697"/>
      <c r="AW83" s="697"/>
      <c r="AX83" s="697"/>
      <c r="AY83" s="697"/>
      <c r="AZ83" s="697"/>
      <c r="BA83" s="698"/>
      <c r="BC83" s="264"/>
      <c r="BD83" s="264"/>
      <c r="BK83" s="264"/>
      <c r="BL83" s="264"/>
      <c r="BM83" s="264"/>
      <c r="BN83" s="264"/>
      <c r="BO83" s="264"/>
      <c r="BP83" s="264"/>
      <c r="BQ83" s="264"/>
      <c r="BR83" s="264"/>
      <c r="BS83" s="264"/>
      <c r="BT83" s="264"/>
      <c r="BU83" s="678"/>
      <c r="BV83" s="678"/>
      <c r="BW83" s="678"/>
      <c r="BX83" s="678"/>
      <c r="BY83" s="678"/>
      <c r="BZ83" s="678"/>
      <c r="CA83" s="678"/>
      <c r="CB83" s="678"/>
      <c r="CC83" s="264"/>
      <c r="CD83" s="264"/>
      <c r="CE83" s="264"/>
      <c r="CF83" s="264"/>
      <c r="CG83" s="264"/>
      <c r="CH83" s="264"/>
      <c r="CI83" s="264"/>
      <c r="CJ83" s="264"/>
      <c r="CK83" s="264"/>
      <c r="CL83" s="264"/>
      <c r="CM83" s="264"/>
      <c r="CN83" s="264"/>
      <c r="CO83" s="264"/>
      <c r="CP83" s="264"/>
      <c r="CQ83" s="264"/>
      <c r="CR83" s="264"/>
      <c r="CS83" s="264"/>
      <c r="CT83" s="264"/>
      <c r="CU83" s="264"/>
      <c r="CV83" s="264"/>
      <c r="CW83" s="233"/>
      <c r="CX83" s="233"/>
    </row>
    <row r="84" spans="1:102" ht="9" customHeight="1">
      <c r="A84" s="329"/>
      <c r="B84" s="332"/>
      <c r="C84" s="332"/>
      <c r="D84" s="332"/>
      <c r="E84" s="333"/>
      <c r="F84" s="686" t="s">
        <v>206</v>
      </c>
      <c r="G84" s="687"/>
      <c r="H84" s="687"/>
      <c r="I84" s="687"/>
      <c r="J84" s="687"/>
      <c r="K84" s="687"/>
      <c r="L84" s="687"/>
      <c r="M84" s="687"/>
      <c r="N84" s="687"/>
      <c r="O84" s="687"/>
      <c r="P84" s="687"/>
      <c r="Q84" s="687"/>
      <c r="R84" s="655">
        <f>BY9</f>
      </c>
      <c r="S84" s="655"/>
      <c r="T84" s="655"/>
      <c r="U84" s="655"/>
      <c r="V84" s="305"/>
      <c r="W84" s="305"/>
      <c r="X84" s="305"/>
      <c r="Y84" s="306"/>
      <c r="Z84" s="282"/>
      <c r="AA84" s="238"/>
      <c r="AB84" s="238"/>
      <c r="AC84" s="238"/>
      <c r="AD84" s="283"/>
      <c r="AE84" s="686" t="s">
        <v>206</v>
      </c>
      <c r="AF84" s="687"/>
      <c r="AG84" s="687"/>
      <c r="AH84" s="687"/>
      <c r="AI84" s="687"/>
      <c r="AJ84" s="687"/>
      <c r="AK84" s="687"/>
      <c r="AL84" s="687"/>
      <c r="AM84" s="687"/>
      <c r="AN84" s="687"/>
      <c r="AO84" s="687"/>
      <c r="AP84" s="687"/>
      <c r="AQ84" s="655">
        <f>CE9</f>
      </c>
      <c r="AR84" s="655"/>
      <c r="AS84" s="655"/>
      <c r="AT84" s="655"/>
      <c r="AU84" s="294"/>
      <c r="AV84" s="294"/>
      <c r="AW84" s="294"/>
      <c r="AX84" s="295"/>
      <c r="AY84" s="233"/>
      <c r="AZ84" s="233"/>
      <c r="BA84" s="599" t="s">
        <v>231</v>
      </c>
      <c r="BB84" s="621"/>
      <c r="BC84" s="621"/>
      <c r="BD84" s="621"/>
      <c r="BE84" s="621"/>
      <c r="BF84" s="621"/>
      <c r="BG84" s="621"/>
      <c r="BH84" s="564"/>
      <c r="BI84" s="597"/>
      <c r="BJ84" s="597"/>
      <c r="BK84" s="597"/>
      <c r="BL84" s="597"/>
      <c r="BM84" s="256"/>
      <c r="BN84" s="256"/>
      <c r="BO84" s="256"/>
      <c r="BP84" s="256"/>
      <c r="BQ84" s="256"/>
      <c r="BR84" s="256"/>
      <c r="BS84" s="256"/>
      <c r="BT84" s="256"/>
      <c r="BU84" s="256"/>
      <c r="BV84" s="256"/>
      <c r="BW84" s="256"/>
      <c r="BX84" s="256"/>
      <c r="BY84" s="256"/>
      <c r="BZ84" s="256"/>
      <c r="CA84" s="256"/>
      <c r="CB84" s="233"/>
      <c r="CC84" s="233"/>
      <c r="CD84" s="233"/>
      <c r="CE84" s="599" t="s">
        <v>137</v>
      </c>
      <c r="CF84" s="621"/>
      <c r="CG84" s="621"/>
      <c r="CH84" s="621"/>
      <c r="CI84" s="621"/>
      <c r="CJ84" s="588"/>
      <c r="CK84" s="588"/>
      <c r="CL84" s="588"/>
      <c r="CM84" s="588"/>
      <c r="CN84" s="588"/>
      <c r="CO84" s="588"/>
      <c r="CP84" s="256"/>
      <c r="CQ84" s="256"/>
      <c r="CR84" s="256"/>
      <c r="CS84" s="256"/>
      <c r="CT84" s="256"/>
      <c r="CU84" s="256"/>
      <c r="CV84" s="256"/>
      <c r="CW84" s="233"/>
      <c r="CX84" s="233"/>
    </row>
    <row r="85" spans="1:102" ht="9" customHeight="1">
      <c r="A85" s="334"/>
      <c r="B85" s="335"/>
      <c r="C85" s="335"/>
      <c r="D85" s="335"/>
      <c r="E85" s="336"/>
      <c r="F85" s="688"/>
      <c r="G85" s="689"/>
      <c r="H85" s="689"/>
      <c r="I85" s="689"/>
      <c r="J85" s="689"/>
      <c r="K85" s="689"/>
      <c r="L85" s="689"/>
      <c r="M85" s="689"/>
      <c r="N85" s="689"/>
      <c r="O85" s="689"/>
      <c r="P85" s="689"/>
      <c r="Q85" s="689"/>
      <c r="R85" s="656"/>
      <c r="S85" s="656"/>
      <c r="T85" s="656"/>
      <c r="U85" s="656"/>
      <c r="V85" s="307"/>
      <c r="W85" s="307"/>
      <c r="X85" s="307"/>
      <c r="Y85" s="308"/>
      <c r="Z85" s="284"/>
      <c r="AA85" s="261"/>
      <c r="AB85" s="261"/>
      <c r="AC85" s="261"/>
      <c r="AD85" s="285"/>
      <c r="AE85" s="688"/>
      <c r="AF85" s="689"/>
      <c r="AG85" s="689"/>
      <c r="AH85" s="689"/>
      <c r="AI85" s="689"/>
      <c r="AJ85" s="689"/>
      <c r="AK85" s="689"/>
      <c r="AL85" s="689"/>
      <c r="AM85" s="689"/>
      <c r="AN85" s="689"/>
      <c r="AO85" s="689"/>
      <c r="AP85" s="689"/>
      <c r="AQ85" s="656"/>
      <c r="AR85" s="656"/>
      <c r="AS85" s="656"/>
      <c r="AT85" s="656"/>
      <c r="AU85" s="296"/>
      <c r="AV85" s="296"/>
      <c r="AW85" s="296"/>
      <c r="AX85" s="302"/>
      <c r="AY85" s="233"/>
      <c r="AZ85" s="233"/>
      <c r="BA85" s="621"/>
      <c r="BB85" s="621"/>
      <c r="BC85" s="621"/>
      <c r="BD85" s="621"/>
      <c r="BE85" s="621"/>
      <c r="BF85" s="621"/>
      <c r="BG85" s="621"/>
      <c r="BH85" s="564"/>
      <c r="BI85" s="598"/>
      <c r="BJ85" s="598"/>
      <c r="BK85" s="598"/>
      <c r="BL85" s="598"/>
      <c r="BM85" s="256"/>
      <c r="BN85" s="256"/>
      <c r="BO85" s="256"/>
      <c r="BP85" s="256"/>
      <c r="BQ85" s="256"/>
      <c r="BR85" s="256"/>
      <c r="BS85" s="256"/>
      <c r="BT85" s="256"/>
      <c r="BU85" s="256"/>
      <c r="BV85" s="256"/>
      <c r="BW85" s="256"/>
      <c r="BX85" s="256"/>
      <c r="BY85" s="256"/>
      <c r="BZ85" s="256"/>
      <c r="CA85" s="256"/>
      <c r="CB85" s="233"/>
      <c r="CC85" s="233"/>
      <c r="CD85" s="233"/>
      <c r="CE85" s="621"/>
      <c r="CF85" s="621"/>
      <c r="CG85" s="621"/>
      <c r="CH85" s="621"/>
      <c r="CI85" s="621"/>
      <c r="CJ85" s="589"/>
      <c r="CK85" s="589"/>
      <c r="CL85" s="589"/>
      <c r="CM85" s="589"/>
      <c r="CN85" s="589"/>
      <c r="CO85" s="589"/>
      <c r="CP85" s="256"/>
      <c r="CQ85" s="256"/>
      <c r="CR85" s="256"/>
      <c r="CS85" s="256"/>
      <c r="CT85" s="256"/>
      <c r="CU85" s="256"/>
      <c r="CV85" s="256"/>
      <c r="CW85" s="233"/>
      <c r="CX85" s="233"/>
    </row>
    <row r="86" spans="1:102" ht="9" customHeight="1">
      <c r="A86" s="334"/>
      <c r="B86" s="335"/>
      <c r="C86" s="335"/>
      <c r="D86" s="335"/>
      <c r="E86" s="336"/>
      <c r="F86" s="309"/>
      <c r="G86" s="303"/>
      <c r="H86" s="303"/>
      <c r="I86" s="303"/>
      <c r="J86" s="303"/>
      <c r="K86" s="303"/>
      <c r="L86" s="303"/>
      <c r="M86" s="303"/>
      <c r="N86" s="303"/>
      <c r="O86" s="303"/>
      <c r="P86" s="303"/>
      <c r="Q86" s="310"/>
      <c r="R86" s="276"/>
      <c r="S86" s="277"/>
      <c r="T86" s="277"/>
      <c r="U86" s="278"/>
      <c r="V86" s="276"/>
      <c r="W86" s="277"/>
      <c r="X86" s="277"/>
      <c r="Y86" s="278"/>
      <c r="Z86" s="284"/>
      <c r="AA86" s="261"/>
      <c r="AB86" s="261"/>
      <c r="AC86" s="261"/>
      <c r="AD86" s="285"/>
      <c r="AE86" s="276"/>
      <c r="AF86" s="277"/>
      <c r="AG86" s="277"/>
      <c r="AH86" s="277"/>
      <c r="AI86" s="277"/>
      <c r="AJ86" s="277"/>
      <c r="AK86" s="277"/>
      <c r="AL86" s="277"/>
      <c r="AM86" s="277"/>
      <c r="AN86" s="277"/>
      <c r="AO86" s="277"/>
      <c r="AP86" s="278"/>
      <c r="AQ86" s="276"/>
      <c r="AR86" s="277"/>
      <c r="AS86" s="277"/>
      <c r="AT86" s="278"/>
      <c r="AU86" s="276"/>
      <c r="AV86" s="277"/>
      <c r="AW86" s="277"/>
      <c r="AX86" s="278"/>
      <c r="AY86" s="233"/>
      <c r="AZ86" s="233"/>
      <c r="BA86" s="274"/>
      <c r="BB86" s="274"/>
      <c r="BC86" s="274"/>
      <c r="BD86" s="274"/>
      <c r="BE86" s="248"/>
      <c r="BF86" s="248"/>
      <c r="BG86" s="248"/>
      <c r="BH86" s="274"/>
      <c r="BI86" s="274"/>
      <c r="BJ86" s="274"/>
      <c r="BK86" s="274"/>
      <c r="BL86" s="248"/>
      <c r="BM86" s="248"/>
      <c r="BN86" s="248"/>
      <c r="BO86" s="248"/>
      <c r="BP86" s="274"/>
      <c r="BQ86" s="274"/>
      <c r="BR86" s="274"/>
      <c r="BS86" s="274"/>
      <c r="BT86" s="248"/>
      <c r="BU86" s="248"/>
      <c r="BV86" s="248"/>
      <c r="BW86" s="248"/>
      <c r="BX86" s="274"/>
      <c r="BY86" s="274"/>
      <c r="BZ86" s="274"/>
      <c r="CA86" s="274"/>
      <c r="CB86" s="406"/>
      <c r="CC86" s="406"/>
      <c r="CD86" s="406"/>
      <c r="CE86" s="274"/>
      <c r="CF86" s="274"/>
      <c r="CG86" s="274"/>
      <c r="CH86" s="274"/>
      <c r="CI86" s="406"/>
      <c r="CJ86" s="406"/>
      <c r="CK86" s="406"/>
      <c r="CL86" s="274"/>
      <c r="CM86" s="274"/>
      <c r="CN86" s="274"/>
      <c r="CO86" s="274"/>
      <c r="CP86" s="406"/>
      <c r="CQ86" s="406"/>
      <c r="CR86" s="406"/>
      <c r="CS86" s="274"/>
      <c r="CT86" s="274"/>
      <c r="CU86" s="274"/>
      <c r="CV86" s="274"/>
      <c r="CW86" s="233"/>
      <c r="CX86" s="233"/>
    </row>
    <row r="87" spans="1:102" ht="9" customHeight="1">
      <c r="A87" s="334"/>
      <c r="B87" s="335"/>
      <c r="C87" s="335"/>
      <c r="D87" s="335"/>
      <c r="E87" s="336"/>
      <c r="F87" s="309"/>
      <c r="G87" s="303"/>
      <c r="H87" s="681" t="s">
        <v>199</v>
      </c>
      <c r="I87" s="681"/>
      <c r="J87" s="681"/>
      <c r="K87" s="681"/>
      <c r="L87" s="681"/>
      <c r="M87" s="681"/>
      <c r="N87" s="681"/>
      <c r="O87" s="681"/>
      <c r="P87" s="681"/>
      <c r="Q87" s="310"/>
      <c r="R87" s="680" t="s">
        <v>200</v>
      </c>
      <c r="S87" s="681"/>
      <c r="T87" s="681"/>
      <c r="U87" s="682"/>
      <c r="V87" s="680" t="s">
        <v>221</v>
      </c>
      <c r="W87" s="681"/>
      <c r="X87" s="681"/>
      <c r="Y87" s="682"/>
      <c r="Z87" s="284"/>
      <c r="AA87" s="261"/>
      <c r="AB87" s="261"/>
      <c r="AC87" s="261"/>
      <c r="AD87" s="285"/>
      <c r="AE87" s="276"/>
      <c r="AF87" s="277"/>
      <c r="AG87" s="277"/>
      <c r="AH87" s="681" t="s">
        <v>199</v>
      </c>
      <c r="AI87" s="681"/>
      <c r="AJ87" s="681"/>
      <c r="AK87" s="681"/>
      <c r="AL87" s="681"/>
      <c r="AM87" s="681"/>
      <c r="AN87" s="681"/>
      <c r="AO87" s="277"/>
      <c r="AP87" s="278"/>
      <c r="AQ87" s="680" t="s">
        <v>200</v>
      </c>
      <c r="AR87" s="681"/>
      <c r="AS87" s="681"/>
      <c r="AT87" s="682"/>
      <c r="AU87" s="680" t="s">
        <v>221</v>
      </c>
      <c r="AV87" s="681"/>
      <c r="AW87" s="681"/>
      <c r="AX87" s="682"/>
      <c r="AY87" s="233"/>
      <c r="AZ87" s="233"/>
      <c r="BA87" s="628"/>
      <c r="BB87" s="629"/>
      <c r="BC87" s="629"/>
      <c r="BD87" s="630"/>
      <c r="BE87" s="233"/>
      <c r="BF87" s="233"/>
      <c r="BG87" s="233"/>
      <c r="BH87" s="628"/>
      <c r="BI87" s="629"/>
      <c r="BJ87" s="629"/>
      <c r="BK87" s="630"/>
      <c r="BL87" s="233"/>
      <c r="BM87" s="233"/>
      <c r="BN87" s="233"/>
      <c r="BO87" s="233"/>
      <c r="BP87" s="628"/>
      <c r="BQ87" s="629"/>
      <c r="BR87" s="629"/>
      <c r="BS87" s="630"/>
      <c r="BT87" s="233"/>
      <c r="BU87" s="233"/>
      <c r="BV87" s="233"/>
      <c r="BW87" s="233"/>
      <c r="BX87" s="628"/>
      <c r="BY87" s="629"/>
      <c r="BZ87" s="629"/>
      <c r="CA87" s="630"/>
      <c r="CB87" s="311"/>
      <c r="CC87" s="311"/>
      <c r="CD87" s="311"/>
      <c r="CE87" s="628"/>
      <c r="CF87" s="629"/>
      <c r="CG87" s="629"/>
      <c r="CH87" s="630"/>
      <c r="CI87" s="311"/>
      <c r="CJ87" s="311"/>
      <c r="CK87" s="311"/>
      <c r="CL87" s="628"/>
      <c r="CM87" s="629"/>
      <c r="CN87" s="629"/>
      <c r="CO87" s="630"/>
      <c r="CP87" s="311"/>
      <c r="CQ87" s="311"/>
      <c r="CR87" s="233"/>
      <c r="CS87" s="628"/>
      <c r="CT87" s="629"/>
      <c r="CU87" s="629"/>
      <c r="CV87" s="630"/>
      <c r="CW87" s="233"/>
      <c r="CX87" s="233"/>
    </row>
    <row r="88" spans="1:102" ht="9" customHeight="1">
      <c r="A88" s="648" t="s">
        <v>137</v>
      </c>
      <c r="B88" s="556"/>
      <c r="C88" s="556"/>
      <c r="D88" s="556"/>
      <c r="E88" s="649"/>
      <c r="F88" s="309"/>
      <c r="G88" s="303"/>
      <c r="H88" s="681"/>
      <c r="I88" s="681"/>
      <c r="J88" s="681"/>
      <c r="K88" s="681"/>
      <c r="L88" s="681"/>
      <c r="M88" s="681"/>
      <c r="N88" s="681"/>
      <c r="O88" s="681"/>
      <c r="P88" s="681"/>
      <c r="Q88" s="310"/>
      <c r="R88" s="680"/>
      <c r="S88" s="681"/>
      <c r="T88" s="681"/>
      <c r="U88" s="682"/>
      <c r="V88" s="680"/>
      <c r="W88" s="681"/>
      <c r="X88" s="681"/>
      <c r="Y88" s="682"/>
      <c r="Z88" s="706" t="s">
        <v>137</v>
      </c>
      <c r="AA88" s="556"/>
      <c r="AB88" s="556"/>
      <c r="AC88" s="556"/>
      <c r="AD88" s="649"/>
      <c r="AE88" s="276"/>
      <c r="AF88" s="277"/>
      <c r="AG88" s="277"/>
      <c r="AH88" s="681"/>
      <c r="AI88" s="681"/>
      <c r="AJ88" s="681"/>
      <c r="AK88" s="681"/>
      <c r="AL88" s="681"/>
      <c r="AM88" s="681"/>
      <c r="AN88" s="681"/>
      <c r="AO88" s="277"/>
      <c r="AP88" s="278"/>
      <c r="AQ88" s="680"/>
      <c r="AR88" s="681"/>
      <c r="AS88" s="681"/>
      <c r="AT88" s="682"/>
      <c r="AU88" s="680"/>
      <c r="AV88" s="681"/>
      <c r="AW88" s="681"/>
      <c r="AX88" s="682"/>
      <c r="AY88" s="233"/>
      <c r="AZ88" s="233"/>
      <c r="BA88" s="631"/>
      <c r="BB88" s="632"/>
      <c r="BC88" s="632"/>
      <c r="BD88" s="633"/>
      <c r="BE88" s="233"/>
      <c r="BF88" s="233"/>
      <c r="BG88" s="233"/>
      <c r="BH88" s="631"/>
      <c r="BI88" s="632"/>
      <c r="BJ88" s="632"/>
      <c r="BK88" s="633"/>
      <c r="BL88" s="233"/>
      <c r="BM88" s="233"/>
      <c r="BN88" s="233"/>
      <c r="BO88" s="233"/>
      <c r="BP88" s="631"/>
      <c r="BQ88" s="632"/>
      <c r="BR88" s="632"/>
      <c r="BS88" s="633"/>
      <c r="BT88" s="233"/>
      <c r="BU88" s="233"/>
      <c r="BV88" s="233"/>
      <c r="BW88" s="233"/>
      <c r="BX88" s="631"/>
      <c r="BY88" s="632"/>
      <c r="BZ88" s="632"/>
      <c r="CA88" s="633"/>
      <c r="CB88" s="311"/>
      <c r="CC88" s="311"/>
      <c r="CD88" s="311"/>
      <c r="CE88" s="631"/>
      <c r="CF88" s="632"/>
      <c r="CG88" s="632"/>
      <c r="CH88" s="633"/>
      <c r="CI88" s="311"/>
      <c r="CJ88" s="311"/>
      <c r="CK88" s="311"/>
      <c r="CL88" s="631"/>
      <c r="CM88" s="632"/>
      <c r="CN88" s="632"/>
      <c r="CO88" s="633"/>
      <c r="CP88" s="311"/>
      <c r="CQ88" s="311"/>
      <c r="CR88" s="233"/>
      <c r="CS88" s="631"/>
      <c r="CT88" s="632"/>
      <c r="CU88" s="632"/>
      <c r="CV88" s="633"/>
      <c r="CW88" s="233"/>
      <c r="CX88" s="233"/>
    </row>
    <row r="89" spans="1:102" ht="9" customHeight="1">
      <c r="A89" s="650"/>
      <c r="B89" s="651"/>
      <c r="C89" s="651"/>
      <c r="D89" s="651"/>
      <c r="E89" s="652"/>
      <c r="F89" s="312"/>
      <c r="G89" s="307"/>
      <c r="H89" s="684"/>
      <c r="I89" s="684"/>
      <c r="J89" s="684"/>
      <c r="K89" s="684"/>
      <c r="L89" s="684"/>
      <c r="M89" s="684"/>
      <c r="N89" s="684"/>
      <c r="O89" s="684"/>
      <c r="P89" s="684"/>
      <c r="Q89" s="308"/>
      <c r="R89" s="683"/>
      <c r="S89" s="684"/>
      <c r="T89" s="684"/>
      <c r="U89" s="685"/>
      <c r="V89" s="683"/>
      <c r="W89" s="684"/>
      <c r="X89" s="684"/>
      <c r="Y89" s="685"/>
      <c r="Z89" s="650"/>
      <c r="AA89" s="651"/>
      <c r="AB89" s="651"/>
      <c r="AC89" s="651"/>
      <c r="AD89" s="652"/>
      <c r="AE89" s="279"/>
      <c r="AF89" s="280"/>
      <c r="AG89" s="280"/>
      <c r="AH89" s="684"/>
      <c r="AI89" s="684"/>
      <c r="AJ89" s="684"/>
      <c r="AK89" s="684"/>
      <c r="AL89" s="684"/>
      <c r="AM89" s="684"/>
      <c r="AN89" s="684"/>
      <c r="AO89" s="280"/>
      <c r="AP89" s="281"/>
      <c r="AQ89" s="683"/>
      <c r="AR89" s="684"/>
      <c r="AS89" s="684"/>
      <c r="AT89" s="685"/>
      <c r="AU89" s="683"/>
      <c r="AV89" s="684"/>
      <c r="AW89" s="684"/>
      <c r="AX89" s="685"/>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row>
    <row r="90" spans="1:102" ht="9" customHeight="1">
      <c r="A90" s="700"/>
      <c r="B90" s="701"/>
      <c r="C90" s="701"/>
      <c r="D90" s="701"/>
      <c r="E90" s="702"/>
      <c r="F90" s="600"/>
      <c r="G90" s="601"/>
      <c r="H90" s="601"/>
      <c r="I90" s="602"/>
      <c r="J90" s="600"/>
      <c r="K90" s="601"/>
      <c r="L90" s="601"/>
      <c r="M90" s="602"/>
      <c r="N90" s="600"/>
      <c r="O90" s="601"/>
      <c r="P90" s="601"/>
      <c r="Q90" s="602"/>
      <c r="R90" s="677"/>
      <c r="S90" s="677"/>
      <c r="T90" s="677"/>
      <c r="U90" s="677"/>
      <c r="V90" s="677"/>
      <c r="W90" s="677"/>
      <c r="X90" s="677"/>
      <c r="Y90" s="677"/>
      <c r="Z90" s="700"/>
      <c r="AA90" s="701"/>
      <c r="AB90" s="701"/>
      <c r="AC90" s="701"/>
      <c r="AD90" s="702"/>
      <c r="AE90" s="677"/>
      <c r="AF90" s="677"/>
      <c r="AG90" s="677"/>
      <c r="AH90" s="677"/>
      <c r="AI90" s="677"/>
      <c r="AJ90" s="677"/>
      <c r="AK90" s="677"/>
      <c r="AL90" s="677"/>
      <c r="AM90" s="677"/>
      <c r="AN90" s="677"/>
      <c r="AO90" s="677"/>
      <c r="AP90" s="677"/>
      <c r="AQ90" s="677"/>
      <c r="AR90" s="677"/>
      <c r="AS90" s="677"/>
      <c r="AT90" s="677"/>
      <c r="AU90" s="677"/>
      <c r="AV90" s="677"/>
      <c r="AW90" s="677"/>
      <c r="AX90" s="677"/>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row>
    <row r="91" spans="1:102" ht="9" customHeight="1">
      <c r="A91" s="703" t="s">
        <v>194</v>
      </c>
      <c r="B91" s="704"/>
      <c r="C91" s="704"/>
      <c r="D91" s="704"/>
      <c r="E91" s="705"/>
      <c r="F91" s="603"/>
      <c r="G91" s="604"/>
      <c r="H91" s="604"/>
      <c r="I91" s="605"/>
      <c r="J91" s="603"/>
      <c r="K91" s="604"/>
      <c r="L91" s="604"/>
      <c r="M91" s="605"/>
      <c r="N91" s="603"/>
      <c r="O91" s="604"/>
      <c r="P91" s="604"/>
      <c r="Q91" s="605"/>
      <c r="R91" s="677"/>
      <c r="S91" s="677"/>
      <c r="T91" s="677"/>
      <c r="U91" s="677"/>
      <c r="V91" s="677"/>
      <c r="W91" s="677"/>
      <c r="X91" s="677"/>
      <c r="Y91" s="677"/>
      <c r="Z91" s="703" t="s">
        <v>194</v>
      </c>
      <c r="AA91" s="704"/>
      <c r="AB91" s="704"/>
      <c r="AC91" s="704"/>
      <c r="AD91" s="705"/>
      <c r="AE91" s="677"/>
      <c r="AF91" s="677"/>
      <c r="AG91" s="677"/>
      <c r="AH91" s="677"/>
      <c r="AI91" s="677"/>
      <c r="AJ91" s="677"/>
      <c r="AK91" s="677"/>
      <c r="AL91" s="677"/>
      <c r="AM91" s="677"/>
      <c r="AN91" s="677"/>
      <c r="AO91" s="677"/>
      <c r="AP91" s="677"/>
      <c r="AQ91" s="677"/>
      <c r="AR91" s="677"/>
      <c r="AS91" s="677"/>
      <c r="AT91" s="677"/>
      <c r="AU91" s="677"/>
      <c r="AV91" s="677"/>
      <c r="AW91" s="677"/>
      <c r="AX91" s="677"/>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233"/>
      <c r="CU91" s="233"/>
      <c r="CV91" s="233"/>
      <c r="CW91" s="233"/>
      <c r="CX91" s="233"/>
    </row>
    <row r="92" spans="1:102" ht="9" customHeight="1">
      <c r="A92" s="695"/>
      <c r="B92" s="695"/>
      <c r="C92" s="695"/>
      <c r="D92" s="695"/>
      <c r="E92" s="695"/>
      <c r="F92" s="677"/>
      <c r="G92" s="677"/>
      <c r="H92" s="677"/>
      <c r="I92" s="677"/>
      <c r="J92" s="677"/>
      <c r="K92" s="677"/>
      <c r="L92" s="677"/>
      <c r="M92" s="677"/>
      <c r="N92" s="677"/>
      <c r="O92" s="677"/>
      <c r="P92" s="677"/>
      <c r="Q92" s="677"/>
      <c r="R92" s="677"/>
      <c r="S92" s="677"/>
      <c r="T92" s="677"/>
      <c r="U92" s="677"/>
      <c r="V92" s="677"/>
      <c r="W92" s="677"/>
      <c r="X92" s="677"/>
      <c r="Y92" s="677"/>
      <c r="Z92" s="695"/>
      <c r="AA92" s="695"/>
      <c r="AB92" s="695"/>
      <c r="AC92" s="695"/>
      <c r="AD92" s="695"/>
      <c r="AE92" s="677"/>
      <c r="AF92" s="677"/>
      <c r="AG92" s="677"/>
      <c r="AH92" s="677"/>
      <c r="AI92" s="677"/>
      <c r="AJ92" s="677"/>
      <c r="AK92" s="677"/>
      <c r="AL92" s="677"/>
      <c r="AM92" s="677"/>
      <c r="AN92" s="677"/>
      <c r="AO92" s="677"/>
      <c r="AP92" s="677"/>
      <c r="AQ92" s="677"/>
      <c r="AR92" s="677"/>
      <c r="AS92" s="677"/>
      <c r="AT92" s="677"/>
      <c r="AU92" s="677"/>
      <c r="AV92" s="677"/>
      <c r="AW92" s="677"/>
      <c r="AX92" s="677"/>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row>
    <row r="93" spans="1:102" ht="9" customHeight="1">
      <c r="A93" s="695"/>
      <c r="B93" s="695"/>
      <c r="C93" s="695"/>
      <c r="D93" s="695"/>
      <c r="E93" s="695"/>
      <c r="F93" s="677"/>
      <c r="G93" s="677"/>
      <c r="H93" s="677"/>
      <c r="I93" s="677"/>
      <c r="J93" s="677"/>
      <c r="K93" s="677"/>
      <c r="L93" s="677"/>
      <c r="M93" s="677"/>
      <c r="N93" s="677"/>
      <c r="O93" s="677"/>
      <c r="P93" s="677"/>
      <c r="Q93" s="677"/>
      <c r="R93" s="677"/>
      <c r="S93" s="677"/>
      <c r="T93" s="677"/>
      <c r="U93" s="677"/>
      <c r="V93" s="677"/>
      <c r="W93" s="677"/>
      <c r="X93" s="677"/>
      <c r="Y93" s="677"/>
      <c r="Z93" s="695"/>
      <c r="AA93" s="695"/>
      <c r="AB93" s="695"/>
      <c r="AC93" s="695"/>
      <c r="AD93" s="695"/>
      <c r="AE93" s="677"/>
      <c r="AF93" s="677"/>
      <c r="AG93" s="677"/>
      <c r="AH93" s="677"/>
      <c r="AI93" s="677"/>
      <c r="AJ93" s="677"/>
      <c r="AK93" s="677"/>
      <c r="AL93" s="677"/>
      <c r="AM93" s="677"/>
      <c r="AN93" s="677"/>
      <c r="AO93" s="677"/>
      <c r="AP93" s="677"/>
      <c r="AQ93" s="677"/>
      <c r="AR93" s="677"/>
      <c r="AS93" s="677"/>
      <c r="AT93" s="677"/>
      <c r="AU93" s="677"/>
      <c r="AV93" s="677"/>
      <c r="AW93" s="677"/>
      <c r="AX93" s="677"/>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600"/>
      <c r="BU93" s="601"/>
      <c r="BV93" s="602"/>
      <c r="BW93" s="233"/>
      <c r="BX93" s="599" t="s">
        <v>134</v>
      </c>
      <c r="BY93" s="599"/>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row>
    <row r="94" spans="1:102" ht="9" customHeight="1">
      <c r="A94" s="695"/>
      <c r="B94" s="695"/>
      <c r="C94" s="695"/>
      <c r="D94" s="695"/>
      <c r="E94" s="695"/>
      <c r="F94" s="677"/>
      <c r="G94" s="677"/>
      <c r="H94" s="677"/>
      <c r="I94" s="677"/>
      <c r="J94" s="677"/>
      <c r="K94" s="677"/>
      <c r="L94" s="677"/>
      <c r="M94" s="677"/>
      <c r="N94" s="677"/>
      <c r="O94" s="677"/>
      <c r="P94" s="677"/>
      <c r="Q94" s="677"/>
      <c r="R94" s="677"/>
      <c r="S94" s="677"/>
      <c r="T94" s="677"/>
      <c r="U94" s="677"/>
      <c r="V94" s="677"/>
      <c r="W94" s="677"/>
      <c r="X94" s="677"/>
      <c r="Y94" s="677"/>
      <c r="Z94" s="695"/>
      <c r="AA94" s="695"/>
      <c r="AB94" s="695"/>
      <c r="AC94" s="695"/>
      <c r="AD94" s="695"/>
      <c r="AE94" s="677"/>
      <c r="AF94" s="677"/>
      <c r="AG94" s="677"/>
      <c r="AH94" s="677"/>
      <c r="AI94" s="677"/>
      <c r="AJ94" s="677"/>
      <c r="AK94" s="677"/>
      <c r="AL94" s="677"/>
      <c r="AM94" s="677"/>
      <c r="AN94" s="677"/>
      <c r="AO94" s="677"/>
      <c r="AP94" s="677"/>
      <c r="AQ94" s="677"/>
      <c r="AR94" s="677"/>
      <c r="AS94" s="677"/>
      <c r="AT94" s="677"/>
      <c r="AU94" s="677"/>
      <c r="AV94" s="677"/>
      <c r="AW94" s="677"/>
      <c r="AX94" s="677"/>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603"/>
      <c r="BU94" s="604"/>
      <c r="BV94" s="605"/>
      <c r="BW94" s="233"/>
      <c r="BX94" s="599"/>
      <c r="BY94" s="599"/>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row>
    <row r="95" spans="1:102" ht="9" customHeight="1">
      <c r="A95" s="695"/>
      <c r="B95" s="695"/>
      <c r="C95" s="695"/>
      <c r="D95" s="695"/>
      <c r="E95" s="695"/>
      <c r="F95" s="677"/>
      <c r="G95" s="677"/>
      <c r="H95" s="677"/>
      <c r="I95" s="677"/>
      <c r="J95" s="677"/>
      <c r="K95" s="677"/>
      <c r="L95" s="677"/>
      <c r="M95" s="677"/>
      <c r="N95" s="677"/>
      <c r="O95" s="677"/>
      <c r="P95" s="677"/>
      <c r="Q95" s="677"/>
      <c r="R95" s="677"/>
      <c r="S95" s="677"/>
      <c r="T95" s="677"/>
      <c r="U95" s="677"/>
      <c r="V95" s="677"/>
      <c r="W95" s="677"/>
      <c r="X95" s="677"/>
      <c r="Y95" s="677"/>
      <c r="Z95" s="695"/>
      <c r="AA95" s="695"/>
      <c r="AB95" s="695"/>
      <c r="AC95" s="695"/>
      <c r="AD95" s="695"/>
      <c r="AE95" s="677"/>
      <c r="AF95" s="677"/>
      <c r="AG95" s="677"/>
      <c r="AH95" s="677"/>
      <c r="AI95" s="677"/>
      <c r="AJ95" s="677"/>
      <c r="AK95" s="677"/>
      <c r="AL95" s="677"/>
      <c r="AM95" s="677"/>
      <c r="AN95" s="677"/>
      <c r="AO95" s="677"/>
      <c r="AP95" s="677"/>
      <c r="AQ95" s="677"/>
      <c r="AR95" s="677"/>
      <c r="AS95" s="677"/>
      <c r="AT95" s="677"/>
      <c r="AU95" s="677"/>
      <c r="AV95" s="677"/>
      <c r="AW95" s="677"/>
      <c r="AX95" s="677"/>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233"/>
      <c r="CU95" s="233"/>
      <c r="CV95" s="233"/>
      <c r="CW95" s="233"/>
      <c r="CX95" s="233"/>
    </row>
    <row r="96" spans="1:102" ht="9" customHeight="1">
      <c r="A96" s="695"/>
      <c r="B96" s="695"/>
      <c r="C96" s="695"/>
      <c r="D96" s="695"/>
      <c r="E96" s="695"/>
      <c r="F96" s="677"/>
      <c r="G96" s="677"/>
      <c r="H96" s="677"/>
      <c r="I96" s="677"/>
      <c r="J96" s="677"/>
      <c r="K96" s="677"/>
      <c r="L96" s="677"/>
      <c r="M96" s="677"/>
      <c r="N96" s="677"/>
      <c r="O96" s="677"/>
      <c r="P96" s="677"/>
      <c r="Q96" s="677"/>
      <c r="R96" s="677"/>
      <c r="S96" s="677"/>
      <c r="T96" s="677"/>
      <c r="U96" s="677"/>
      <c r="V96" s="677"/>
      <c r="W96" s="677"/>
      <c r="X96" s="677"/>
      <c r="Y96" s="677"/>
      <c r="Z96" s="695"/>
      <c r="AA96" s="695"/>
      <c r="AB96" s="695"/>
      <c r="AC96" s="695"/>
      <c r="AD96" s="695"/>
      <c r="AE96" s="677"/>
      <c r="AF96" s="677"/>
      <c r="AG96" s="677"/>
      <c r="AH96" s="677"/>
      <c r="AI96" s="677"/>
      <c r="AJ96" s="677"/>
      <c r="AK96" s="677"/>
      <c r="AL96" s="677"/>
      <c r="AM96" s="677"/>
      <c r="AN96" s="677"/>
      <c r="AO96" s="677"/>
      <c r="AP96" s="677"/>
      <c r="AQ96" s="677"/>
      <c r="AR96" s="677"/>
      <c r="AS96" s="677"/>
      <c r="AT96" s="677"/>
      <c r="AU96" s="677"/>
      <c r="AV96" s="677"/>
      <c r="AW96" s="677"/>
      <c r="AX96" s="677"/>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row>
    <row r="97" spans="1:102" ht="9" customHeight="1">
      <c r="A97" s="695"/>
      <c r="B97" s="695"/>
      <c r="C97" s="695"/>
      <c r="D97" s="695"/>
      <c r="E97" s="695"/>
      <c r="F97" s="677"/>
      <c r="G97" s="677"/>
      <c r="H97" s="677"/>
      <c r="I97" s="677"/>
      <c r="J97" s="677"/>
      <c r="K97" s="677"/>
      <c r="L97" s="677"/>
      <c r="M97" s="677"/>
      <c r="N97" s="677"/>
      <c r="O97" s="677"/>
      <c r="P97" s="677"/>
      <c r="Q97" s="677"/>
      <c r="R97" s="677"/>
      <c r="S97" s="677"/>
      <c r="T97" s="677"/>
      <c r="U97" s="677"/>
      <c r="V97" s="677"/>
      <c r="W97" s="677"/>
      <c r="X97" s="677"/>
      <c r="Y97" s="677"/>
      <c r="Z97" s="695"/>
      <c r="AA97" s="695"/>
      <c r="AB97" s="695"/>
      <c r="AC97" s="695"/>
      <c r="AD97" s="695"/>
      <c r="AE97" s="677"/>
      <c r="AF97" s="677"/>
      <c r="AG97" s="677"/>
      <c r="AH97" s="677"/>
      <c r="AI97" s="677"/>
      <c r="AJ97" s="677"/>
      <c r="AK97" s="677"/>
      <c r="AL97" s="677"/>
      <c r="AM97" s="677"/>
      <c r="AN97" s="677"/>
      <c r="AO97" s="677"/>
      <c r="AP97" s="677"/>
      <c r="AQ97" s="677"/>
      <c r="AR97" s="677"/>
      <c r="AS97" s="677"/>
      <c r="AT97" s="677"/>
      <c r="AU97" s="677"/>
      <c r="AV97" s="677"/>
      <c r="AW97" s="677"/>
      <c r="AX97" s="677"/>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row>
    <row r="98" spans="1:102" ht="9" customHeight="1">
      <c r="A98" s="695"/>
      <c r="B98" s="695"/>
      <c r="C98" s="695"/>
      <c r="D98" s="695"/>
      <c r="E98" s="695"/>
      <c r="F98" s="677"/>
      <c r="G98" s="677"/>
      <c r="H98" s="677"/>
      <c r="I98" s="677"/>
      <c r="J98" s="677"/>
      <c r="K98" s="677"/>
      <c r="L98" s="677"/>
      <c r="M98" s="677"/>
      <c r="N98" s="677"/>
      <c r="O98" s="677"/>
      <c r="P98" s="677"/>
      <c r="Q98" s="677"/>
      <c r="R98" s="677"/>
      <c r="S98" s="677"/>
      <c r="T98" s="677"/>
      <c r="U98" s="677"/>
      <c r="V98" s="677"/>
      <c r="W98" s="677"/>
      <c r="X98" s="677"/>
      <c r="Y98" s="677"/>
      <c r="Z98" s="695"/>
      <c r="AA98" s="695"/>
      <c r="AB98" s="695"/>
      <c r="AC98" s="695"/>
      <c r="AD98" s="695"/>
      <c r="AE98" s="677"/>
      <c r="AF98" s="677"/>
      <c r="AG98" s="677"/>
      <c r="AH98" s="677"/>
      <c r="AI98" s="677"/>
      <c r="AJ98" s="677"/>
      <c r="AK98" s="677"/>
      <c r="AL98" s="677"/>
      <c r="AM98" s="677"/>
      <c r="AN98" s="677"/>
      <c r="AO98" s="677"/>
      <c r="AP98" s="677"/>
      <c r="AQ98" s="677"/>
      <c r="AR98" s="677"/>
      <c r="AS98" s="677"/>
      <c r="AT98" s="677"/>
      <c r="AU98" s="677"/>
      <c r="AV98" s="677"/>
      <c r="AW98" s="677"/>
      <c r="AX98" s="677"/>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row>
    <row r="99" spans="1:102" ht="9" customHeight="1">
      <c r="A99" s="695"/>
      <c r="B99" s="695"/>
      <c r="C99" s="695"/>
      <c r="D99" s="695"/>
      <c r="E99" s="695"/>
      <c r="F99" s="677"/>
      <c r="G99" s="677"/>
      <c r="H99" s="677"/>
      <c r="I99" s="677"/>
      <c r="J99" s="677"/>
      <c r="K99" s="677"/>
      <c r="L99" s="677"/>
      <c r="M99" s="677"/>
      <c r="N99" s="677"/>
      <c r="O99" s="677"/>
      <c r="P99" s="677"/>
      <c r="Q99" s="677"/>
      <c r="R99" s="677"/>
      <c r="S99" s="677"/>
      <c r="T99" s="677"/>
      <c r="U99" s="677"/>
      <c r="V99" s="677"/>
      <c r="W99" s="677"/>
      <c r="X99" s="677"/>
      <c r="Y99" s="677"/>
      <c r="Z99" s="695"/>
      <c r="AA99" s="695"/>
      <c r="AB99" s="695"/>
      <c r="AC99" s="695"/>
      <c r="AD99" s="695"/>
      <c r="AE99" s="677"/>
      <c r="AF99" s="677"/>
      <c r="AG99" s="677"/>
      <c r="AH99" s="677"/>
      <c r="AI99" s="677"/>
      <c r="AJ99" s="677"/>
      <c r="AK99" s="677"/>
      <c r="AL99" s="677"/>
      <c r="AM99" s="677"/>
      <c r="AN99" s="677"/>
      <c r="AO99" s="677"/>
      <c r="AP99" s="677"/>
      <c r="AQ99" s="677"/>
      <c r="AR99" s="677"/>
      <c r="AS99" s="677"/>
      <c r="AT99" s="677"/>
      <c r="AU99" s="677"/>
      <c r="AV99" s="677"/>
      <c r="AW99" s="677"/>
      <c r="AX99" s="677"/>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233"/>
      <c r="CO99" s="233"/>
      <c r="CP99" s="233"/>
      <c r="CQ99" s="233"/>
      <c r="CR99" s="233"/>
      <c r="CS99" s="233"/>
      <c r="CT99" s="233"/>
      <c r="CU99" s="233"/>
      <c r="CV99" s="233"/>
      <c r="CW99" s="233"/>
      <c r="CX99" s="233"/>
    </row>
    <row r="100" spans="1:102" ht="9" customHeight="1">
      <c r="A100" s="695"/>
      <c r="B100" s="695"/>
      <c r="C100" s="695"/>
      <c r="D100" s="695"/>
      <c r="E100" s="695"/>
      <c r="F100" s="677"/>
      <c r="G100" s="677"/>
      <c r="H100" s="677"/>
      <c r="I100" s="677"/>
      <c r="J100" s="677"/>
      <c r="K100" s="677"/>
      <c r="L100" s="677"/>
      <c r="M100" s="677"/>
      <c r="N100" s="677"/>
      <c r="O100" s="677"/>
      <c r="P100" s="677"/>
      <c r="Q100" s="677"/>
      <c r="R100" s="677"/>
      <c r="S100" s="677"/>
      <c r="T100" s="677"/>
      <c r="U100" s="677"/>
      <c r="V100" s="677"/>
      <c r="W100" s="677"/>
      <c r="X100" s="677"/>
      <c r="Y100" s="677"/>
      <c r="Z100" s="695"/>
      <c r="AA100" s="695"/>
      <c r="AB100" s="695"/>
      <c r="AC100" s="695"/>
      <c r="AD100" s="695"/>
      <c r="AE100" s="677"/>
      <c r="AF100" s="677"/>
      <c r="AG100" s="677"/>
      <c r="AH100" s="677"/>
      <c r="AI100" s="677"/>
      <c r="AJ100" s="677"/>
      <c r="AK100" s="677"/>
      <c r="AL100" s="677"/>
      <c r="AM100" s="677"/>
      <c r="AN100" s="677"/>
      <c r="AO100" s="677"/>
      <c r="AP100" s="677"/>
      <c r="AQ100" s="677"/>
      <c r="AR100" s="677"/>
      <c r="AS100" s="677"/>
      <c r="AT100" s="677"/>
      <c r="AU100" s="677"/>
      <c r="AV100" s="677"/>
      <c r="AW100" s="677"/>
      <c r="AX100" s="677"/>
      <c r="AY100" s="233"/>
      <c r="AZ100" s="233"/>
      <c r="BA100" s="233"/>
      <c r="BB100" s="233"/>
      <c r="BC100" s="233"/>
      <c r="BD100" s="233"/>
      <c r="BE100" s="233"/>
      <c r="BF100" s="233"/>
      <c r="BG100" s="233"/>
      <c r="BH100" s="233"/>
      <c r="BI100" s="233"/>
      <c r="BJ100" s="233"/>
      <c r="BK100" s="233"/>
      <c r="BL100" s="233"/>
      <c r="BM100" s="233"/>
      <c r="BN100" s="233"/>
      <c r="BO100" s="233"/>
      <c r="BP100" s="313"/>
      <c r="BQ100" s="313"/>
      <c r="BR100" s="313"/>
      <c r="BS100" s="31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row>
    <row r="101" spans="1:102" ht="9" customHeight="1">
      <c r="A101" s="695"/>
      <c r="B101" s="695"/>
      <c r="C101" s="695"/>
      <c r="D101" s="695"/>
      <c r="E101" s="695"/>
      <c r="F101" s="677"/>
      <c r="G101" s="677"/>
      <c r="H101" s="677"/>
      <c r="I101" s="677"/>
      <c r="J101" s="677"/>
      <c r="K101" s="677"/>
      <c r="L101" s="677"/>
      <c r="M101" s="677"/>
      <c r="N101" s="677"/>
      <c r="O101" s="677"/>
      <c r="P101" s="677"/>
      <c r="Q101" s="677"/>
      <c r="R101" s="677"/>
      <c r="S101" s="677"/>
      <c r="T101" s="677"/>
      <c r="U101" s="677"/>
      <c r="V101" s="677"/>
      <c r="W101" s="677"/>
      <c r="X101" s="677"/>
      <c r="Y101" s="677"/>
      <c r="Z101" s="695"/>
      <c r="AA101" s="695"/>
      <c r="AB101" s="695"/>
      <c r="AC101" s="695"/>
      <c r="AD101" s="695"/>
      <c r="AE101" s="677"/>
      <c r="AF101" s="677"/>
      <c r="AG101" s="677"/>
      <c r="AH101" s="677"/>
      <c r="AI101" s="677"/>
      <c r="AJ101" s="677"/>
      <c r="AK101" s="677"/>
      <c r="AL101" s="677"/>
      <c r="AM101" s="677"/>
      <c r="AN101" s="677"/>
      <c r="AO101" s="677"/>
      <c r="AP101" s="677"/>
      <c r="AQ101" s="677"/>
      <c r="AR101" s="677"/>
      <c r="AS101" s="677"/>
      <c r="AT101" s="677"/>
      <c r="AU101" s="677"/>
      <c r="AV101" s="677"/>
      <c r="AW101" s="677"/>
      <c r="AX101" s="677"/>
      <c r="AY101" s="233"/>
      <c r="AZ101" s="233"/>
      <c r="BA101" s="233"/>
      <c r="BB101" s="233"/>
      <c r="BC101" s="233"/>
      <c r="BD101" s="313"/>
      <c r="BE101" s="622"/>
      <c r="BF101" s="623"/>
      <c r="BG101" s="624"/>
      <c r="BH101" s="606" t="s">
        <v>134</v>
      </c>
      <c r="BI101" s="607"/>
      <c r="BJ101" s="438"/>
      <c r="BK101" s="438"/>
      <c r="BL101" s="438"/>
      <c r="BM101" s="438"/>
      <c r="BN101" s="438"/>
      <c r="BO101" s="441"/>
      <c r="BP101" s="622"/>
      <c r="BQ101" s="623"/>
      <c r="BR101" s="623"/>
      <c r="BS101" s="624"/>
      <c r="BT101" s="606" t="s">
        <v>134</v>
      </c>
      <c r="BU101" s="607"/>
      <c r="BV101" s="438"/>
      <c r="BW101" s="438"/>
      <c r="BX101" s="438"/>
      <c r="BY101" s="438"/>
      <c r="BZ101" s="438"/>
      <c r="CA101" s="438"/>
      <c r="CB101" s="622"/>
      <c r="CC101" s="623"/>
      <c r="CD101" s="624"/>
      <c r="CE101" s="606" t="s">
        <v>134</v>
      </c>
      <c r="CF101" s="607"/>
      <c r="CG101" s="438"/>
      <c r="CH101" s="438"/>
      <c r="CI101" s="622"/>
      <c r="CJ101" s="623"/>
      <c r="CK101" s="624"/>
      <c r="CL101" s="606" t="s">
        <v>134</v>
      </c>
      <c r="CM101" s="607"/>
      <c r="CN101" s="438"/>
      <c r="CO101" s="438"/>
      <c r="CP101" s="622"/>
      <c r="CQ101" s="623"/>
      <c r="CR101" s="624"/>
      <c r="CS101" s="707" t="s">
        <v>134</v>
      </c>
      <c r="CT101" s="599"/>
      <c r="CU101" s="233"/>
      <c r="CV101" s="233"/>
      <c r="CW101" s="233"/>
      <c r="CX101" s="233"/>
    </row>
    <row r="102" spans="1:102" ht="9" customHeight="1">
      <c r="A102" s="695"/>
      <c r="B102" s="695"/>
      <c r="C102" s="695"/>
      <c r="D102" s="695"/>
      <c r="E102" s="695"/>
      <c r="F102" s="677"/>
      <c r="G102" s="677"/>
      <c r="H102" s="677"/>
      <c r="I102" s="677"/>
      <c r="J102" s="677"/>
      <c r="K102" s="677"/>
      <c r="L102" s="677"/>
      <c r="M102" s="677"/>
      <c r="N102" s="677"/>
      <c r="O102" s="677"/>
      <c r="P102" s="677"/>
      <c r="Q102" s="677"/>
      <c r="R102" s="677"/>
      <c r="S102" s="677"/>
      <c r="T102" s="677"/>
      <c r="U102" s="677"/>
      <c r="V102" s="677"/>
      <c r="W102" s="677"/>
      <c r="X102" s="677"/>
      <c r="Y102" s="677"/>
      <c r="Z102" s="695"/>
      <c r="AA102" s="695"/>
      <c r="AB102" s="695"/>
      <c r="AC102" s="695"/>
      <c r="AD102" s="695"/>
      <c r="AE102" s="677"/>
      <c r="AF102" s="677"/>
      <c r="AG102" s="677"/>
      <c r="AH102" s="677"/>
      <c r="AI102" s="677"/>
      <c r="AJ102" s="677"/>
      <c r="AK102" s="677"/>
      <c r="AL102" s="677"/>
      <c r="AM102" s="677"/>
      <c r="AN102" s="677"/>
      <c r="AO102" s="677"/>
      <c r="AP102" s="677"/>
      <c r="AQ102" s="677"/>
      <c r="AR102" s="677"/>
      <c r="AS102" s="677"/>
      <c r="AT102" s="677"/>
      <c r="AU102" s="677"/>
      <c r="AV102" s="677"/>
      <c r="AW102" s="677"/>
      <c r="AX102" s="677"/>
      <c r="AY102" s="233"/>
      <c r="AZ102" s="233"/>
      <c r="BA102" s="233"/>
      <c r="BB102" s="233"/>
      <c r="BC102" s="233"/>
      <c r="BD102" s="313"/>
      <c r="BE102" s="625"/>
      <c r="BF102" s="626"/>
      <c r="BG102" s="627"/>
      <c r="BH102" s="606"/>
      <c r="BI102" s="607"/>
      <c r="BJ102" s="438"/>
      <c r="BK102" s="438"/>
      <c r="BL102" s="438"/>
      <c r="BM102" s="438"/>
      <c r="BN102" s="438"/>
      <c r="BO102" s="441"/>
      <c r="BP102" s="625"/>
      <c r="BQ102" s="626"/>
      <c r="BR102" s="626"/>
      <c r="BS102" s="627"/>
      <c r="BT102" s="606"/>
      <c r="BU102" s="607"/>
      <c r="BV102" s="438"/>
      <c r="BW102" s="438"/>
      <c r="BX102" s="438"/>
      <c r="BY102" s="438"/>
      <c r="BZ102" s="438"/>
      <c r="CA102" s="438"/>
      <c r="CB102" s="625"/>
      <c r="CC102" s="626"/>
      <c r="CD102" s="627"/>
      <c r="CE102" s="606"/>
      <c r="CF102" s="607"/>
      <c r="CG102" s="438"/>
      <c r="CH102" s="438"/>
      <c r="CI102" s="625"/>
      <c r="CJ102" s="626"/>
      <c r="CK102" s="627"/>
      <c r="CL102" s="606"/>
      <c r="CM102" s="607"/>
      <c r="CN102" s="438"/>
      <c r="CO102" s="438"/>
      <c r="CP102" s="625"/>
      <c r="CQ102" s="626"/>
      <c r="CR102" s="627"/>
      <c r="CS102" s="707"/>
      <c r="CT102" s="599"/>
      <c r="CU102" s="233"/>
      <c r="CV102" s="233"/>
      <c r="CW102" s="233"/>
      <c r="CX102" s="233"/>
    </row>
    <row r="103" spans="1:102" ht="9" customHeight="1">
      <c r="A103" s="695"/>
      <c r="B103" s="695"/>
      <c r="C103" s="695"/>
      <c r="D103" s="695"/>
      <c r="E103" s="695"/>
      <c r="F103" s="677"/>
      <c r="G103" s="677"/>
      <c r="H103" s="677"/>
      <c r="I103" s="677"/>
      <c r="J103" s="677"/>
      <c r="K103" s="677"/>
      <c r="L103" s="677"/>
      <c r="M103" s="677"/>
      <c r="N103" s="677"/>
      <c r="O103" s="677"/>
      <c r="P103" s="677"/>
      <c r="Q103" s="677"/>
      <c r="R103" s="677"/>
      <c r="S103" s="677"/>
      <c r="T103" s="677"/>
      <c r="U103" s="677"/>
      <c r="V103" s="677"/>
      <c r="W103" s="677"/>
      <c r="X103" s="677"/>
      <c r="Y103" s="677"/>
      <c r="Z103" s="695"/>
      <c r="AA103" s="695"/>
      <c r="AB103" s="695"/>
      <c r="AC103" s="695"/>
      <c r="AD103" s="695"/>
      <c r="AE103" s="677"/>
      <c r="AF103" s="677"/>
      <c r="AG103" s="677"/>
      <c r="AH103" s="677"/>
      <c r="AI103" s="677"/>
      <c r="AJ103" s="677"/>
      <c r="AK103" s="677"/>
      <c r="AL103" s="677"/>
      <c r="AM103" s="677"/>
      <c r="AN103" s="677"/>
      <c r="AO103" s="677"/>
      <c r="AP103" s="677"/>
      <c r="AQ103" s="677"/>
      <c r="AR103" s="677"/>
      <c r="AS103" s="677"/>
      <c r="AT103" s="677"/>
      <c r="AU103" s="677"/>
      <c r="AV103" s="677"/>
      <c r="AW103" s="677"/>
      <c r="AX103" s="677"/>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row>
    <row r="104" spans="1:102" ht="9" customHeight="1">
      <c r="A104" s="695"/>
      <c r="B104" s="695"/>
      <c r="C104" s="695"/>
      <c r="D104" s="695"/>
      <c r="E104" s="695"/>
      <c r="F104" s="677"/>
      <c r="G104" s="677"/>
      <c r="H104" s="677"/>
      <c r="I104" s="677"/>
      <c r="J104" s="677"/>
      <c r="K104" s="677"/>
      <c r="L104" s="677"/>
      <c r="M104" s="677"/>
      <c r="N104" s="677"/>
      <c r="O104" s="677"/>
      <c r="P104" s="677"/>
      <c r="Q104" s="677"/>
      <c r="R104" s="677"/>
      <c r="S104" s="677"/>
      <c r="T104" s="677"/>
      <c r="U104" s="677"/>
      <c r="V104" s="677"/>
      <c r="W104" s="677"/>
      <c r="X104" s="677"/>
      <c r="Y104" s="677"/>
      <c r="Z104" s="695"/>
      <c r="AA104" s="695"/>
      <c r="AB104" s="695"/>
      <c r="AC104" s="695"/>
      <c r="AD104" s="695"/>
      <c r="AE104" s="677"/>
      <c r="AF104" s="677"/>
      <c r="AG104" s="677"/>
      <c r="AH104" s="677"/>
      <c r="AI104" s="677"/>
      <c r="AJ104" s="677"/>
      <c r="AK104" s="677"/>
      <c r="AL104" s="677"/>
      <c r="AM104" s="677"/>
      <c r="AN104" s="677"/>
      <c r="AO104" s="677"/>
      <c r="AP104" s="677"/>
      <c r="AQ104" s="677"/>
      <c r="AR104" s="677"/>
      <c r="AS104" s="677"/>
      <c r="AT104" s="677"/>
      <c r="AU104" s="677"/>
      <c r="AV104" s="677"/>
      <c r="AW104" s="677"/>
      <c r="AX104" s="677"/>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row>
    <row r="105" spans="1:102" ht="9" customHeight="1">
      <c r="A105" s="695"/>
      <c r="B105" s="695"/>
      <c r="C105" s="695"/>
      <c r="D105" s="695"/>
      <c r="E105" s="695"/>
      <c r="F105" s="677"/>
      <c r="G105" s="677"/>
      <c r="H105" s="677"/>
      <c r="I105" s="677"/>
      <c r="J105" s="677"/>
      <c r="K105" s="677"/>
      <c r="L105" s="677"/>
      <c r="M105" s="677"/>
      <c r="N105" s="677"/>
      <c r="O105" s="677"/>
      <c r="P105" s="677"/>
      <c r="Q105" s="677"/>
      <c r="R105" s="677"/>
      <c r="S105" s="677"/>
      <c r="T105" s="677"/>
      <c r="U105" s="677"/>
      <c r="V105" s="677"/>
      <c r="W105" s="677"/>
      <c r="X105" s="677"/>
      <c r="Y105" s="677"/>
      <c r="Z105" s="695"/>
      <c r="AA105" s="695"/>
      <c r="AB105" s="695"/>
      <c r="AC105" s="695"/>
      <c r="AD105" s="695"/>
      <c r="AE105" s="677"/>
      <c r="AF105" s="677"/>
      <c r="AG105" s="677"/>
      <c r="AH105" s="677"/>
      <c r="AI105" s="677"/>
      <c r="AJ105" s="677"/>
      <c r="AK105" s="677"/>
      <c r="AL105" s="677"/>
      <c r="AM105" s="677"/>
      <c r="AN105" s="677"/>
      <c r="AO105" s="677"/>
      <c r="AP105" s="677"/>
      <c r="AQ105" s="677"/>
      <c r="AR105" s="677"/>
      <c r="AS105" s="677"/>
      <c r="AT105" s="677"/>
      <c r="AU105" s="677"/>
      <c r="AV105" s="677"/>
      <c r="AW105" s="677"/>
      <c r="AX105" s="677"/>
      <c r="AY105" s="233"/>
      <c r="AZ105" s="233"/>
      <c r="BA105" s="599" t="s">
        <v>231</v>
      </c>
      <c r="BB105" s="621"/>
      <c r="BC105" s="621"/>
      <c r="BD105" s="621"/>
      <c r="BE105" s="621"/>
      <c r="BF105" s="621"/>
      <c r="BG105" s="621"/>
      <c r="BH105" s="564"/>
      <c r="BI105" s="597"/>
      <c r="BJ105" s="597"/>
      <c r="BK105" s="597"/>
      <c r="BL105" s="597"/>
      <c r="BM105" s="256"/>
      <c r="BN105" s="256"/>
      <c r="BO105" s="256"/>
      <c r="BP105" s="256"/>
      <c r="BQ105" s="256"/>
      <c r="BR105" s="256"/>
      <c r="BS105" s="256"/>
      <c r="BT105" s="256"/>
      <c r="BU105" s="256"/>
      <c r="BV105" s="256"/>
      <c r="BW105" s="256"/>
      <c r="BX105" s="256"/>
      <c r="BY105" s="256"/>
      <c r="BZ105" s="256"/>
      <c r="CA105" s="256"/>
      <c r="CB105" s="233"/>
      <c r="CC105" s="233"/>
      <c r="CD105" s="233"/>
      <c r="CE105" s="599" t="s">
        <v>137</v>
      </c>
      <c r="CF105" s="621"/>
      <c r="CG105" s="621"/>
      <c r="CH105" s="621"/>
      <c r="CI105" s="621"/>
      <c r="CJ105" s="588"/>
      <c r="CK105" s="588"/>
      <c r="CL105" s="588"/>
      <c r="CM105" s="588"/>
      <c r="CN105" s="588"/>
      <c r="CO105" s="588"/>
      <c r="CP105" s="256"/>
      <c r="CQ105" s="256"/>
      <c r="CR105" s="256"/>
      <c r="CS105" s="256"/>
      <c r="CT105" s="256"/>
      <c r="CU105" s="256"/>
      <c r="CV105" s="256"/>
      <c r="CW105" s="233"/>
      <c r="CX105" s="233"/>
    </row>
    <row r="106" spans="1:102" ht="9" customHeight="1">
      <c r="A106" s="695"/>
      <c r="B106" s="695"/>
      <c r="C106" s="695"/>
      <c r="D106" s="695"/>
      <c r="E106" s="695"/>
      <c r="F106" s="677"/>
      <c r="G106" s="677"/>
      <c r="H106" s="677"/>
      <c r="I106" s="677"/>
      <c r="J106" s="677"/>
      <c r="K106" s="677"/>
      <c r="L106" s="677"/>
      <c r="M106" s="677"/>
      <c r="N106" s="677"/>
      <c r="O106" s="677"/>
      <c r="P106" s="677"/>
      <c r="Q106" s="677"/>
      <c r="R106" s="677"/>
      <c r="S106" s="677"/>
      <c r="T106" s="677"/>
      <c r="U106" s="677"/>
      <c r="V106" s="677"/>
      <c r="W106" s="677"/>
      <c r="X106" s="677"/>
      <c r="Y106" s="677"/>
      <c r="Z106" s="695"/>
      <c r="AA106" s="695"/>
      <c r="AB106" s="695"/>
      <c r="AC106" s="695"/>
      <c r="AD106" s="695"/>
      <c r="AE106" s="677"/>
      <c r="AF106" s="677"/>
      <c r="AG106" s="677"/>
      <c r="AH106" s="677"/>
      <c r="AI106" s="677"/>
      <c r="AJ106" s="677"/>
      <c r="AK106" s="677"/>
      <c r="AL106" s="677"/>
      <c r="AM106" s="677"/>
      <c r="AN106" s="677"/>
      <c r="AO106" s="677"/>
      <c r="AP106" s="677"/>
      <c r="AQ106" s="677"/>
      <c r="AR106" s="677"/>
      <c r="AS106" s="677"/>
      <c r="AT106" s="677"/>
      <c r="AU106" s="677"/>
      <c r="AV106" s="677"/>
      <c r="AW106" s="677"/>
      <c r="AX106" s="677"/>
      <c r="AY106" s="233"/>
      <c r="AZ106" s="233"/>
      <c r="BA106" s="621"/>
      <c r="BB106" s="621"/>
      <c r="BC106" s="621"/>
      <c r="BD106" s="621"/>
      <c r="BE106" s="621"/>
      <c r="BF106" s="621"/>
      <c r="BG106" s="621"/>
      <c r="BH106" s="564"/>
      <c r="BI106" s="598"/>
      <c r="BJ106" s="598"/>
      <c r="BK106" s="598"/>
      <c r="BL106" s="598"/>
      <c r="BM106" s="256"/>
      <c r="BN106" s="256"/>
      <c r="BO106" s="256"/>
      <c r="BP106" s="256"/>
      <c r="BQ106" s="256"/>
      <c r="BR106" s="256"/>
      <c r="BS106" s="256"/>
      <c r="BT106" s="256"/>
      <c r="BU106" s="256"/>
      <c r="BV106" s="256"/>
      <c r="BW106" s="256"/>
      <c r="BX106" s="256"/>
      <c r="BY106" s="256"/>
      <c r="BZ106" s="256"/>
      <c r="CA106" s="256"/>
      <c r="CB106" s="233"/>
      <c r="CC106" s="233"/>
      <c r="CD106" s="233"/>
      <c r="CE106" s="621"/>
      <c r="CF106" s="621"/>
      <c r="CG106" s="621"/>
      <c r="CH106" s="621"/>
      <c r="CI106" s="621"/>
      <c r="CJ106" s="589"/>
      <c r="CK106" s="589"/>
      <c r="CL106" s="589"/>
      <c r="CM106" s="589"/>
      <c r="CN106" s="589"/>
      <c r="CO106" s="589"/>
      <c r="CP106" s="256"/>
      <c r="CQ106" s="256"/>
      <c r="CR106" s="256"/>
      <c r="CS106" s="256"/>
      <c r="CT106" s="256"/>
      <c r="CU106" s="256"/>
      <c r="CV106" s="256"/>
      <c r="CW106" s="233"/>
      <c r="CX106" s="233"/>
    </row>
    <row r="107" spans="1:102" ht="9" customHeight="1">
      <c r="A107" s="695"/>
      <c r="B107" s="695"/>
      <c r="C107" s="695"/>
      <c r="D107" s="695"/>
      <c r="E107" s="695"/>
      <c r="F107" s="677"/>
      <c r="G107" s="677"/>
      <c r="H107" s="677"/>
      <c r="I107" s="677"/>
      <c r="J107" s="677"/>
      <c r="K107" s="677"/>
      <c r="L107" s="677"/>
      <c r="M107" s="677"/>
      <c r="N107" s="677"/>
      <c r="O107" s="677"/>
      <c r="P107" s="677"/>
      <c r="Q107" s="677"/>
      <c r="R107" s="677"/>
      <c r="S107" s="677"/>
      <c r="T107" s="677"/>
      <c r="U107" s="677"/>
      <c r="V107" s="677"/>
      <c r="W107" s="677"/>
      <c r="X107" s="677"/>
      <c r="Y107" s="677"/>
      <c r="Z107" s="695"/>
      <c r="AA107" s="695"/>
      <c r="AB107" s="695"/>
      <c r="AC107" s="695"/>
      <c r="AD107" s="695"/>
      <c r="AE107" s="677"/>
      <c r="AF107" s="677"/>
      <c r="AG107" s="677"/>
      <c r="AH107" s="677"/>
      <c r="AI107" s="677"/>
      <c r="AJ107" s="677"/>
      <c r="AK107" s="677"/>
      <c r="AL107" s="677"/>
      <c r="AM107" s="677"/>
      <c r="AN107" s="677"/>
      <c r="AO107" s="677"/>
      <c r="AP107" s="677"/>
      <c r="AQ107" s="677"/>
      <c r="AR107" s="677"/>
      <c r="AS107" s="677"/>
      <c r="AT107" s="677"/>
      <c r="AU107" s="677"/>
      <c r="AV107" s="677"/>
      <c r="AW107" s="677"/>
      <c r="AX107" s="677"/>
      <c r="AY107" s="233"/>
      <c r="AZ107" s="233"/>
      <c r="BA107" s="264"/>
      <c r="BB107" s="264"/>
      <c r="BC107" s="264"/>
      <c r="BD107" s="264"/>
      <c r="BE107" s="264"/>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row>
    <row r="108" spans="1:102" ht="9" customHeight="1">
      <c r="A108" s="695"/>
      <c r="B108" s="695"/>
      <c r="C108" s="695"/>
      <c r="D108" s="695"/>
      <c r="E108" s="695"/>
      <c r="F108" s="677"/>
      <c r="G108" s="677"/>
      <c r="H108" s="677"/>
      <c r="I108" s="677"/>
      <c r="J108" s="677"/>
      <c r="K108" s="677"/>
      <c r="L108" s="677"/>
      <c r="M108" s="677"/>
      <c r="N108" s="677"/>
      <c r="O108" s="677"/>
      <c r="P108" s="677"/>
      <c r="Q108" s="677"/>
      <c r="R108" s="677"/>
      <c r="S108" s="677"/>
      <c r="T108" s="677"/>
      <c r="U108" s="677"/>
      <c r="V108" s="677"/>
      <c r="W108" s="677"/>
      <c r="X108" s="677"/>
      <c r="Y108" s="677"/>
      <c r="Z108" s="695"/>
      <c r="AA108" s="695"/>
      <c r="AB108" s="695"/>
      <c r="AC108" s="695"/>
      <c r="AD108" s="695"/>
      <c r="AE108" s="677"/>
      <c r="AF108" s="677"/>
      <c r="AG108" s="677"/>
      <c r="AH108" s="677"/>
      <c r="AI108" s="677"/>
      <c r="AJ108" s="677"/>
      <c r="AK108" s="677"/>
      <c r="AL108" s="677"/>
      <c r="AM108" s="677"/>
      <c r="AN108" s="677"/>
      <c r="AO108" s="677"/>
      <c r="AP108" s="677"/>
      <c r="AQ108" s="677"/>
      <c r="AR108" s="677"/>
      <c r="AS108" s="677"/>
      <c r="AT108" s="677"/>
      <c r="AU108" s="677"/>
      <c r="AV108" s="677"/>
      <c r="AW108" s="677"/>
      <c r="AX108" s="677"/>
      <c r="AY108" s="233"/>
      <c r="AZ108" s="233"/>
      <c r="BA108" s="274"/>
      <c r="BB108" s="274"/>
      <c r="BC108" s="274"/>
      <c r="BD108" s="274"/>
      <c r="BE108" s="248"/>
      <c r="BF108" s="248"/>
      <c r="BG108" s="248"/>
      <c r="BH108" s="274"/>
      <c r="BI108" s="274"/>
      <c r="BJ108" s="274"/>
      <c r="BK108" s="274"/>
      <c r="BL108" s="248"/>
      <c r="BM108" s="248"/>
      <c r="BN108" s="248"/>
      <c r="BO108" s="248"/>
      <c r="BP108" s="274"/>
      <c r="BQ108" s="274"/>
      <c r="BR108" s="274"/>
      <c r="BS108" s="274"/>
      <c r="BT108" s="248"/>
      <c r="BU108" s="248"/>
      <c r="BV108" s="248"/>
      <c r="BW108" s="248"/>
      <c r="BX108" s="274"/>
      <c r="BY108" s="274"/>
      <c r="BZ108" s="274"/>
      <c r="CA108" s="274"/>
      <c r="CB108" s="406"/>
      <c r="CC108" s="406"/>
      <c r="CD108" s="406"/>
      <c r="CE108" s="274"/>
      <c r="CF108" s="274"/>
      <c r="CG108" s="274"/>
      <c r="CH108" s="274"/>
      <c r="CI108" s="406"/>
      <c r="CJ108" s="406"/>
      <c r="CK108" s="406"/>
      <c r="CL108" s="274"/>
      <c r="CM108" s="274"/>
      <c r="CN108" s="274"/>
      <c r="CO108" s="274"/>
      <c r="CP108" s="406"/>
      <c r="CQ108" s="406"/>
      <c r="CR108" s="406"/>
      <c r="CS108" s="274"/>
      <c r="CT108" s="274"/>
      <c r="CU108" s="274"/>
      <c r="CV108" s="274"/>
      <c r="CW108" s="233"/>
      <c r="CX108" s="233"/>
    </row>
    <row r="109" spans="1:102" ht="9" customHeight="1">
      <c r="A109" s="695"/>
      <c r="B109" s="695"/>
      <c r="C109" s="695"/>
      <c r="D109" s="695"/>
      <c r="E109" s="695"/>
      <c r="F109" s="677"/>
      <c r="G109" s="677"/>
      <c r="H109" s="677"/>
      <c r="I109" s="677"/>
      <c r="J109" s="677"/>
      <c r="K109" s="677"/>
      <c r="L109" s="677"/>
      <c r="M109" s="677"/>
      <c r="N109" s="677"/>
      <c r="O109" s="677"/>
      <c r="P109" s="677"/>
      <c r="Q109" s="677"/>
      <c r="R109" s="677"/>
      <c r="S109" s="677"/>
      <c r="T109" s="677"/>
      <c r="U109" s="677"/>
      <c r="V109" s="677"/>
      <c r="W109" s="677"/>
      <c r="X109" s="677"/>
      <c r="Y109" s="677"/>
      <c r="Z109" s="695"/>
      <c r="AA109" s="695"/>
      <c r="AB109" s="695"/>
      <c r="AC109" s="695"/>
      <c r="AD109" s="695"/>
      <c r="AE109" s="677"/>
      <c r="AF109" s="677"/>
      <c r="AG109" s="677"/>
      <c r="AH109" s="677"/>
      <c r="AI109" s="677"/>
      <c r="AJ109" s="677"/>
      <c r="AK109" s="677"/>
      <c r="AL109" s="677"/>
      <c r="AM109" s="677"/>
      <c r="AN109" s="677"/>
      <c r="AO109" s="677"/>
      <c r="AP109" s="677"/>
      <c r="AQ109" s="677"/>
      <c r="AR109" s="677"/>
      <c r="AS109" s="677"/>
      <c r="AT109" s="677"/>
      <c r="AU109" s="677"/>
      <c r="AV109" s="677"/>
      <c r="AW109" s="677"/>
      <c r="AX109" s="677"/>
      <c r="AY109" s="233"/>
      <c r="AZ109" s="233"/>
      <c r="BA109" s="628"/>
      <c r="BB109" s="629"/>
      <c r="BC109" s="629"/>
      <c r="BD109" s="630"/>
      <c r="BE109" s="233"/>
      <c r="BF109" s="233"/>
      <c r="BG109" s="233"/>
      <c r="BH109" s="628"/>
      <c r="BI109" s="629"/>
      <c r="BJ109" s="629"/>
      <c r="BK109" s="630"/>
      <c r="BL109" s="233"/>
      <c r="BM109" s="233"/>
      <c r="BN109" s="233"/>
      <c r="BO109" s="233"/>
      <c r="BP109" s="628"/>
      <c r="BQ109" s="629"/>
      <c r="BR109" s="629"/>
      <c r="BS109" s="630"/>
      <c r="BT109" s="233"/>
      <c r="BU109" s="233"/>
      <c r="BV109" s="233"/>
      <c r="BW109" s="233"/>
      <c r="BX109" s="628"/>
      <c r="BY109" s="629"/>
      <c r="BZ109" s="629"/>
      <c r="CA109" s="630"/>
      <c r="CB109" s="311"/>
      <c r="CC109" s="311"/>
      <c r="CD109" s="311"/>
      <c r="CE109" s="628"/>
      <c r="CF109" s="629"/>
      <c r="CG109" s="629"/>
      <c r="CH109" s="630"/>
      <c r="CI109" s="311"/>
      <c r="CJ109" s="311"/>
      <c r="CK109" s="311"/>
      <c r="CL109" s="628"/>
      <c r="CM109" s="629"/>
      <c r="CN109" s="629"/>
      <c r="CO109" s="630"/>
      <c r="CP109" s="311"/>
      <c r="CQ109" s="311"/>
      <c r="CR109" s="233"/>
      <c r="CS109" s="628"/>
      <c r="CT109" s="629"/>
      <c r="CU109" s="629"/>
      <c r="CV109" s="630"/>
      <c r="CW109" s="233"/>
      <c r="CX109" s="233"/>
    </row>
    <row r="110" spans="1:102" ht="9" customHeight="1">
      <c r="A110" s="695"/>
      <c r="B110" s="695"/>
      <c r="C110" s="695"/>
      <c r="D110" s="695"/>
      <c r="E110" s="695"/>
      <c r="F110" s="677"/>
      <c r="G110" s="677"/>
      <c r="H110" s="677"/>
      <c r="I110" s="677"/>
      <c r="J110" s="677"/>
      <c r="K110" s="677"/>
      <c r="L110" s="677"/>
      <c r="M110" s="677"/>
      <c r="N110" s="677"/>
      <c r="O110" s="677"/>
      <c r="P110" s="677"/>
      <c r="Q110" s="677"/>
      <c r="R110" s="677"/>
      <c r="S110" s="677"/>
      <c r="T110" s="677"/>
      <c r="U110" s="677"/>
      <c r="V110" s="677"/>
      <c r="W110" s="677"/>
      <c r="X110" s="677"/>
      <c r="Y110" s="677"/>
      <c r="Z110" s="695"/>
      <c r="AA110" s="695"/>
      <c r="AB110" s="695"/>
      <c r="AC110" s="695"/>
      <c r="AD110" s="695"/>
      <c r="AE110" s="677"/>
      <c r="AF110" s="677"/>
      <c r="AG110" s="677"/>
      <c r="AH110" s="677"/>
      <c r="AI110" s="677"/>
      <c r="AJ110" s="677"/>
      <c r="AK110" s="677"/>
      <c r="AL110" s="677"/>
      <c r="AM110" s="677"/>
      <c r="AN110" s="677"/>
      <c r="AO110" s="677"/>
      <c r="AP110" s="677"/>
      <c r="AQ110" s="677"/>
      <c r="AR110" s="677"/>
      <c r="AS110" s="677"/>
      <c r="AT110" s="677"/>
      <c r="AU110" s="677"/>
      <c r="AV110" s="677"/>
      <c r="AW110" s="677"/>
      <c r="AX110" s="677"/>
      <c r="AY110" s="233"/>
      <c r="AZ110" s="233"/>
      <c r="BA110" s="631"/>
      <c r="BB110" s="632"/>
      <c r="BC110" s="632"/>
      <c r="BD110" s="633"/>
      <c r="BE110" s="233"/>
      <c r="BF110" s="233"/>
      <c r="BG110" s="233"/>
      <c r="BH110" s="631"/>
      <c r="BI110" s="632"/>
      <c r="BJ110" s="632"/>
      <c r="BK110" s="633"/>
      <c r="BL110" s="233"/>
      <c r="BM110" s="233"/>
      <c r="BN110" s="233"/>
      <c r="BO110" s="233"/>
      <c r="BP110" s="631"/>
      <c r="BQ110" s="632"/>
      <c r="BR110" s="632"/>
      <c r="BS110" s="633"/>
      <c r="BT110" s="233"/>
      <c r="BU110" s="233"/>
      <c r="BV110" s="233"/>
      <c r="BW110" s="233"/>
      <c r="BX110" s="631"/>
      <c r="BY110" s="632"/>
      <c r="BZ110" s="632"/>
      <c r="CA110" s="633"/>
      <c r="CB110" s="311"/>
      <c r="CC110" s="311"/>
      <c r="CD110" s="311"/>
      <c r="CE110" s="631"/>
      <c r="CF110" s="632"/>
      <c r="CG110" s="632"/>
      <c r="CH110" s="633"/>
      <c r="CI110" s="311"/>
      <c r="CJ110" s="311"/>
      <c r="CK110" s="311"/>
      <c r="CL110" s="631"/>
      <c r="CM110" s="632"/>
      <c r="CN110" s="632"/>
      <c r="CO110" s="633"/>
      <c r="CP110" s="311"/>
      <c r="CQ110" s="311"/>
      <c r="CR110" s="233"/>
      <c r="CS110" s="631"/>
      <c r="CT110" s="632"/>
      <c r="CU110" s="632"/>
      <c r="CV110" s="633"/>
      <c r="CW110" s="233"/>
      <c r="CX110" s="233"/>
    </row>
    <row r="111" spans="1:102" ht="9" customHeight="1">
      <c r="A111" s="695"/>
      <c r="B111" s="695"/>
      <c r="C111" s="695"/>
      <c r="D111" s="695"/>
      <c r="E111" s="695"/>
      <c r="F111" s="677"/>
      <c r="G111" s="677"/>
      <c r="H111" s="677"/>
      <c r="I111" s="677"/>
      <c r="J111" s="677"/>
      <c r="K111" s="677"/>
      <c r="L111" s="677"/>
      <c r="M111" s="677"/>
      <c r="N111" s="677"/>
      <c r="O111" s="677"/>
      <c r="P111" s="677"/>
      <c r="Q111" s="677"/>
      <c r="R111" s="677"/>
      <c r="S111" s="677"/>
      <c r="T111" s="677"/>
      <c r="U111" s="677"/>
      <c r="V111" s="677"/>
      <c r="W111" s="677"/>
      <c r="X111" s="677"/>
      <c r="Y111" s="677"/>
      <c r="Z111" s="695"/>
      <c r="AA111" s="695"/>
      <c r="AB111" s="695"/>
      <c r="AC111" s="695"/>
      <c r="AD111" s="695"/>
      <c r="AE111" s="677"/>
      <c r="AF111" s="677"/>
      <c r="AG111" s="677"/>
      <c r="AH111" s="677"/>
      <c r="AI111" s="677"/>
      <c r="AJ111" s="677"/>
      <c r="AK111" s="677"/>
      <c r="AL111" s="677"/>
      <c r="AM111" s="677"/>
      <c r="AN111" s="677"/>
      <c r="AO111" s="677"/>
      <c r="AP111" s="677"/>
      <c r="AQ111" s="677"/>
      <c r="AR111" s="677"/>
      <c r="AS111" s="677"/>
      <c r="AT111" s="677"/>
      <c r="AU111" s="677"/>
      <c r="AV111" s="677"/>
      <c r="AW111" s="677"/>
      <c r="AX111" s="677"/>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row>
    <row r="112" spans="1:102" ht="9" customHeight="1">
      <c r="A112" s="695"/>
      <c r="B112" s="695"/>
      <c r="C112" s="695"/>
      <c r="D112" s="695"/>
      <c r="E112" s="695"/>
      <c r="F112" s="677"/>
      <c r="G112" s="677"/>
      <c r="H112" s="677"/>
      <c r="I112" s="677"/>
      <c r="J112" s="677"/>
      <c r="K112" s="677"/>
      <c r="L112" s="677"/>
      <c r="M112" s="677"/>
      <c r="N112" s="677"/>
      <c r="O112" s="677"/>
      <c r="P112" s="677"/>
      <c r="Q112" s="677"/>
      <c r="R112" s="677"/>
      <c r="S112" s="677"/>
      <c r="T112" s="677"/>
      <c r="U112" s="677"/>
      <c r="V112" s="677"/>
      <c r="W112" s="677"/>
      <c r="X112" s="677"/>
      <c r="Y112" s="677"/>
      <c r="Z112" s="695"/>
      <c r="AA112" s="695"/>
      <c r="AB112" s="695"/>
      <c r="AC112" s="695"/>
      <c r="AD112" s="695"/>
      <c r="AE112" s="677"/>
      <c r="AF112" s="677"/>
      <c r="AG112" s="677"/>
      <c r="AH112" s="677"/>
      <c r="AI112" s="677"/>
      <c r="AJ112" s="677"/>
      <c r="AK112" s="677"/>
      <c r="AL112" s="677"/>
      <c r="AM112" s="677"/>
      <c r="AN112" s="677"/>
      <c r="AO112" s="677"/>
      <c r="AP112" s="677"/>
      <c r="AQ112" s="677"/>
      <c r="AR112" s="677"/>
      <c r="AS112" s="677"/>
      <c r="AT112" s="677"/>
      <c r="AU112" s="677"/>
      <c r="AV112" s="677"/>
      <c r="AW112" s="677"/>
      <c r="AX112" s="677"/>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row>
    <row r="113" spans="1:102" ht="9" customHeight="1">
      <c r="A113" s="695"/>
      <c r="B113" s="695"/>
      <c r="C113" s="695"/>
      <c r="D113" s="695"/>
      <c r="E113" s="695"/>
      <c r="F113" s="677"/>
      <c r="G113" s="677"/>
      <c r="H113" s="677"/>
      <c r="I113" s="677"/>
      <c r="J113" s="677"/>
      <c r="K113" s="677"/>
      <c r="L113" s="677"/>
      <c r="M113" s="677"/>
      <c r="N113" s="677"/>
      <c r="O113" s="677"/>
      <c r="P113" s="677"/>
      <c r="Q113" s="677"/>
      <c r="R113" s="677"/>
      <c r="S113" s="677"/>
      <c r="T113" s="677"/>
      <c r="U113" s="677"/>
      <c r="V113" s="677"/>
      <c r="W113" s="677"/>
      <c r="X113" s="677"/>
      <c r="Y113" s="677"/>
      <c r="Z113" s="695"/>
      <c r="AA113" s="695"/>
      <c r="AB113" s="695"/>
      <c r="AC113" s="695"/>
      <c r="AD113" s="695"/>
      <c r="AE113" s="677"/>
      <c r="AF113" s="677"/>
      <c r="AG113" s="677"/>
      <c r="AH113" s="677"/>
      <c r="AI113" s="677"/>
      <c r="AJ113" s="677"/>
      <c r="AK113" s="677"/>
      <c r="AL113" s="677"/>
      <c r="AM113" s="677"/>
      <c r="AN113" s="677"/>
      <c r="AO113" s="677"/>
      <c r="AP113" s="677"/>
      <c r="AQ113" s="677"/>
      <c r="AR113" s="677"/>
      <c r="AS113" s="677"/>
      <c r="AT113" s="677"/>
      <c r="AU113" s="677"/>
      <c r="AV113" s="677"/>
      <c r="AW113" s="677"/>
      <c r="AX113" s="677"/>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233"/>
      <c r="CO113" s="233"/>
      <c r="CP113" s="233"/>
      <c r="CQ113" s="233"/>
      <c r="CR113" s="233"/>
      <c r="CS113" s="233"/>
      <c r="CT113" s="233"/>
      <c r="CU113" s="233"/>
      <c r="CV113" s="233"/>
      <c r="CW113" s="233"/>
      <c r="CX113" s="233"/>
    </row>
    <row r="114" spans="1:102" ht="9" customHeight="1">
      <c r="A114" s="758"/>
      <c r="B114" s="695"/>
      <c r="C114" s="695"/>
      <c r="D114" s="695"/>
      <c r="E114" s="695"/>
      <c r="F114" s="600"/>
      <c r="G114" s="601"/>
      <c r="H114" s="601"/>
      <c r="I114" s="602"/>
      <c r="J114" s="677"/>
      <c r="K114" s="677"/>
      <c r="L114" s="677"/>
      <c r="M114" s="677"/>
      <c r="N114" s="677"/>
      <c r="O114" s="677"/>
      <c r="P114" s="677"/>
      <c r="Q114" s="677"/>
      <c r="R114" s="677"/>
      <c r="S114" s="677"/>
      <c r="T114" s="677"/>
      <c r="U114" s="677"/>
      <c r="V114" s="677"/>
      <c r="W114" s="677"/>
      <c r="X114" s="677"/>
      <c r="Y114" s="677"/>
      <c r="Z114" s="695"/>
      <c r="AA114" s="695"/>
      <c r="AB114" s="695"/>
      <c r="AC114" s="695"/>
      <c r="AD114" s="695"/>
      <c r="AE114" s="677"/>
      <c r="AF114" s="677"/>
      <c r="AG114" s="677"/>
      <c r="AH114" s="677"/>
      <c r="AI114" s="677"/>
      <c r="AJ114" s="677"/>
      <c r="AK114" s="677"/>
      <c r="AL114" s="677"/>
      <c r="AM114" s="677"/>
      <c r="AN114" s="677"/>
      <c r="AO114" s="677"/>
      <c r="AP114" s="677"/>
      <c r="AQ114" s="677"/>
      <c r="AR114" s="677"/>
      <c r="AS114" s="677"/>
      <c r="AT114" s="677"/>
      <c r="AU114" s="677"/>
      <c r="AV114" s="677"/>
      <c r="AW114" s="677"/>
      <c r="AX114" s="677"/>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row>
    <row r="115" spans="1:102" ht="9" customHeight="1">
      <c r="A115" s="695"/>
      <c r="B115" s="695"/>
      <c r="C115" s="695"/>
      <c r="D115" s="695"/>
      <c r="E115" s="695"/>
      <c r="F115" s="603"/>
      <c r="G115" s="604"/>
      <c r="H115" s="604"/>
      <c r="I115" s="605"/>
      <c r="J115" s="677"/>
      <c r="K115" s="677"/>
      <c r="L115" s="677"/>
      <c r="M115" s="677"/>
      <c r="N115" s="677"/>
      <c r="O115" s="677"/>
      <c r="P115" s="677"/>
      <c r="Q115" s="677"/>
      <c r="R115" s="677"/>
      <c r="S115" s="677"/>
      <c r="T115" s="677"/>
      <c r="U115" s="677"/>
      <c r="V115" s="677"/>
      <c r="W115" s="677"/>
      <c r="X115" s="677"/>
      <c r="Y115" s="677"/>
      <c r="Z115" s="695"/>
      <c r="AA115" s="695"/>
      <c r="AB115" s="695"/>
      <c r="AC115" s="695"/>
      <c r="AD115" s="695"/>
      <c r="AE115" s="677"/>
      <c r="AF115" s="677"/>
      <c r="AG115" s="677"/>
      <c r="AH115" s="677"/>
      <c r="AI115" s="677"/>
      <c r="AJ115" s="677"/>
      <c r="AK115" s="677"/>
      <c r="AL115" s="677"/>
      <c r="AM115" s="677"/>
      <c r="AN115" s="677"/>
      <c r="AO115" s="677"/>
      <c r="AP115" s="677"/>
      <c r="AQ115" s="677"/>
      <c r="AR115" s="677"/>
      <c r="AS115" s="677"/>
      <c r="AT115" s="677"/>
      <c r="AU115" s="677"/>
      <c r="AV115" s="677"/>
      <c r="AW115" s="677"/>
      <c r="AX115" s="677"/>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600"/>
      <c r="BU115" s="601"/>
      <c r="BV115" s="602"/>
      <c r="BW115" s="233"/>
      <c r="BX115" s="708" t="s">
        <v>134</v>
      </c>
      <c r="BY115" s="708"/>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row>
    <row r="116" spans="1:102" ht="9" customHeight="1">
      <c r="A116" s="695"/>
      <c r="B116" s="695"/>
      <c r="C116" s="695"/>
      <c r="D116" s="695"/>
      <c r="E116" s="695"/>
      <c r="F116" s="677"/>
      <c r="G116" s="677"/>
      <c r="H116" s="677"/>
      <c r="I116" s="677"/>
      <c r="J116" s="677"/>
      <c r="K116" s="677"/>
      <c r="L116" s="677"/>
      <c r="M116" s="677"/>
      <c r="N116" s="677"/>
      <c r="O116" s="677"/>
      <c r="P116" s="677"/>
      <c r="Q116" s="677"/>
      <c r="R116" s="677"/>
      <c r="S116" s="677"/>
      <c r="T116" s="677"/>
      <c r="U116" s="677"/>
      <c r="V116" s="677"/>
      <c r="W116" s="677"/>
      <c r="X116" s="677"/>
      <c r="Y116" s="677"/>
      <c r="Z116" s="695"/>
      <c r="AA116" s="695"/>
      <c r="AB116" s="695"/>
      <c r="AC116" s="695"/>
      <c r="AD116" s="695"/>
      <c r="AE116" s="677"/>
      <c r="AF116" s="677"/>
      <c r="AG116" s="677"/>
      <c r="AH116" s="677"/>
      <c r="AI116" s="677"/>
      <c r="AJ116" s="677"/>
      <c r="AK116" s="677"/>
      <c r="AL116" s="677"/>
      <c r="AM116" s="677"/>
      <c r="AN116" s="677"/>
      <c r="AO116" s="677"/>
      <c r="AP116" s="677"/>
      <c r="AQ116" s="677"/>
      <c r="AR116" s="677"/>
      <c r="AS116" s="677"/>
      <c r="AT116" s="677"/>
      <c r="AU116" s="677"/>
      <c r="AV116" s="677"/>
      <c r="AW116" s="677"/>
      <c r="AX116" s="677"/>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603"/>
      <c r="BU116" s="604"/>
      <c r="BV116" s="605"/>
      <c r="BW116" s="233"/>
      <c r="BX116" s="708"/>
      <c r="BY116" s="708"/>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row>
    <row r="117" spans="1:102" ht="9" customHeight="1">
      <c r="A117" s="695"/>
      <c r="B117" s="695"/>
      <c r="C117" s="695"/>
      <c r="D117" s="695"/>
      <c r="E117" s="695"/>
      <c r="F117" s="677"/>
      <c r="G117" s="677"/>
      <c r="H117" s="677"/>
      <c r="I117" s="677"/>
      <c r="J117" s="677"/>
      <c r="K117" s="677"/>
      <c r="L117" s="677"/>
      <c r="M117" s="677"/>
      <c r="N117" s="677"/>
      <c r="O117" s="677"/>
      <c r="P117" s="677"/>
      <c r="Q117" s="677"/>
      <c r="R117" s="677"/>
      <c r="S117" s="677"/>
      <c r="T117" s="677"/>
      <c r="U117" s="677"/>
      <c r="V117" s="677"/>
      <c r="W117" s="677"/>
      <c r="X117" s="677"/>
      <c r="Y117" s="677"/>
      <c r="Z117" s="695"/>
      <c r="AA117" s="695"/>
      <c r="AB117" s="695"/>
      <c r="AC117" s="695"/>
      <c r="AD117" s="695"/>
      <c r="AE117" s="677"/>
      <c r="AF117" s="677"/>
      <c r="AG117" s="677"/>
      <c r="AH117" s="677"/>
      <c r="AI117" s="677"/>
      <c r="AJ117" s="677"/>
      <c r="AK117" s="677"/>
      <c r="AL117" s="677"/>
      <c r="AM117" s="677"/>
      <c r="AN117" s="677"/>
      <c r="AO117" s="677"/>
      <c r="AP117" s="677"/>
      <c r="AQ117" s="677"/>
      <c r="AR117" s="677"/>
      <c r="AS117" s="677"/>
      <c r="AT117" s="677"/>
      <c r="AU117" s="677"/>
      <c r="AV117" s="677"/>
      <c r="AW117" s="677"/>
      <c r="AX117" s="677"/>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row>
    <row r="118" spans="1:102" ht="9" customHeight="1">
      <c r="A118" s="758"/>
      <c r="B118" s="695"/>
      <c r="C118" s="695"/>
      <c r="D118" s="695"/>
      <c r="E118" s="695"/>
      <c r="F118" s="677"/>
      <c r="G118" s="677"/>
      <c r="H118" s="677"/>
      <c r="I118" s="677"/>
      <c r="J118" s="677"/>
      <c r="K118" s="677"/>
      <c r="L118" s="677"/>
      <c r="M118" s="677"/>
      <c r="N118" s="677"/>
      <c r="O118" s="677"/>
      <c r="P118" s="677"/>
      <c r="Q118" s="677"/>
      <c r="R118" s="677"/>
      <c r="S118" s="677"/>
      <c r="T118" s="677"/>
      <c r="U118" s="677"/>
      <c r="V118" s="677"/>
      <c r="W118" s="677"/>
      <c r="X118" s="677"/>
      <c r="Y118" s="677"/>
      <c r="Z118" s="695"/>
      <c r="AA118" s="695"/>
      <c r="AB118" s="695"/>
      <c r="AC118" s="695"/>
      <c r="AD118" s="695"/>
      <c r="AE118" s="677"/>
      <c r="AF118" s="677"/>
      <c r="AG118" s="677"/>
      <c r="AH118" s="677"/>
      <c r="AI118" s="677"/>
      <c r="AJ118" s="677"/>
      <c r="AK118" s="677"/>
      <c r="AL118" s="677"/>
      <c r="AM118" s="677"/>
      <c r="AN118" s="677"/>
      <c r="AO118" s="677"/>
      <c r="AP118" s="677"/>
      <c r="AQ118" s="677"/>
      <c r="AR118" s="677"/>
      <c r="AS118" s="677"/>
      <c r="AT118" s="677"/>
      <c r="AU118" s="677"/>
      <c r="AV118" s="677"/>
      <c r="AW118" s="677"/>
      <c r="AX118" s="677"/>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row>
    <row r="119" spans="1:102" ht="9" customHeight="1">
      <c r="A119" s="695"/>
      <c r="B119" s="695"/>
      <c r="C119" s="695"/>
      <c r="D119" s="695"/>
      <c r="E119" s="695"/>
      <c r="F119" s="677"/>
      <c r="G119" s="677"/>
      <c r="H119" s="677"/>
      <c r="I119" s="677"/>
      <c r="J119" s="677"/>
      <c r="K119" s="677"/>
      <c r="L119" s="677"/>
      <c r="M119" s="677"/>
      <c r="N119" s="677"/>
      <c r="O119" s="677"/>
      <c r="P119" s="677"/>
      <c r="Q119" s="677"/>
      <c r="R119" s="677"/>
      <c r="S119" s="677"/>
      <c r="T119" s="677"/>
      <c r="U119" s="677"/>
      <c r="V119" s="677"/>
      <c r="W119" s="677"/>
      <c r="X119" s="677"/>
      <c r="Y119" s="677"/>
      <c r="Z119" s="695"/>
      <c r="AA119" s="695"/>
      <c r="AB119" s="695"/>
      <c r="AC119" s="695"/>
      <c r="AD119" s="695"/>
      <c r="AE119" s="677"/>
      <c r="AF119" s="677"/>
      <c r="AG119" s="677"/>
      <c r="AH119" s="677"/>
      <c r="AI119" s="677"/>
      <c r="AJ119" s="677"/>
      <c r="AK119" s="677"/>
      <c r="AL119" s="677"/>
      <c r="AM119" s="677"/>
      <c r="AN119" s="677"/>
      <c r="AO119" s="677"/>
      <c r="AP119" s="677"/>
      <c r="AQ119" s="677"/>
      <c r="AR119" s="677"/>
      <c r="AS119" s="677"/>
      <c r="AT119" s="677"/>
      <c r="AU119" s="677"/>
      <c r="AV119" s="677"/>
      <c r="AW119" s="677"/>
      <c r="AX119" s="677"/>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row>
    <row r="120" spans="1:102" ht="9" customHeight="1">
      <c r="A120" s="695"/>
      <c r="B120" s="695"/>
      <c r="C120" s="695"/>
      <c r="D120" s="695"/>
      <c r="E120" s="695"/>
      <c r="F120" s="677"/>
      <c r="G120" s="677"/>
      <c r="H120" s="677"/>
      <c r="I120" s="677"/>
      <c r="J120" s="677"/>
      <c r="K120" s="677"/>
      <c r="L120" s="677"/>
      <c r="M120" s="677"/>
      <c r="N120" s="677"/>
      <c r="O120" s="677"/>
      <c r="P120" s="677"/>
      <c r="Q120" s="677"/>
      <c r="R120" s="677"/>
      <c r="S120" s="677"/>
      <c r="T120" s="677"/>
      <c r="U120" s="677"/>
      <c r="V120" s="677"/>
      <c r="W120" s="677"/>
      <c r="X120" s="677"/>
      <c r="Y120" s="677"/>
      <c r="Z120" s="695"/>
      <c r="AA120" s="695"/>
      <c r="AB120" s="695"/>
      <c r="AC120" s="695"/>
      <c r="AD120" s="695"/>
      <c r="AE120" s="677"/>
      <c r="AF120" s="677"/>
      <c r="AG120" s="677"/>
      <c r="AH120" s="677"/>
      <c r="AI120" s="677"/>
      <c r="AJ120" s="677"/>
      <c r="AK120" s="677"/>
      <c r="AL120" s="677"/>
      <c r="AM120" s="677"/>
      <c r="AN120" s="677"/>
      <c r="AO120" s="677"/>
      <c r="AP120" s="677"/>
      <c r="AQ120" s="677"/>
      <c r="AR120" s="677"/>
      <c r="AS120" s="677"/>
      <c r="AT120" s="677"/>
      <c r="AU120" s="677"/>
      <c r="AV120" s="677"/>
      <c r="AW120" s="677"/>
      <c r="AX120" s="677"/>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row>
    <row r="121" spans="1:102" ht="9" customHeight="1">
      <c r="A121" s="695"/>
      <c r="B121" s="695"/>
      <c r="C121" s="695"/>
      <c r="D121" s="695"/>
      <c r="E121" s="695"/>
      <c r="F121" s="677"/>
      <c r="G121" s="677"/>
      <c r="H121" s="677"/>
      <c r="I121" s="677"/>
      <c r="J121" s="677"/>
      <c r="K121" s="677"/>
      <c r="L121" s="677"/>
      <c r="M121" s="677"/>
      <c r="N121" s="677"/>
      <c r="O121" s="677"/>
      <c r="P121" s="677"/>
      <c r="Q121" s="677"/>
      <c r="R121" s="677"/>
      <c r="S121" s="677"/>
      <c r="T121" s="677"/>
      <c r="U121" s="677"/>
      <c r="V121" s="677"/>
      <c r="W121" s="677"/>
      <c r="X121" s="677"/>
      <c r="Y121" s="677"/>
      <c r="Z121" s="695"/>
      <c r="AA121" s="695"/>
      <c r="AB121" s="695"/>
      <c r="AC121" s="695"/>
      <c r="AD121" s="695"/>
      <c r="AE121" s="677"/>
      <c r="AF121" s="677"/>
      <c r="AG121" s="677"/>
      <c r="AH121" s="677"/>
      <c r="AI121" s="677"/>
      <c r="AJ121" s="677"/>
      <c r="AK121" s="677"/>
      <c r="AL121" s="677"/>
      <c r="AM121" s="677"/>
      <c r="AN121" s="677"/>
      <c r="AO121" s="677"/>
      <c r="AP121" s="677"/>
      <c r="AQ121" s="677"/>
      <c r="AR121" s="677"/>
      <c r="AS121" s="677"/>
      <c r="AT121" s="677"/>
      <c r="AU121" s="677"/>
      <c r="AV121" s="677"/>
      <c r="AW121" s="677"/>
      <c r="AX121" s="677"/>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row>
    <row r="122" spans="1:102" ht="9" customHeight="1">
      <c r="A122" s="695"/>
      <c r="B122" s="695"/>
      <c r="C122" s="695"/>
      <c r="D122" s="695"/>
      <c r="E122" s="695"/>
      <c r="F122" s="677"/>
      <c r="G122" s="677"/>
      <c r="H122" s="677"/>
      <c r="I122" s="677"/>
      <c r="J122" s="677"/>
      <c r="K122" s="677"/>
      <c r="L122" s="677"/>
      <c r="M122" s="677"/>
      <c r="N122" s="677"/>
      <c r="O122" s="677"/>
      <c r="P122" s="677"/>
      <c r="Q122" s="677"/>
      <c r="R122" s="677"/>
      <c r="S122" s="677"/>
      <c r="T122" s="677"/>
      <c r="U122" s="677"/>
      <c r="V122" s="677"/>
      <c r="W122" s="677"/>
      <c r="X122" s="677"/>
      <c r="Y122" s="677"/>
      <c r="Z122" s="695"/>
      <c r="AA122" s="695"/>
      <c r="AB122" s="695"/>
      <c r="AC122" s="695"/>
      <c r="AD122" s="695"/>
      <c r="AE122" s="677"/>
      <c r="AF122" s="677"/>
      <c r="AG122" s="677"/>
      <c r="AH122" s="677"/>
      <c r="AI122" s="677"/>
      <c r="AJ122" s="677"/>
      <c r="AK122" s="677"/>
      <c r="AL122" s="677"/>
      <c r="AM122" s="677"/>
      <c r="AN122" s="677"/>
      <c r="AO122" s="677"/>
      <c r="AP122" s="677"/>
      <c r="AQ122" s="677"/>
      <c r="AR122" s="677"/>
      <c r="AS122" s="677"/>
      <c r="AT122" s="677"/>
      <c r="AU122" s="677"/>
      <c r="AV122" s="677"/>
      <c r="AW122" s="677"/>
      <c r="AX122" s="677"/>
      <c r="AY122" s="233"/>
      <c r="AZ122" s="233"/>
      <c r="BA122" s="233"/>
      <c r="BB122" s="233"/>
      <c r="BC122" s="233"/>
      <c r="BD122" s="233"/>
      <c r="BE122" s="233"/>
      <c r="BF122" s="233"/>
      <c r="BG122" s="233"/>
      <c r="BH122" s="233"/>
      <c r="BI122" s="233"/>
      <c r="BJ122" s="233"/>
      <c r="BK122" s="233"/>
      <c r="BL122" s="233"/>
      <c r="BM122" s="233"/>
      <c r="BN122" s="233"/>
      <c r="BO122" s="233"/>
      <c r="BP122" s="313"/>
      <c r="BQ122" s="313"/>
      <c r="BR122" s="313"/>
      <c r="BS122" s="31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row>
    <row r="123" spans="1:102" ht="9" customHeight="1">
      <c r="A123" s="695"/>
      <c r="B123" s="695"/>
      <c r="C123" s="695"/>
      <c r="D123" s="695"/>
      <c r="E123" s="695"/>
      <c r="F123" s="677"/>
      <c r="G123" s="677"/>
      <c r="H123" s="677"/>
      <c r="I123" s="677"/>
      <c r="J123" s="677"/>
      <c r="K123" s="677"/>
      <c r="L123" s="677"/>
      <c r="M123" s="677"/>
      <c r="N123" s="677"/>
      <c r="O123" s="677"/>
      <c r="P123" s="677"/>
      <c r="Q123" s="677"/>
      <c r="R123" s="677"/>
      <c r="S123" s="677"/>
      <c r="T123" s="677"/>
      <c r="U123" s="677"/>
      <c r="V123" s="677"/>
      <c r="W123" s="677"/>
      <c r="X123" s="677"/>
      <c r="Y123" s="677"/>
      <c r="Z123" s="695"/>
      <c r="AA123" s="695"/>
      <c r="AB123" s="695"/>
      <c r="AC123" s="695"/>
      <c r="AD123" s="695"/>
      <c r="AE123" s="677"/>
      <c r="AF123" s="677"/>
      <c r="AG123" s="677"/>
      <c r="AH123" s="677"/>
      <c r="AI123" s="677"/>
      <c r="AJ123" s="677"/>
      <c r="AK123" s="677"/>
      <c r="AL123" s="677"/>
      <c r="AM123" s="677"/>
      <c r="AN123" s="677"/>
      <c r="AO123" s="677"/>
      <c r="AP123" s="677"/>
      <c r="AQ123" s="677"/>
      <c r="AR123" s="677"/>
      <c r="AS123" s="677"/>
      <c r="AT123" s="677"/>
      <c r="AU123" s="677"/>
      <c r="AV123" s="677"/>
      <c r="AW123" s="677"/>
      <c r="AX123" s="677"/>
      <c r="AY123" s="233"/>
      <c r="AZ123" s="233"/>
      <c r="BA123" s="233"/>
      <c r="BB123" s="233"/>
      <c r="BC123" s="233"/>
      <c r="BD123" s="233"/>
      <c r="BE123" s="622"/>
      <c r="BF123" s="623"/>
      <c r="BG123" s="624"/>
      <c r="BH123" s="606" t="s">
        <v>134</v>
      </c>
      <c r="BI123" s="607"/>
      <c r="BJ123" s="438"/>
      <c r="BK123" s="438"/>
      <c r="BL123" s="438"/>
      <c r="BM123" s="438"/>
      <c r="BN123" s="438"/>
      <c r="BO123" s="441"/>
      <c r="BP123" s="622"/>
      <c r="BQ123" s="623"/>
      <c r="BR123" s="623"/>
      <c r="BS123" s="624"/>
      <c r="BT123" s="606" t="s">
        <v>134</v>
      </c>
      <c r="BU123" s="607"/>
      <c r="BV123" s="438"/>
      <c r="BW123" s="438"/>
      <c r="BX123" s="438"/>
      <c r="BY123" s="438"/>
      <c r="BZ123" s="438"/>
      <c r="CA123" s="438"/>
      <c r="CB123" s="622"/>
      <c r="CC123" s="623"/>
      <c r="CD123" s="624"/>
      <c r="CE123" s="606" t="s">
        <v>134</v>
      </c>
      <c r="CF123" s="607"/>
      <c r="CG123" s="438"/>
      <c r="CH123" s="438"/>
      <c r="CI123" s="622"/>
      <c r="CJ123" s="623"/>
      <c r="CK123" s="624"/>
      <c r="CL123" s="606" t="s">
        <v>134</v>
      </c>
      <c r="CM123" s="607"/>
      <c r="CN123" s="438"/>
      <c r="CO123" s="438"/>
      <c r="CP123" s="622"/>
      <c r="CQ123" s="623"/>
      <c r="CR123" s="624"/>
      <c r="CS123" s="707" t="s">
        <v>134</v>
      </c>
      <c r="CT123" s="599"/>
      <c r="CU123" s="233"/>
      <c r="CV123" s="233"/>
      <c r="CW123" s="233"/>
      <c r="CX123" s="233"/>
    </row>
    <row r="124" spans="1:102" ht="9" customHeight="1">
      <c r="A124" s="695"/>
      <c r="B124" s="695"/>
      <c r="C124" s="695"/>
      <c r="D124" s="695"/>
      <c r="E124" s="695"/>
      <c r="F124" s="677"/>
      <c r="G124" s="677"/>
      <c r="H124" s="677"/>
      <c r="I124" s="677"/>
      <c r="J124" s="677"/>
      <c r="K124" s="677"/>
      <c r="L124" s="677"/>
      <c r="M124" s="677"/>
      <c r="N124" s="677"/>
      <c r="O124" s="677"/>
      <c r="P124" s="677"/>
      <c r="Q124" s="677"/>
      <c r="R124" s="677"/>
      <c r="S124" s="677"/>
      <c r="T124" s="677"/>
      <c r="U124" s="677"/>
      <c r="V124" s="677"/>
      <c r="W124" s="677"/>
      <c r="X124" s="677"/>
      <c r="Y124" s="677"/>
      <c r="Z124" s="695"/>
      <c r="AA124" s="695"/>
      <c r="AB124" s="695"/>
      <c r="AC124" s="695"/>
      <c r="AD124" s="695"/>
      <c r="AE124" s="677"/>
      <c r="AF124" s="677"/>
      <c r="AG124" s="677"/>
      <c r="AH124" s="677"/>
      <c r="AI124" s="677"/>
      <c r="AJ124" s="677"/>
      <c r="AK124" s="677"/>
      <c r="AL124" s="677"/>
      <c r="AM124" s="677"/>
      <c r="AN124" s="677"/>
      <c r="AO124" s="677"/>
      <c r="AP124" s="677"/>
      <c r="AQ124" s="677"/>
      <c r="AR124" s="677"/>
      <c r="AS124" s="677"/>
      <c r="AT124" s="677"/>
      <c r="AU124" s="677"/>
      <c r="AV124" s="677"/>
      <c r="AW124" s="677"/>
      <c r="AX124" s="677"/>
      <c r="AY124" s="233"/>
      <c r="AZ124" s="233"/>
      <c r="BA124" s="233"/>
      <c r="BB124" s="233"/>
      <c r="BC124" s="233"/>
      <c r="BD124" s="233"/>
      <c r="BE124" s="625"/>
      <c r="BF124" s="626"/>
      <c r="BG124" s="627"/>
      <c r="BH124" s="606"/>
      <c r="BI124" s="607"/>
      <c r="BJ124" s="438"/>
      <c r="BK124" s="438"/>
      <c r="BL124" s="438"/>
      <c r="BM124" s="438"/>
      <c r="BN124" s="438"/>
      <c r="BO124" s="441"/>
      <c r="BP124" s="625"/>
      <c r="BQ124" s="626"/>
      <c r="BR124" s="626"/>
      <c r="BS124" s="627"/>
      <c r="BT124" s="606"/>
      <c r="BU124" s="607"/>
      <c r="BV124" s="438"/>
      <c r="BW124" s="438"/>
      <c r="BX124" s="438"/>
      <c r="BY124" s="438"/>
      <c r="BZ124" s="438"/>
      <c r="CA124" s="438"/>
      <c r="CB124" s="625"/>
      <c r="CC124" s="626"/>
      <c r="CD124" s="627"/>
      <c r="CE124" s="606"/>
      <c r="CF124" s="607"/>
      <c r="CG124" s="438"/>
      <c r="CH124" s="438"/>
      <c r="CI124" s="625"/>
      <c r="CJ124" s="626"/>
      <c r="CK124" s="627"/>
      <c r="CL124" s="606"/>
      <c r="CM124" s="607"/>
      <c r="CN124" s="438"/>
      <c r="CO124" s="438"/>
      <c r="CP124" s="625"/>
      <c r="CQ124" s="626"/>
      <c r="CR124" s="627"/>
      <c r="CS124" s="707"/>
      <c r="CT124" s="599"/>
      <c r="CU124" s="233"/>
      <c r="CV124" s="233"/>
      <c r="CW124" s="233"/>
      <c r="CX124" s="233"/>
    </row>
    <row r="125" spans="1:102" ht="9" customHeight="1">
      <c r="A125" s="695"/>
      <c r="B125" s="695"/>
      <c r="C125" s="695"/>
      <c r="D125" s="695"/>
      <c r="E125" s="695"/>
      <c r="F125" s="677"/>
      <c r="G125" s="677"/>
      <c r="H125" s="677"/>
      <c r="I125" s="677"/>
      <c r="J125" s="677"/>
      <c r="K125" s="677"/>
      <c r="L125" s="677"/>
      <c r="M125" s="677"/>
      <c r="N125" s="677"/>
      <c r="O125" s="677"/>
      <c r="P125" s="677"/>
      <c r="Q125" s="677"/>
      <c r="R125" s="677"/>
      <c r="S125" s="677"/>
      <c r="T125" s="677"/>
      <c r="U125" s="677"/>
      <c r="V125" s="677"/>
      <c r="W125" s="677"/>
      <c r="X125" s="677"/>
      <c r="Y125" s="677"/>
      <c r="Z125" s="695"/>
      <c r="AA125" s="695"/>
      <c r="AB125" s="695"/>
      <c r="AC125" s="695"/>
      <c r="AD125" s="695"/>
      <c r="AE125" s="677"/>
      <c r="AF125" s="677"/>
      <c r="AG125" s="677"/>
      <c r="AH125" s="677"/>
      <c r="AI125" s="677"/>
      <c r="AJ125" s="677"/>
      <c r="AK125" s="677"/>
      <c r="AL125" s="677"/>
      <c r="AM125" s="677"/>
      <c r="AN125" s="677"/>
      <c r="AO125" s="677"/>
      <c r="AP125" s="677"/>
      <c r="AQ125" s="677"/>
      <c r="AR125" s="677"/>
      <c r="AS125" s="677"/>
      <c r="AT125" s="677"/>
      <c r="AU125" s="677"/>
      <c r="AV125" s="677"/>
      <c r="AW125" s="677"/>
      <c r="AX125" s="677"/>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row>
    <row r="126" spans="1:102" ht="9" customHeight="1">
      <c r="A126" s="695"/>
      <c r="B126" s="695"/>
      <c r="C126" s="695"/>
      <c r="D126" s="695"/>
      <c r="E126" s="695"/>
      <c r="F126" s="677"/>
      <c r="G126" s="677"/>
      <c r="H126" s="677"/>
      <c r="I126" s="677"/>
      <c r="J126" s="677"/>
      <c r="K126" s="677"/>
      <c r="L126" s="677"/>
      <c r="M126" s="677"/>
      <c r="N126" s="677"/>
      <c r="O126" s="677"/>
      <c r="P126" s="677"/>
      <c r="Q126" s="677"/>
      <c r="R126" s="677"/>
      <c r="S126" s="677"/>
      <c r="T126" s="677"/>
      <c r="U126" s="677"/>
      <c r="V126" s="677"/>
      <c r="W126" s="677"/>
      <c r="X126" s="677"/>
      <c r="Y126" s="677"/>
      <c r="Z126" s="695"/>
      <c r="AA126" s="695"/>
      <c r="AB126" s="695"/>
      <c r="AC126" s="695"/>
      <c r="AD126" s="695"/>
      <c r="AE126" s="677"/>
      <c r="AF126" s="677"/>
      <c r="AG126" s="677"/>
      <c r="AH126" s="677"/>
      <c r="AI126" s="677"/>
      <c r="AJ126" s="677"/>
      <c r="AK126" s="677"/>
      <c r="AL126" s="677"/>
      <c r="AM126" s="677"/>
      <c r="AN126" s="677"/>
      <c r="AO126" s="677"/>
      <c r="AP126" s="677"/>
      <c r="AQ126" s="677"/>
      <c r="AR126" s="677"/>
      <c r="AS126" s="677"/>
      <c r="AT126" s="677"/>
      <c r="AU126" s="677"/>
      <c r="AV126" s="677"/>
      <c r="AW126" s="677"/>
      <c r="AX126" s="677"/>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row>
    <row r="127" spans="1:102" ht="9" customHeight="1">
      <c r="A127" s="695"/>
      <c r="B127" s="695"/>
      <c r="C127" s="695"/>
      <c r="D127" s="695"/>
      <c r="E127" s="695"/>
      <c r="F127" s="677"/>
      <c r="G127" s="677"/>
      <c r="H127" s="677"/>
      <c r="I127" s="677"/>
      <c r="J127" s="677"/>
      <c r="K127" s="677"/>
      <c r="L127" s="677"/>
      <c r="M127" s="677"/>
      <c r="N127" s="677"/>
      <c r="O127" s="677"/>
      <c r="P127" s="677"/>
      <c r="Q127" s="677"/>
      <c r="R127" s="677"/>
      <c r="S127" s="677"/>
      <c r="T127" s="677"/>
      <c r="U127" s="677"/>
      <c r="V127" s="677"/>
      <c r="W127" s="677"/>
      <c r="X127" s="677"/>
      <c r="Y127" s="677"/>
      <c r="Z127" s="695"/>
      <c r="AA127" s="695"/>
      <c r="AB127" s="695"/>
      <c r="AC127" s="695"/>
      <c r="AD127" s="695"/>
      <c r="AE127" s="677"/>
      <c r="AF127" s="677"/>
      <c r="AG127" s="677"/>
      <c r="AH127" s="677"/>
      <c r="AI127" s="677"/>
      <c r="AJ127" s="677"/>
      <c r="AK127" s="677"/>
      <c r="AL127" s="677"/>
      <c r="AM127" s="677"/>
      <c r="AN127" s="677"/>
      <c r="AO127" s="677"/>
      <c r="AP127" s="677"/>
      <c r="AQ127" s="677"/>
      <c r="AR127" s="677"/>
      <c r="AS127" s="677"/>
      <c r="AT127" s="677"/>
      <c r="AU127" s="677"/>
      <c r="AV127" s="677"/>
      <c r="AW127" s="677"/>
      <c r="AX127" s="677"/>
      <c r="AY127" s="233"/>
      <c r="AZ127" s="708" t="s">
        <v>139</v>
      </c>
      <c r="BA127" s="708"/>
      <c r="BB127" s="708"/>
      <c r="BC127" s="708"/>
      <c r="BD127" s="708"/>
      <c r="BE127" s="708"/>
      <c r="BF127" s="708"/>
      <c r="BG127" s="708"/>
      <c r="BH127" s="708"/>
      <c r="BI127" s="708"/>
      <c r="BJ127" s="708"/>
      <c r="BK127" s="708"/>
      <c r="BL127" s="708"/>
      <c r="BM127" s="708"/>
      <c r="BN127" s="644"/>
      <c r="BO127" s="824"/>
      <c r="BP127" s="824"/>
      <c r="BQ127" s="824"/>
      <c r="BR127" s="824"/>
      <c r="BS127" s="824"/>
      <c r="BT127" s="824"/>
      <c r="BU127" s="824"/>
      <c r="BV127" s="824"/>
      <c r="BW127" s="824"/>
      <c r="BX127" s="824"/>
      <c r="BY127" s="824"/>
      <c r="BZ127" s="824"/>
      <c r="CA127" s="824"/>
      <c r="CB127" s="824"/>
      <c r="CC127" s="824"/>
      <c r="CD127" s="824"/>
      <c r="CE127" s="824"/>
      <c r="CF127" s="824"/>
      <c r="CG127" s="824"/>
      <c r="CH127" s="824"/>
      <c r="CI127" s="824"/>
      <c r="CJ127" s="824"/>
      <c r="CK127" s="824"/>
      <c r="CL127" s="824"/>
      <c r="CM127" s="824"/>
      <c r="CN127" s="824"/>
      <c r="CO127" s="824"/>
      <c r="CP127" s="824"/>
      <c r="CQ127" s="824"/>
      <c r="CR127" s="824"/>
      <c r="CS127" s="824"/>
      <c r="CT127" s="824"/>
      <c r="CU127" s="824"/>
      <c r="CV127" s="824"/>
      <c r="CW127" s="233"/>
      <c r="CX127" s="233"/>
    </row>
    <row r="128" spans="1:102" ht="9" customHeight="1">
      <c r="A128" s="695"/>
      <c r="B128" s="695"/>
      <c r="C128" s="695"/>
      <c r="D128" s="695"/>
      <c r="E128" s="695"/>
      <c r="F128" s="677"/>
      <c r="G128" s="677"/>
      <c r="H128" s="677"/>
      <c r="I128" s="677"/>
      <c r="J128" s="677"/>
      <c r="K128" s="677"/>
      <c r="L128" s="677"/>
      <c r="M128" s="677"/>
      <c r="N128" s="677"/>
      <c r="O128" s="677"/>
      <c r="P128" s="677"/>
      <c r="Q128" s="677"/>
      <c r="R128" s="677"/>
      <c r="S128" s="677"/>
      <c r="T128" s="677"/>
      <c r="U128" s="677"/>
      <c r="V128" s="677"/>
      <c r="W128" s="677"/>
      <c r="X128" s="677"/>
      <c r="Y128" s="677"/>
      <c r="Z128" s="695"/>
      <c r="AA128" s="695"/>
      <c r="AB128" s="695"/>
      <c r="AC128" s="695"/>
      <c r="AD128" s="695"/>
      <c r="AE128" s="677"/>
      <c r="AF128" s="677"/>
      <c r="AG128" s="677"/>
      <c r="AH128" s="677"/>
      <c r="AI128" s="677"/>
      <c r="AJ128" s="677"/>
      <c r="AK128" s="677"/>
      <c r="AL128" s="677"/>
      <c r="AM128" s="677"/>
      <c r="AN128" s="677"/>
      <c r="AO128" s="677"/>
      <c r="AP128" s="677"/>
      <c r="AQ128" s="677"/>
      <c r="AR128" s="677"/>
      <c r="AS128" s="677"/>
      <c r="AT128" s="677"/>
      <c r="AU128" s="677"/>
      <c r="AV128" s="677"/>
      <c r="AW128" s="677"/>
      <c r="AX128" s="677"/>
      <c r="AY128" s="233"/>
      <c r="AZ128" s="708"/>
      <c r="BA128" s="708"/>
      <c r="BB128" s="708"/>
      <c r="BC128" s="708"/>
      <c r="BD128" s="708"/>
      <c r="BE128" s="708"/>
      <c r="BF128" s="708"/>
      <c r="BG128" s="708"/>
      <c r="BH128" s="708"/>
      <c r="BI128" s="708"/>
      <c r="BJ128" s="708"/>
      <c r="BK128" s="708"/>
      <c r="BL128" s="708"/>
      <c r="BM128" s="708"/>
      <c r="BN128" s="644"/>
      <c r="BO128" s="825"/>
      <c r="BP128" s="825"/>
      <c r="BQ128" s="825"/>
      <c r="BR128" s="825"/>
      <c r="BS128" s="825"/>
      <c r="BT128" s="825"/>
      <c r="BU128" s="825"/>
      <c r="BV128" s="825"/>
      <c r="BW128" s="825"/>
      <c r="BX128" s="825"/>
      <c r="BY128" s="825"/>
      <c r="BZ128" s="825"/>
      <c r="CA128" s="825"/>
      <c r="CB128" s="825"/>
      <c r="CC128" s="825"/>
      <c r="CD128" s="825"/>
      <c r="CE128" s="825"/>
      <c r="CF128" s="825"/>
      <c r="CG128" s="825"/>
      <c r="CH128" s="825"/>
      <c r="CI128" s="825"/>
      <c r="CJ128" s="825"/>
      <c r="CK128" s="825"/>
      <c r="CL128" s="825"/>
      <c r="CM128" s="825"/>
      <c r="CN128" s="825"/>
      <c r="CO128" s="825"/>
      <c r="CP128" s="825"/>
      <c r="CQ128" s="825"/>
      <c r="CR128" s="825"/>
      <c r="CS128" s="825"/>
      <c r="CT128" s="825"/>
      <c r="CU128" s="825"/>
      <c r="CV128" s="825"/>
      <c r="CW128" s="233"/>
      <c r="CX128" s="233"/>
    </row>
    <row r="129" spans="1:102" ht="9" customHeight="1">
      <c r="A129" s="695"/>
      <c r="B129" s="695"/>
      <c r="C129" s="695"/>
      <c r="D129" s="695"/>
      <c r="E129" s="695"/>
      <c r="F129" s="677"/>
      <c r="G129" s="677"/>
      <c r="H129" s="677"/>
      <c r="I129" s="677"/>
      <c r="J129" s="677"/>
      <c r="K129" s="677"/>
      <c r="L129" s="677"/>
      <c r="M129" s="677"/>
      <c r="N129" s="677"/>
      <c r="O129" s="677"/>
      <c r="P129" s="677"/>
      <c r="Q129" s="677"/>
      <c r="R129" s="677"/>
      <c r="S129" s="677"/>
      <c r="T129" s="677"/>
      <c r="U129" s="677"/>
      <c r="V129" s="677"/>
      <c r="W129" s="677"/>
      <c r="X129" s="677"/>
      <c r="Y129" s="677"/>
      <c r="Z129" s="695"/>
      <c r="AA129" s="695"/>
      <c r="AB129" s="695"/>
      <c r="AC129" s="695"/>
      <c r="AD129" s="695"/>
      <c r="AE129" s="677"/>
      <c r="AF129" s="677"/>
      <c r="AG129" s="677"/>
      <c r="AH129" s="677"/>
      <c r="AI129" s="677"/>
      <c r="AJ129" s="677"/>
      <c r="AK129" s="677"/>
      <c r="AL129" s="677"/>
      <c r="AM129" s="677"/>
      <c r="AN129" s="677"/>
      <c r="AO129" s="677"/>
      <c r="AP129" s="677"/>
      <c r="AQ129" s="677"/>
      <c r="AR129" s="677"/>
      <c r="AS129" s="677"/>
      <c r="AT129" s="677"/>
      <c r="AU129" s="677"/>
      <c r="AV129" s="677"/>
      <c r="AW129" s="677"/>
      <c r="AX129" s="677"/>
      <c r="AY129" s="233"/>
      <c r="AZ129" s="708" t="s">
        <v>140</v>
      </c>
      <c r="BA129" s="708"/>
      <c r="BB129" s="708"/>
      <c r="BC129" s="708"/>
      <c r="BD129" s="708"/>
      <c r="BE129" s="708"/>
      <c r="BF129" s="708"/>
      <c r="BG129" s="708"/>
      <c r="BH129" s="708"/>
      <c r="BI129" s="708"/>
      <c r="BJ129" s="708"/>
      <c r="BK129" s="708"/>
      <c r="BL129" s="708"/>
      <c r="BM129" s="708"/>
      <c r="BN129" s="621"/>
      <c r="BO129" s="827"/>
      <c r="BP129" s="827"/>
      <c r="BQ129" s="827"/>
      <c r="BR129" s="827"/>
      <c r="BS129" s="827"/>
      <c r="BT129" s="827"/>
      <c r="BU129" s="827"/>
      <c r="BV129" s="827"/>
      <c r="BW129" s="827"/>
      <c r="BX129" s="827"/>
      <c r="BY129" s="827"/>
      <c r="BZ129" s="827"/>
      <c r="CA129" s="827"/>
      <c r="CB129" s="827"/>
      <c r="CC129" s="827"/>
      <c r="CD129" s="827"/>
      <c r="CE129" s="827"/>
      <c r="CF129" s="827"/>
      <c r="CG129" s="827"/>
      <c r="CH129" s="827"/>
      <c r="CI129" s="827"/>
      <c r="CJ129" s="827"/>
      <c r="CK129" s="827"/>
      <c r="CL129" s="827"/>
      <c r="CM129" s="827"/>
      <c r="CN129" s="827"/>
      <c r="CO129" s="827"/>
      <c r="CP129" s="827"/>
      <c r="CQ129" s="827"/>
      <c r="CR129" s="827"/>
      <c r="CS129" s="827"/>
      <c r="CT129" s="827"/>
      <c r="CU129" s="827"/>
      <c r="CV129" s="827"/>
      <c r="CW129" s="233"/>
      <c r="CX129" s="233"/>
    </row>
    <row r="130" spans="1:102" ht="9" customHeight="1">
      <c r="A130" s="695"/>
      <c r="B130" s="695"/>
      <c r="C130" s="695"/>
      <c r="D130" s="695"/>
      <c r="E130" s="695"/>
      <c r="F130" s="677"/>
      <c r="G130" s="677"/>
      <c r="H130" s="677"/>
      <c r="I130" s="677"/>
      <c r="J130" s="677"/>
      <c r="K130" s="677"/>
      <c r="L130" s="677"/>
      <c r="M130" s="677"/>
      <c r="N130" s="677"/>
      <c r="O130" s="677"/>
      <c r="P130" s="677"/>
      <c r="Q130" s="677"/>
      <c r="R130" s="677"/>
      <c r="S130" s="677"/>
      <c r="T130" s="677"/>
      <c r="U130" s="677"/>
      <c r="V130" s="677"/>
      <c r="W130" s="677"/>
      <c r="X130" s="677"/>
      <c r="Y130" s="677"/>
      <c r="Z130" s="695"/>
      <c r="AA130" s="695"/>
      <c r="AB130" s="695"/>
      <c r="AC130" s="695"/>
      <c r="AD130" s="695"/>
      <c r="AE130" s="677"/>
      <c r="AF130" s="677"/>
      <c r="AG130" s="677"/>
      <c r="AH130" s="677"/>
      <c r="AI130" s="677"/>
      <c r="AJ130" s="677"/>
      <c r="AK130" s="677"/>
      <c r="AL130" s="677"/>
      <c r="AM130" s="677"/>
      <c r="AN130" s="677"/>
      <c r="AO130" s="677"/>
      <c r="AP130" s="677"/>
      <c r="AQ130" s="677"/>
      <c r="AR130" s="677"/>
      <c r="AS130" s="677"/>
      <c r="AT130" s="677"/>
      <c r="AU130" s="677"/>
      <c r="AV130" s="677"/>
      <c r="AW130" s="677"/>
      <c r="AX130" s="677"/>
      <c r="AY130" s="233"/>
      <c r="AZ130" s="708"/>
      <c r="BA130" s="708"/>
      <c r="BB130" s="708"/>
      <c r="BC130" s="708"/>
      <c r="BD130" s="708"/>
      <c r="BE130" s="708"/>
      <c r="BF130" s="708"/>
      <c r="BG130" s="708"/>
      <c r="BH130" s="708"/>
      <c r="BI130" s="708"/>
      <c r="BJ130" s="708"/>
      <c r="BK130" s="708"/>
      <c r="BL130" s="708"/>
      <c r="BM130" s="708"/>
      <c r="BN130" s="621"/>
      <c r="BO130" s="825"/>
      <c r="BP130" s="825"/>
      <c r="BQ130" s="825"/>
      <c r="BR130" s="825"/>
      <c r="BS130" s="825"/>
      <c r="BT130" s="825"/>
      <c r="BU130" s="825"/>
      <c r="BV130" s="825"/>
      <c r="BW130" s="825"/>
      <c r="BX130" s="825"/>
      <c r="BY130" s="825"/>
      <c r="BZ130" s="825"/>
      <c r="CA130" s="825"/>
      <c r="CB130" s="825"/>
      <c r="CC130" s="825"/>
      <c r="CD130" s="825"/>
      <c r="CE130" s="825"/>
      <c r="CF130" s="825"/>
      <c r="CG130" s="825"/>
      <c r="CH130" s="825"/>
      <c r="CI130" s="825"/>
      <c r="CJ130" s="825"/>
      <c r="CK130" s="825"/>
      <c r="CL130" s="825"/>
      <c r="CM130" s="825"/>
      <c r="CN130" s="825"/>
      <c r="CO130" s="825"/>
      <c r="CP130" s="825"/>
      <c r="CQ130" s="825"/>
      <c r="CR130" s="825"/>
      <c r="CS130" s="825"/>
      <c r="CT130" s="825"/>
      <c r="CU130" s="825"/>
      <c r="CV130" s="825"/>
      <c r="CW130" s="233"/>
      <c r="CX130" s="233"/>
    </row>
    <row r="131" spans="1:102" ht="9" customHeight="1">
      <c r="A131" s="695"/>
      <c r="B131" s="695"/>
      <c r="C131" s="695"/>
      <c r="D131" s="695"/>
      <c r="E131" s="695"/>
      <c r="F131" s="677"/>
      <c r="G131" s="677"/>
      <c r="H131" s="677"/>
      <c r="I131" s="677"/>
      <c r="J131" s="677"/>
      <c r="K131" s="677"/>
      <c r="L131" s="677"/>
      <c r="M131" s="677"/>
      <c r="N131" s="677"/>
      <c r="O131" s="677"/>
      <c r="P131" s="677"/>
      <c r="Q131" s="677"/>
      <c r="R131" s="677"/>
      <c r="S131" s="677"/>
      <c r="T131" s="677"/>
      <c r="U131" s="677"/>
      <c r="V131" s="677"/>
      <c r="W131" s="677"/>
      <c r="X131" s="677"/>
      <c r="Y131" s="677"/>
      <c r="Z131" s="695"/>
      <c r="AA131" s="695"/>
      <c r="AB131" s="695"/>
      <c r="AC131" s="695"/>
      <c r="AD131" s="695"/>
      <c r="AE131" s="677"/>
      <c r="AF131" s="677"/>
      <c r="AG131" s="677"/>
      <c r="AH131" s="677"/>
      <c r="AI131" s="677"/>
      <c r="AJ131" s="677"/>
      <c r="AK131" s="677"/>
      <c r="AL131" s="677"/>
      <c r="AM131" s="677"/>
      <c r="AN131" s="677"/>
      <c r="AO131" s="677"/>
      <c r="AP131" s="677"/>
      <c r="AQ131" s="677"/>
      <c r="AR131" s="677"/>
      <c r="AS131" s="677"/>
      <c r="AT131" s="677"/>
      <c r="AU131" s="677"/>
      <c r="AV131" s="677"/>
      <c r="AW131" s="677"/>
      <c r="AX131" s="677"/>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97"/>
      <c r="CX131" s="233"/>
    </row>
    <row r="132" spans="1:102" ht="9" customHeight="1">
      <c r="A132" s="695"/>
      <c r="B132" s="695"/>
      <c r="C132" s="695"/>
      <c r="D132" s="695"/>
      <c r="E132" s="695"/>
      <c r="F132" s="677"/>
      <c r="G132" s="677"/>
      <c r="H132" s="677"/>
      <c r="I132" s="677"/>
      <c r="J132" s="677"/>
      <c r="K132" s="677"/>
      <c r="L132" s="677"/>
      <c r="M132" s="677"/>
      <c r="N132" s="677"/>
      <c r="O132" s="677"/>
      <c r="P132" s="677"/>
      <c r="Q132" s="677"/>
      <c r="R132" s="677"/>
      <c r="S132" s="677"/>
      <c r="T132" s="677"/>
      <c r="U132" s="677"/>
      <c r="V132" s="677"/>
      <c r="W132" s="677"/>
      <c r="X132" s="677"/>
      <c r="Y132" s="677"/>
      <c r="Z132" s="695"/>
      <c r="AA132" s="695"/>
      <c r="AB132" s="695"/>
      <c r="AC132" s="695"/>
      <c r="AD132" s="695"/>
      <c r="AE132" s="677"/>
      <c r="AF132" s="677"/>
      <c r="AG132" s="677"/>
      <c r="AH132" s="677"/>
      <c r="AI132" s="677"/>
      <c r="AJ132" s="677"/>
      <c r="AK132" s="677"/>
      <c r="AL132" s="677"/>
      <c r="AM132" s="677"/>
      <c r="AN132" s="677"/>
      <c r="AO132" s="677"/>
      <c r="AP132" s="677"/>
      <c r="AQ132" s="677"/>
      <c r="AR132" s="677"/>
      <c r="AS132" s="677"/>
      <c r="AT132" s="677"/>
      <c r="AU132" s="677"/>
      <c r="AV132" s="677"/>
      <c r="AW132" s="677"/>
      <c r="AX132" s="677"/>
      <c r="AY132" s="233"/>
      <c r="AZ132" s="233"/>
      <c r="BA132" s="233"/>
      <c r="BB132" s="233"/>
      <c r="BC132" s="233"/>
      <c r="BD132" s="233"/>
      <c r="BE132" s="233"/>
      <c r="BF132" s="233"/>
      <c r="BG132" s="233"/>
      <c r="BH132" s="233"/>
      <c r="BI132" s="233"/>
      <c r="BJ132" s="233"/>
      <c r="BK132" s="233"/>
      <c r="BL132" s="233"/>
      <c r="BM132" s="233"/>
      <c r="BN132" s="771" t="s">
        <v>186</v>
      </c>
      <c r="BO132" s="771"/>
      <c r="BP132" s="771"/>
      <c r="BQ132" s="771"/>
      <c r="BR132" s="771"/>
      <c r="BS132" s="771"/>
      <c r="BT132" s="771"/>
      <c r="BU132" s="771"/>
      <c r="BV132" s="771"/>
      <c r="BW132" s="771"/>
      <c r="BX132" s="771"/>
      <c r="BY132" s="771"/>
      <c r="BZ132" s="771"/>
      <c r="CA132" s="771"/>
      <c r="CB132" s="771"/>
      <c r="CC132" s="771"/>
      <c r="CD132" s="771"/>
      <c r="CE132" s="771"/>
      <c r="CF132" s="771"/>
      <c r="CG132" s="771"/>
      <c r="CH132" s="771"/>
      <c r="CI132" s="771"/>
      <c r="CJ132" s="771"/>
      <c r="CK132" s="771"/>
      <c r="CL132" s="771"/>
      <c r="CM132" s="771"/>
      <c r="CN132" s="771"/>
      <c r="CO132" s="771"/>
      <c r="CP132" s="771"/>
      <c r="CQ132" s="771"/>
      <c r="CR132" s="771"/>
      <c r="CS132" s="771"/>
      <c r="CT132" s="771"/>
      <c r="CU132" s="771"/>
      <c r="CV132" s="771"/>
      <c r="CW132" s="297"/>
      <c r="CX132" s="233"/>
    </row>
    <row r="133" spans="1:102" ht="9" customHeight="1">
      <c r="A133" s="695"/>
      <c r="B133" s="695"/>
      <c r="C133" s="695"/>
      <c r="D133" s="695"/>
      <c r="E133" s="695"/>
      <c r="F133" s="677"/>
      <c r="G133" s="677"/>
      <c r="H133" s="677"/>
      <c r="I133" s="677"/>
      <c r="J133" s="677"/>
      <c r="K133" s="677"/>
      <c r="L133" s="677"/>
      <c r="M133" s="677"/>
      <c r="N133" s="677"/>
      <c r="O133" s="677"/>
      <c r="P133" s="677"/>
      <c r="Q133" s="677"/>
      <c r="R133" s="677"/>
      <c r="S133" s="677"/>
      <c r="T133" s="677"/>
      <c r="U133" s="677"/>
      <c r="V133" s="677"/>
      <c r="W133" s="677"/>
      <c r="X133" s="677"/>
      <c r="Y133" s="677"/>
      <c r="Z133" s="695"/>
      <c r="AA133" s="695"/>
      <c r="AB133" s="695"/>
      <c r="AC133" s="695"/>
      <c r="AD133" s="695"/>
      <c r="AE133" s="677"/>
      <c r="AF133" s="677"/>
      <c r="AG133" s="677"/>
      <c r="AH133" s="677"/>
      <c r="AI133" s="677"/>
      <c r="AJ133" s="677"/>
      <c r="AK133" s="677"/>
      <c r="AL133" s="677"/>
      <c r="AM133" s="677"/>
      <c r="AN133" s="677"/>
      <c r="AO133" s="677"/>
      <c r="AP133" s="677"/>
      <c r="AQ133" s="677"/>
      <c r="AR133" s="677"/>
      <c r="AS133" s="677"/>
      <c r="AT133" s="677"/>
      <c r="AU133" s="677"/>
      <c r="AV133" s="677"/>
      <c r="AW133" s="677"/>
      <c r="AX133" s="677"/>
      <c r="AY133" s="233"/>
      <c r="AZ133" s="233"/>
      <c r="BA133" s="233"/>
      <c r="BB133" s="233"/>
      <c r="BC133" s="233"/>
      <c r="BD133" s="233"/>
      <c r="BE133" s="233"/>
      <c r="BF133" s="233"/>
      <c r="BG133" s="233"/>
      <c r="BH133" s="233"/>
      <c r="BI133" s="233"/>
      <c r="BJ133" s="233"/>
      <c r="BK133" s="233"/>
      <c r="BL133" s="233"/>
      <c r="BM133" s="234"/>
      <c r="BN133" s="771"/>
      <c r="BO133" s="771"/>
      <c r="BP133" s="771"/>
      <c r="BQ133" s="771"/>
      <c r="BR133" s="771"/>
      <c r="BS133" s="771"/>
      <c r="BT133" s="771"/>
      <c r="BU133" s="771"/>
      <c r="BV133" s="771"/>
      <c r="BW133" s="771"/>
      <c r="BX133" s="771"/>
      <c r="BY133" s="771"/>
      <c r="BZ133" s="771"/>
      <c r="CA133" s="771"/>
      <c r="CB133" s="771"/>
      <c r="CC133" s="771"/>
      <c r="CD133" s="771"/>
      <c r="CE133" s="771"/>
      <c r="CF133" s="771"/>
      <c r="CG133" s="771"/>
      <c r="CH133" s="771"/>
      <c r="CI133" s="771"/>
      <c r="CJ133" s="771"/>
      <c r="CK133" s="771"/>
      <c r="CL133" s="771"/>
      <c r="CM133" s="771"/>
      <c r="CN133" s="771"/>
      <c r="CO133" s="771"/>
      <c r="CP133" s="771"/>
      <c r="CQ133" s="771"/>
      <c r="CR133" s="771"/>
      <c r="CS133" s="771"/>
      <c r="CT133" s="771"/>
      <c r="CU133" s="771"/>
      <c r="CV133" s="771"/>
      <c r="CW133" s="233"/>
      <c r="CX133" s="233"/>
    </row>
    <row r="134" spans="1:102" ht="9" customHeight="1">
      <c r="A134" s="695"/>
      <c r="B134" s="695"/>
      <c r="C134" s="695"/>
      <c r="D134" s="695"/>
      <c r="E134" s="695"/>
      <c r="F134" s="677"/>
      <c r="G134" s="677"/>
      <c r="H134" s="677"/>
      <c r="I134" s="677"/>
      <c r="J134" s="677"/>
      <c r="K134" s="677"/>
      <c r="L134" s="677"/>
      <c r="M134" s="677"/>
      <c r="N134" s="677"/>
      <c r="O134" s="677"/>
      <c r="P134" s="677"/>
      <c r="Q134" s="677"/>
      <c r="R134" s="677"/>
      <c r="S134" s="677"/>
      <c r="T134" s="677"/>
      <c r="U134" s="677"/>
      <c r="V134" s="677"/>
      <c r="W134" s="677"/>
      <c r="X134" s="677"/>
      <c r="Y134" s="677"/>
      <c r="Z134" s="695"/>
      <c r="AA134" s="695"/>
      <c r="AB134" s="695"/>
      <c r="AC134" s="695"/>
      <c r="AD134" s="695"/>
      <c r="AE134" s="677"/>
      <c r="AF134" s="677"/>
      <c r="AG134" s="677"/>
      <c r="AH134" s="677"/>
      <c r="AI134" s="677"/>
      <c r="AJ134" s="677"/>
      <c r="AK134" s="677"/>
      <c r="AL134" s="677"/>
      <c r="AM134" s="677"/>
      <c r="AN134" s="677"/>
      <c r="AO134" s="677"/>
      <c r="AP134" s="677"/>
      <c r="AQ134" s="677"/>
      <c r="AR134" s="677"/>
      <c r="AS134" s="677"/>
      <c r="AT134" s="677"/>
      <c r="AU134" s="677"/>
      <c r="AV134" s="677"/>
      <c r="AW134" s="677"/>
      <c r="AX134" s="677"/>
      <c r="AY134" s="233"/>
      <c r="AZ134" s="233"/>
      <c r="BA134" s="233"/>
      <c r="BB134" s="233"/>
      <c r="BC134" s="233"/>
      <c r="BD134" s="233"/>
      <c r="BE134" s="233"/>
      <c r="BF134" s="233"/>
      <c r="BG134" s="233"/>
      <c r="BH134" s="234"/>
      <c r="BI134" s="234"/>
      <c r="BJ134" s="234"/>
      <c r="BK134" s="234"/>
      <c r="BL134" s="723" t="s">
        <v>231</v>
      </c>
      <c r="BM134" s="662"/>
      <c r="BN134" s="662"/>
      <c r="BO134" s="662"/>
      <c r="BP134" s="662"/>
      <c r="BQ134" s="663"/>
      <c r="BR134" s="723" t="s">
        <v>217</v>
      </c>
      <c r="BS134" s="662"/>
      <c r="BT134" s="662"/>
      <c r="BU134" s="662"/>
      <c r="BV134" s="662"/>
      <c r="BW134" s="663"/>
      <c r="BX134" s="723" t="s">
        <v>219</v>
      </c>
      <c r="BY134" s="724"/>
      <c r="BZ134" s="724"/>
      <c r="CA134" s="724"/>
      <c r="CB134" s="724"/>
      <c r="CC134" s="725"/>
      <c r="CD134" s="720" t="s">
        <v>182</v>
      </c>
      <c r="CE134" s="721"/>
      <c r="CF134" s="721"/>
      <c r="CG134" s="721"/>
      <c r="CH134" s="721"/>
      <c r="CI134" s="721"/>
      <c r="CJ134" s="721"/>
      <c r="CK134" s="721"/>
      <c r="CL134" s="721"/>
      <c r="CM134" s="721"/>
      <c r="CN134" s="721"/>
      <c r="CO134" s="721"/>
      <c r="CP134" s="721"/>
      <c r="CQ134" s="721"/>
      <c r="CR134" s="721"/>
      <c r="CS134" s="721"/>
      <c r="CT134" s="721"/>
      <c r="CU134" s="721"/>
      <c r="CV134" s="722"/>
      <c r="CW134" s="233"/>
      <c r="CX134" s="233"/>
    </row>
    <row r="135" spans="1:102" ht="9" customHeight="1">
      <c r="A135" s="695"/>
      <c r="B135" s="695"/>
      <c r="C135" s="695"/>
      <c r="D135" s="695"/>
      <c r="E135" s="695"/>
      <c r="F135" s="677"/>
      <c r="G135" s="677"/>
      <c r="H135" s="677"/>
      <c r="I135" s="677"/>
      <c r="J135" s="677"/>
      <c r="K135" s="677"/>
      <c r="L135" s="677"/>
      <c r="M135" s="677"/>
      <c r="N135" s="677"/>
      <c r="O135" s="677"/>
      <c r="P135" s="677"/>
      <c r="Q135" s="677"/>
      <c r="R135" s="677"/>
      <c r="S135" s="677"/>
      <c r="T135" s="677"/>
      <c r="U135" s="677"/>
      <c r="V135" s="677"/>
      <c r="W135" s="677"/>
      <c r="X135" s="677"/>
      <c r="Y135" s="677"/>
      <c r="Z135" s="695"/>
      <c r="AA135" s="695"/>
      <c r="AB135" s="695"/>
      <c r="AC135" s="695"/>
      <c r="AD135" s="695"/>
      <c r="AE135" s="677"/>
      <c r="AF135" s="677"/>
      <c r="AG135" s="677"/>
      <c r="AH135" s="677"/>
      <c r="AI135" s="677"/>
      <c r="AJ135" s="677"/>
      <c r="AK135" s="677"/>
      <c r="AL135" s="677"/>
      <c r="AM135" s="677"/>
      <c r="AN135" s="677"/>
      <c r="AO135" s="677"/>
      <c r="AP135" s="677"/>
      <c r="AQ135" s="677"/>
      <c r="AR135" s="677"/>
      <c r="AS135" s="677"/>
      <c r="AT135" s="677"/>
      <c r="AU135" s="677"/>
      <c r="AV135" s="677"/>
      <c r="AW135" s="677"/>
      <c r="AX135" s="677"/>
      <c r="AY135" s="233"/>
      <c r="AZ135" s="233"/>
      <c r="BA135" s="233"/>
      <c r="BB135" s="233"/>
      <c r="BC135" s="233"/>
      <c r="BD135" s="233"/>
      <c r="BE135" s="233"/>
      <c r="BF135" s="233"/>
      <c r="BG135" s="233"/>
      <c r="BH135" s="234"/>
      <c r="BI135" s="233"/>
      <c r="BJ135" s="234"/>
      <c r="BK135" s="234"/>
      <c r="BL135" s="664"/>
      <c r="BM135" s="665"/>
      <c r="BN135" s="665"/>
      <c r="BO135" s="665"/>
      <c r="BP135" s="665"/>
      <c r="BQ135" s="666"/>
      <c r="BR135" s="664"/>
      <c r="BS135" s="726"/>
      <c r="BT135" s="726"/>
      <c r="BU135" s="726"/>
      <c r="BV135" s="726"/>
      <c r="BW135" s="666"/>
      <c r="BX135" s="664"/>
      <c r="BY135" s="726"/>
      <c r="BZ135" s="726"/>
      <c r="CA135" s="726"/>
      <c r="CB135" s="726"/>
      <c r="CC135" s="666"/>
      <c r="CD135" s="792"/>
      <c r="CE135" s="793"/>
      <c r="CF135" s="793"/>
      <c r="CG135" s="793"/>
      <c r="CH135" s="793"/>
      <c r="CI135" s="793"/>
      <c r="CJ135" s="793"/>
      <c r="CK135" s="793"/>
      <c r="CL135" s="793"/>
      <c r="CM135" s="793"/>
      <c r="CN135" s="793"/>
      <c r="CO135" s="793"/>
      <c r="CP135" s="793"/>
      <c r="CQ135" s="793"/>
      <c r="CR135" s="793"/>
      <c r="CS135" s="793"/>
      <c r="CT135" s="793"/>
      <c r="CU135" s="793"/>
      <c r="CV135" s="794"/>
      <c r="CW135" s="233"/>
      <c r="CX135" s="233"/>
    </row>
    <row r="136" spans="1:102" ht="9.75" customHeight="1">
      <c r="A136" s="695"/>
      <c r="B136" s="695"/>
      <c r="C136" s="695"/>
      <c r="D136" s="695"/>
      <c r="E136" s="695"/>
      <c r="F136" s="677"/>
      <c r="G136" s="677"/>
      <c r="H136" s="677"/>
      <c r="I136" s="677"/>
      <c r="J136" s="677"/>
      <c r="K136" s="677"/>
      <c r="L136" s="677"/>
      <c r="M136" s="677"/>
      <c r="N136" s="677"/>
      <c r="O136" s="677"/>
      <c r="P136" s="677"/>
      <c r="Q136" s="677"/>
      <c r="R136" s="677"/>
      <c r="S136" s="677"/>
      <c r="T136" s="677"/>
      <c r="U136" s="677"/>
      <c r="V136" s="677"/>
      <c r="W136" s="677"/>
      <c r="X136" s="677"/>
      <c r="Y136" s="677"/>
      <c r="Z136" s="695"/>
      <c r="AA136" s="695"/>
      <c r="AB136" s="695"/>
      <c r="AC136" s="695"/>
      <c r="AD136" s="695"/>
      <c r="AE136" s="677"/>
      <c r="AF136" s="677"/>
      <c r="AG136" s="677"/>
      <c r="AH136" s="677"/>
      <c r="AI136" s="677"/>
      <c r="AJ136" s="677"/>
      <c r="AK136" s="677"/>
      <c r="AL136" s="677"/>
      <c r="AM136" s="677"/>
      <c r="AN136" s="677"/>
      <c r="AO136" s="677"/>
      <c r="AP136" s="677"/>
      <c r="AQ136" s="677"/>
      <c r="AR136" s="677"/>
      <c r="AS136" s="677"/>
      <c r="AT136" s="677"/>
      <c r="AU136" s="677"/>
      <c r="AV136" s="677"/>
      <c r="AW136" s="677"/>
      <c r="AX136" s="677"/>
      <c r="AY136" s="233"/>
      <c r="AZ136" s="233"/>
      <c r="BA136" s="233"/>
      <c r="BB136" s="233"/>
      <c r="BC136" s="233"/>
      <c r="BD136" s="233"/>
      <c r="BE136" s="233"/>
      <c r="BF136" s="233"/>
      <c r="BG136" s="233"/>
      <c r="BH136" s="233"/>
      <c r="BI136" s="233"/>
      <c r="BJ136" s="233"/>
      <c r="BK136" s="234"/>
      <c r="BL136" s="664"/>
      <c r="BM136" s="665"/>
      <c r="BN136" s="665"/>
      <c r="BO136" s="665"/>
      <c r="BP136" s="665"/>
      <c r="BQ136" s="666"/>
      <c r="BR136" s="664"/>
      <c r="BS136" s="726"/>
      <c r="BT136" s="726"/>
      <c r="BU136" s="726"/>
      <c r="BV136" s="726"/>
      <c r="BW136" s="666"/>
      <c r="BX136" s="664"/>
      <c r="BY136" s="726"/>
      <c r="BZ136" s="726"/>
      <c r="CA136" s="726"/>
      <c r="CB136" s="726"/>
      <c r="CC136" s="666"/>
      <c r="CD136" s="720" t="s">
        <v>46</v>
      </c>
      <c r="CE136" s="721"/>
      <c r="CF136" s="721"/>
      <c r="CG136" s="721"/>
      <c r="CH136" s="721"/>
      <c r="CI136" s="721"/>
      <c r="CJ136" s="722"/>
      <c r="CK136" s="720" t="s">
        <v>187</v>
      </c>
      <c r="CL136" s="721"/>
      <c r="CM136" s="721"/>
      <c r="CN136" s="721"/>
      <c r="CO136" s="721"/>
      <c r="CP136" s="721"/>
      <c r="CQ136" s="721"/>
      <c r="CR136" s="721"/>
      <c r="CS136" s="721"/>
      <c r="CT136" s="721"/>
      <c r="CU136" s="721"/>
      <c r="CV136" s="722"/>
      <c r="CW136" s="233"/>
      <c r="CX136" s="233"/>
    </row>
    <row r="137" spans="1:102" ht="9.75" customHeight="1">
      <c r="A137" s="695"/>
      <c r="B137" s="695"/>
      <c r="C137" s="695"/>
      <c r="D137" s="695"/>
      <c r="E137" s="695"/>
      <c r="F137" s="677"/>
      <c r="G137" s="677"/>
      <c r="H137" s="677"/>
      <c r="I137" s="677"/>
      <c r="J137" s="677"/>
      <c r="K137" s="677"/>
      <c r="L137" s="677"/>
      <c r="M137" s="677"/>
      <c r="N137" s="677"/>
      <c r="O137" s="677"/>
      <c r="P137" s="677"/>
      <c r="Q137" s="677"/>
      <c r="R137" s="677"/>
      <c r="S137" s="677"/>
      <c r="T137" s="677"/>
      <c r="U137" s="677"/>
      <c r="V137" s="677"/>
      <c r="W137" s="677"/>
      <c r="X137" s="677"/>
      <c r="Y137" s="677"/>
      <c r="Z137" s="695"/>
      <c r="AA137" s="695"/>
      <c r="AB137" s="695"/>
      <c r="AC137" s="695"/>
      <c r="AD137" s="695"/>
      <c r="AE137" s="677"/>
      <c r="AF137" s="677"/>
      <c r="AG137" s="677"/>
      <c r="AH137" s="677"/>
      <c r="AI137" s="677"/>
      <c r="AJ137" s="677"/>
      <c r="AK137" s="677"/>
      <c r="AL137" s="677"/>
      <c r="AM137" s="677"/>
      <c r="AN137" s="677"/>
      <c r="AO137" s="677"/>
      <c r="AP137" s="677"/>
      <c r="AQ137" s="677"/>
      <c r="AR137" s="677"/>
      <c r="AS137" s="677"/>
      <c r="AT137" s="677"/>
      <c r="AU137" s="677"/>
      <c r="AV137" s="677"/>
      <c r="AW137" s="677"/>
      <c r="AX137" s="677"/>
      <c r="AY137" s="233"/>
      <c r="AZ137" s="233"/>
      <c r="BA137" s="233"/>
      <c r="BB137" s="233"/>
      <c r="BC137" s="233"/>
      <c r="BD137" s="233"/>
      <c r="BE137" s="233"/>
      <c r="BF137" s="271"/>
      <c r="BG137" s="233"/>
      <c r="BH137" s="233"/>
      <c r="BI137" s="233"/>
      <c r="BJ137" s="233"/>
      <c r="BK137" s="234"/>
      <c r="BL137" s="668"/>
      <c r="BM137" s="669"/>
      <c r="BN137" s="669"/>
      <c r="BO137" s="669"/>
      <c r="BP137" s="669"/>
      <c r="BQ137" s="670"/>
      <c r="BR137" s="668"/>
      <c r="BS137" s="669"/>
      <c r="BT137" s="669"/>
      <c r="BU137" s="669"/>
      <c r="BV137" s="669"/>
      <c r="BW137" s="670"/>
      <c r="BX137" s="668"/>
      <c r="BY137" s="669"/>
      <c r="BZ137" s="669"/>
      <c r="CA137" s="669"/>
      <c r="CB137" s="669"/>
      <c r="CC137" s="670"/>
      <c r="CD137" s="792" t="s">
        <v>216</v>
      </c>
      <c r="CE137" s="793"/>
      <c r="CF137" s="793"/>
      <c r="CG137" s="793"/>
      <c r="CH137" s="793"/>
      <c r="CI137" s="793"/>
      <c r="CJ137" s="794"/>
      <c r="CK137" s="759" t="s">
        <v>322</v>
      </c>
      <c r="CL137" s="620"/>
      <c r="CM137" s="620"/>
      <c r="CN137" s="620"/>
      <c r="CO137" s="620"/>
      <c r="CP137" s="620"/>
      <c r="CQ137" s="620"/>
      <c r="CR137" s="620"/>
      <c r="CS137" s="620"/>
      <c r="CT137" s="620"/>
      <c r="CU137" s="620"/>
      <c r="CV137" s="760"/>
      <c r="CW137" s="233"/>
      <c r="CX137" s="233"/>
    </row>
    <row r="138" spans="1:102" ht="9" customHeight="1">
      <c r="A138" s="695"/>
      <c r="B138" s="695"/>
      <c r="C138" s="695"/>
      <c r="D138" s="695"/>
      <c r="E138" s="695"/>
      <c r="F138" s="677"/>
      <c r="G138" s="677"/>
      <c r="H138" s="677"/>
      <c r="I138" s="677"/>
      <c r="J138" s="677"/>
      <c r="K138" s="677"/>
      <c r="L138" s="677"/>
      <c r="M138" s="677"/>
      <c r="N138" s="677"/>
      <c r="O138" s="677"/>
      <c r="P138" s="677"/>
      <c r="Q138" s="677"/>
      <c r="R138" s="677"/>
      <c r="S138" s="677"/>
      <c r="T138" s="677"/>
      <c r="U138" s="677"/>
      <c r="V138" s="677"/>
      <c r="W138" s="677"/>
      <c r="X138" s="677"/>
      <c r="Y138" s="677"/>
      <c r="Z138" s="695"/>
      <c r="AA138" s="695"/>
      <c r="AB138" s="695"/>
      <c r="AC138" s="695"/>
      <c r="AD138" s="695"/>
      <c r="AE138" s="677"/>
      <c r="AF138" s="677"/>
      <c r="AG138" s="677"/>
      <c r="AH138" s="677"/>
      <c r="AI138" s="677"/>
      <c r="AJ138" s="677"/>
      <c r="AK138" s="677"/>
      <c r="AL138" s="677"/>
      <c r="AM138" s="677"/>
      <c r="AN138" s="677"/>
      <c r="AO138" s="677"/>
      <c r="AP138" s="677"/>
      <c r="AQ138" s="677"/>
      <c r="AR138" s="677"/>
      <c r="AS138" s="677"/>
      <c r="AT138" s="677"/>
      <c r="AU138" s="677"/>
      <c r="AV138" s="677"/>
      <c r="AW138" s="677"/>
      <c r="AX138" s="677"/>
      <c r="AY138" s="233"/>
      <c r="AZ138" s="233"/>
      <c r="BA138" s="233"/>
      <c r="BB138" s="233"/>
      <c r="BC138" s="233"/>
      <c r="BD138" s="233"/>
      <c r="BE138" s="233"/>
      <c r="BF138" s="233"/>
      <c r="BG138" s="233"/>
      <c r="BH138" s="233"/>
      <c r="BI138" s="233"/>
      <c r="BJ138" s="233"/>
      <c r="BK138" s="233"/>
      <c r="BL138" s="818">
        <f>IF(R84="","",R84)</f>
      </c>
      <c r="BM138" s="819"/>
      <c r="BN138" s="819">
        <f>IF(BY9="","",BY9)</f>
      </c>
      <c r="BO138" s="819"/>
      <c r="BP138" s="819"/>
      <c r="BQ138" s="820"/>
      <c r="BR138" s="715"/>
      <c r="BS138" s="716"/>
      <c r="BT138" s="716"/>
      <c r="BU138" s="716"/>
      <c r="BV138" s="716"/>
      <c r="BW138" s="717"/>
      <c r="BX138" s="715"/>
      <c r="BY138" s="716"/>
      <c r="BZ138" s="716"/>
      <c r="CA138" s="716"/>
      <c r="CB138" s="716"/>
      <c r="CC138" s="717"/>
      <c r="CD138" s="608">
        <f>IF(BP55="","",BP55)</f>
      </c>
      <c r="CE138" s="609"/>
      <c r="CF138" s="609"/>
      <c r="CG138" s="609"/>
      <c r="CH138" s="609"/>
      <c r="CI138" s="609"/>
      <c r="CJ138" s="610"/>
      <c r="CK138" s="772">
        <f>IF(BX138="","",(CD138*BX138)/27)</f>
      </c>
      <c r="CL138" s="773"/>
      <c r="CM138" s="773"/>
      <c r="CN138" s="773"/>
      <c r="CO138" s="773"/>
      <c r="CP138" s="773"/>
      <c r="CQ138" s="773"/>
      <c r="CR138" s="773"/>
      <c r="CS138" s="773"/>
      <c r="CT138" s="773"/>
      <c r="CU138" s="773"/>
      <c r="CV138" s="774"/>
      <c r="CW138" s="233"/>
      <c r="CX138" s="233"/>
    </row>
    <row r="139" spans="1:102" ht="9" customHeight="1">
      <c r="A139" s="695"/>
      <c r="B139" s="695"/>
      <c r="C139" s="695"/>
      <c r="D139" s="695"/>
      <c r="E139" s="695"/>
      <c r="F139" s="677"/>
      <c r="G139" s="677"/>
      <c r="H139" s="677"/>
      <c r="I139" s="677"/>
      <c r="J139" s="677"/>
      <c r="K139" s="677"/>
      <c r="L139" s="677"/>
      <c r="M139" s="677"/>
      <c r="N139" s="677"/>
      <c r="O139" s="677"/>
      <c r="P139" s="677"/>
      <c r="Q139" s="677"/>
      <c r="R139" s="677"/>
      <c r="S139" s="677"/>
      <c r="T139" s="677"/>
      <c r="U139" s="677"/>
      <c r="V139" s="677"/>
      <c r="W139" s="677"/>
      <c r="X139" s="677"/>
      <c r="Y139" s="677"/>
      <c r="Z139" s="695"/>
      <c r="AA139" s="695"/>
      <c r="AB139" s="695"/>
      <c r="AC139" s="695"/>
      <c r="AD139" s="695"/>
      <c r="AE139" s="677"/>
      <c r="AF139" s="677"/>
      <c r="AG139" s="677"/>
      <c r="AH139" s="677"/>
      <c r="AI139" s="677"/>
      <c r="AJ139" s="677"/>
      <c r="AK139" s="677"/>
      <c r="AL139" s="677"/>
      <c r="AM139" s="677"/>
      <c r="AN139" s="677"/>
      <c r="AO139" s="677"/>
      <c r="AP139" s="677"/>
      <c r="AQ139" s="677"/>
      <c r="AR139" s="677"/>
      <c r="AS139" s="677"/>
      <c r="AT139" s="677"/>
      <c r="AU139" s="677"/>
      <c r="AV139" s="677"/>
      <c r="AW139" s="677"/>
      <c r="AX139" s="677"/>
      <c r="AY139" s="233"/>
      <c r="AZ139" s="233"/>
      <c r="BA139" s="233"/>
      <c r="BB139" s="233"/>
      <c r="BC139" s="233"/>
      <c r="BD139" s="233"/>
      <c r="BE139" s="233"/>
      <c r="BF139" s="233"/>
      <c r="BG139" s="233"/>
      <c r="BH139" s="233"/>
      <c r="BI139" s="233"/>
      <c r="BJ139" s="233"/>
      <c r="BK139" s="233"/>
      <c r="BL139" s="821"/>
      <c r="BM139" s="822"/>
      <c r="BN139" s="822"/>
      <c r="BO139" s="822"/>
      <c r="BP139" s="822"/>
      <c r="BQ139" s="823"/>
      <c r="BR139" s="718"/>
      <c r="BS139" s="598"/>
      <c r="BT139" s="598"/>
      <c r="BU139" s="598"/>
      <c r="BV139" s="598"/>
      <c r="BW139" s="719"/>
      <c r="BX139" s="718"/>
      <c r="BY139" s="598"/>
      <c r="BZ139" s="598"/>
      <c r="CA139" s="598"/>
      <c r="CB139" s="598"/>
      <c r="CC139" s="719"/>
      <c r="CD139" s="611"/>
      <c r="CE139" s="612"/>
      <c r="CF139" s="612"/>
      <c r="CG139" s="612"/>
      <c r="CH139" s="612"/>
      <c r="CI139" s="612"/>
      <c r="CJ139" s="613"/>
      <c r="CK139" s="775"/>
      <c r="CL139" s="776"/>
      <c r="CM139" s="776"/>
      <c r="CN139" s="776"/>
      <c r="CO139" s="776"/>
      <c r="CP139" s="776"/>
      <c r="CQ139" s="776"/>
      <c r="CR139" s="776"/>
      <c r="CS139" s="776"/>
      <c r="CT139" s="776"/>
      <c r="CU139" s="776"/>
      <c r="CV139" s="777"/>
      <c r="CW139" s="233"/>
      <c r="CX139" s="233"/>
    </row>
    <row r="140" spans="1:102" ht="9" customHeight="1">
      <c r="A140" s="695"/>
      <c r="B140" s="695"/>
      <c r="C140" s="695"/>
      <c r="D140" s="695"/>
      <c r="E140" s="695"/>
      <c r="F140" s="677"/>
      <c r="G140" s="677"/>
      <c r="H140" s="677"/>
      <c r="I140" s="677"/>
      <c r="J140" s="677"/>
      <c r="K140" s="677"/>
      <c r="L140" s="677"/>
      <c r="M140" s="677"/>
      <c r="N140" s="677"/>
      <c r="O140" s="677"/>
      <c r="P140" s="677"/>
      <c r="Q140" s="677"/>
      <c r="R140" s="677"/>
      <c r="S140" s="677"/>
      <c r="T140" s="677"/>
      <c r="U140" s="677"/>
      <c r="V140" s="677"/>
      <c r="W140" s="677"/>
      <c r="X140" s="677"/>
      <c r="Y140" s="677"/>
      <c r="Z140" s="695"/>
      <c r="AA140" s="695"/>
      <c r="AB140" s="695"/>
      <c r="AC140" s="695"/>
      <c r="AD140" s="695"/>
      <c r="AE140" s="677"/>
      <c r="AF140" s="677"/>
      <c r="AG140" s="677"/>
      <c r="AH140" s="677"/>
      <c r="AI140" s="677"/>
      <c r="AJ140" s="677"/>
      <c r="AK140" s="677"/>
      <c r="AL140" s="677"/>
      <c r="AM140" s="677"/>
      <c r="AN140" s="677"/>
      <c r="AO140" s="677"/>
      <c r="AP140" s="677"/>
      <c r="AQ140" s="677"/>
      <c r="AR140" s="677"/>
      <c r="AS140" s="677"/>
      <c r="AT140" s="677"/>
      <c r="AU140" s="677"/>
      <c r="AV140" s="677"/>
      <c r="AW140" s="677"/>
      <c r="AX140" s="677"/>
      <c r="AY140" s="233"/>
      <c r="AZ140" s="233"/>
      <c r="BA140" s="233"/>
      <c r="BB140" s="233"/>
      <c r="BC140" s="233"/>
      <c r="BD140" s="233"/>
      <c r="BE140" s="233"/>
      <c r="BF140" s="233"/>
      <c r="BG140" s="233"/>
      <c r="BH140" s="233"/>
      <c r="BI140" s="233"/>
      <c r="BJ140" s="234"/>
      <c r="BK140" s="234"/>
      <c r="BL140" s="818">
        <f>IF(AQ84="","",AQ84)</f>
      </c>
      <c r="BM140" s="819"/>
      <c r="BN140" s="819">
        <f>IF(CE9="","",CE9)</f>
      </c>
      <c r="BO140" s="819"/>
      <c r="BP140" s="819"/>
      <c r="BQ140" s="820"/>
      <c r="BR140" s="715"/>
      <c r="BS140" s="716"/>
      <c r="BT140" s="716"/>
      <c r="BU140" s="716"/>
      <c r="BV140" s="716"/>
      <c r="BW140" s="717"/>
      <c r="BX140" s="715"/>
      <c r="BY140" s="716"/>
      <c r="BZ140" s="716"/>
      <c r="CA140" s="716"/>
      <c r="CB140" s="716"/>
      <c r="CC140" s="717"/>
      <c r="CD140" s="608">
        <f>IF(BP57="","",BP59)</f>
      </c>
      <c r="CE140" s="609"/>
      <c r="CF140" s="609"/>
      <c r="CG140" s="609"/>
      <c r="CH140" s="609"/>
      <c r="CI140" s="609"/>
      <c r="CJ140" s="610"/>
      <c r="CK140" s="772">
        <f>IF(BX140="","",(CD140*BX140)/27)</f>
      </c>
      <c r="CL140" s="773"/>
      <c r="CM140" s="773"/>
      <c r="CN140" s="773"/>
      <c r="CO140" s="773"/>
      <c r="CP140" s="773"/>
      <c r="CQ140" s="773"/>
      <c r="CR140" s="773"/>
      <c r="CS140" s="773"/>
      <c r="CT140" s="773"/>
      <c r="CU140" s="773"/>
      <c r="CV140" s="774"/>
      <c r="CW140" s="233"/>
      <c r="CX140" s="233"/>
    </row>
    <row r="141" spans="1:102" ht="9" customHeight="1">
      <c r="A141" s="695"/>
      <c r="B141" s="695"/>
      <c r="C141" s="695"/>
      <c r="D141" s="695"/>
      <c r="E141" s="695"/>
      <c r="F141" s="677"/>
      <c r="G141" s="677"/>
      <c r="H141" s="677"/>
      <c r="I141" s="677"/>
      <c r="J141" s="677"/>
      <c r="K141" s="677"/>
      <c r="L141" s="677"/>
      <c r="M141" s="677"/>
      <c r="N141" s="677"/>
      <c r="O141" s="677"/>
      <c r="P141" s="677"/>
      <c r="Q141" s="677"/>
      <c r="R141" s="677"/>
      <c r="S141" s="677"/>
      <c r="T141" s="677"/>
      <c r="U141" s="677"/>
      <c r="V141" s="677"/>
      <c r="W141" s="677"/>
      <c r="X141" s="677"/>
      <c r="Y141" s="677"/>
      <c r="Z141" s="695"/>
      <c r="AA141" s="695"/>
      <c r="AB141" s="695"/>
      <c r="AC141" s="695"/>
      <c r="AD141" s="695"/>
      <c r="AE141" s="677"/>
      <c r="AF141" s="677"/>
      <c r="AG141" s="677"/>
      <c r="AH141" s="677"/>
      <c r="AI141" s="677"/>
      <c r="AJ141" s="677"/>
      <c r="AK141" s="677"/>
      <c r="AL141" s="677"/>
      <c r="AM141" s="677"/>
      <c r="AN141" s="677"/>
      <c r="AO141" s="677"/>
      <c r="AP141" s="677"/>
      <c r="AQ141" s="677"/>
      <c r="AR141" s="677"/>
      <c r="AS141" s="677"/>
      <c r="AT141" s="677"/>
      <c r="AU141" s="677"/>
      <c r="AV141" s="677"/>
      <c r="AW141" s="677"/>
      <c r="AX141" s="677"/>
      <c r="AY141" s="233"/>
      <c r="AZ141" s="233"/>
      <c r="BA141" s="233"/>
      <c r="BB141" s="233"/>
      <c r="BC141" s="233"/>
      <c r="BD141" s="233"/>
      <c r="BE141" s="233"/>
      <c r="BF141" s="233"/>
      <c r="BG141" s="233"/>
      <c r="BH141" s="233"/>
      <c r="BI141" s="233"/>
      <c r="BJ141" s="233"/>
      <c r="BK141" s="233"/>
      <c r="BL141" s="821"/>
      <c r="BM141" s="822"/>
      <c r="BN141" s="822"/>
      <c r="BO141" s="822"/>
      <c r="BP141" s="822"/>
      <c r="BQ141" s="823"/>
      <c r="BR141" s="718"/>
      <c r="BS141" s="598"/>
      <c r="BT141" s="598"/>
      <c r="BU141" s="598"/>
      <c r="BV141" s="598"/>
      <c r="BW141" s="719"/>
      <c r="BX141" s="718"/>
      <c r="BY141" s="598"/>
      <c r="BZ141" s="598"/>
      <c r="CA141" s="598"/>
      <c r="CB141" s="598"/>
      <c r="CC141" s="719"/>
      <c r="CD141" s="611"/>
      <c r="CE141" s="612"/>
      <c r="CF141" s="612"/>
      <c r="CG141" s="612"/>
      <c r="CH141" s="612"/>
      <c r="CI141" s="612"/>
      <c r="CJ141" s="613"/>
      <c r="CK141" s="775"/>
      <c r="CL141" s="776"/>
      <c r="CM141" s="776"/>
      <c r="CN141" s="776"/>
      <c r="CO141" s="776"/>
      <c r="CP141" s="776"/>
      <c r="CQ141" s="776"/>
      <c r="CR141" s="776"/>
      <c r="CS141" s="776"/>
      <c r="CT141" s="776"/>
      <c r="CU141" s="776"/>
      <c r="CV141" s="777"/>
      <c r="CW141" s="233"/>
      <c r="CX141" s="233"/>
    </row>
    <row r="142" spans="1:102" ht="9.75" customHeight="1">
      <c r="A142" s="695"/>
      <c r="B142" s="695"/>
      <c r="C142" s="695"/>
      <c r="D142" s="695"/>
      <c r="E142" s="695"/>
      <c r="F142" s="677"/>
      <c r="G142" s="677"/>
      <c r="H142" s="677"/>
      <c r="I142" s="677"/>
      <c r="J142" s="677"/>
      <c r="K142" s="677"/>
      <c r="L142" s="677"/>
      <c r="M142" s="677"/>
      <c r="N142" s="677"/>
      <c r="O142" s="677"/>
      <c r="P142" s="677"/>
      <c r="Q142" s="677"/>
      <c r="R142" s="677"/>
      <c r="S142" s="677"/>
      <c r="T142" s="677"/>
      <c r="U142" s="677"/>
      <c r="V142" s="677"/>
      <c r="W142" s="677"/>
      <c r="X142" s="677"/>
      <c r="Y142" s="677"/>
      <c r="Z142" s="695"/>
      <c r="AA142" s="695"/>
      <c r="AB142" s="695"/>
      <c r="AC142" s="695"/>
      <c r="AD142" s="695"/>
      <c r="AE142" s="677"/>
      <c r="AF142" s="677"/>
      <c r="AG142" s="677"/>
      <c r="AH142" s="677"/>
      <c r="AI142" s="677"/>
      <c r="AJ142" s="677"/>
      <c r="AK142" s="677"/>
      <c r="AL142" s="677"/>
      <c r="AM142" s="677"/>
      <c r="AN142" s="677"/>
      <c r="AO142" s="677"/>
      <c r="AP142" s="677"/>
      <c r="AQ142" s="677"/>
      <c r="AR142" s="677"/>
      <c r="AS142" s="677"/>
      <c r="AT142" s="677"/>
      <c r="AU142" s="677"/>
      <c r="AV142" s="677"/>
      <c r="AW142" s="677"/>
      <c r="AX142" s="677"/>
      <c r="AY142" s="233"/>
      <c r="AZ142" s="233"/>
      <c r="BA142" s="233"/>
      <c r="BB142" s="233"/>
      <c r="BC142" s="233"/>
      <c r="BD142" s="233"/>
      <c r="BE142" s="233"/>
      <c r="BF142" s="233"/>
      <c r="BG142" s="233"/>
      <c r="BH142" s="233"/>
      <c r="BI142" s="233"/>
      <c r="BJ142" s="233"/>
      <c r="BK142" s="233"/>
      <c r="BL142" s="720" t="s">
        <v>194</v>
      </c>
      <c r="BM142" s="616"/>
      <c r="BN142" s="616"/>
      <c r="BO142" s="616"/>
      <c r="BP142" s="616"/>
      <c r="BQ142" s="836"/>
      <c r="BR142" s="778"/>
      <c r="BS142" s="779"/>
      <c r="BT142" s="779"/>
      <c r="BU142" s="779"/>
      <c r="BV142" s="779"/>
      <c r="BW142" s="780"/>
      <c r="BX142" s="778"/>
      <c r="BY142" s="779"/>
      <c r="BZ142" s="779"/>
      <c r="CA142" s="779"/>
      <c r="CB142" s="779"/>
      <c r="CC142" s="780"/>
      <c r="CD142" s="795" t="s">
        <v>201</v>
      </c>
      <c r="CE142" s="609"/>
      <c r="CF142" s="609"/>
      <c r="CG142" s="609"/>
      <c r="CH142" s="609"/>
      <c r="CI142" s="609"/>
      <c r="CJ142" s="610"/>
      <c r="CK142" s="778"/>
      <c r="CL142" s="779"/>
      <c r="CM142" s="779"/>
      <c r="CN142" s="779"/>
      <c r="CO142" s="779"/>
      <c r="CP142" s="779"/>
      <c r="CQ142" s="779"/>
      <c r="CR142" s="779"/>
      <c r="CS142" s="779"/>
      <c r="CT142" s="779"/>
      <c r="CU142" s="779"/>
      <c r="CV142" s="780"/>
      <c r="CW142" s="233"/>
      <c r="CX142" s="233"/>
    </row>
    <row r="143" spans="1:102" ht="9.75" customHeight="1">
      <c r="A143" s="695"/>
      <c r="B143" s="695"/>
      <c r="C143" s="695"/>
      <c r="D143" s="695"/>
      <c r="E143" s="695"/>
      <c r="F143" s="677"/>
      <c r="G143" s="677"/>
      <c r="H143" s="677"/>
      <c r="I143" s="677"/>
      <c r="J143" s="677"/>
      <c r="K143" s="677"/>
      <c r="L143" s="677"/>
      <c r="M143" s="677"/>
      <c r="N143" s="677"/>
      <c r="O143" s="677"/>
      <c r="P143" s="677"/>
      <c r="Q143" s="677"/>
      <c r="R143" s="677"/>
      <c r="S143" s="677"/>
      <c r="T143" s="677"/>
      <c r="U143" s="677"/>
      <c r="V143" s="677"/>
      <c r="W143" s="677"/>
      <c r="X143" s="677"/>
      <c r="Y143" s="677"/>
      <c r="Z143" s="695"/>
      <c r="AA143" s="695"/>
      <c r="AB143" s="695"/>
      <c r="AC143" s="695"/>
      <c r="AD143" s="695"/>
      <c r="AE143" s="677"/>
      <c r="AF143" s="677"/>
      <c r="AG143" s="677"/>
      <c r="AH143" s="677"/>
      <c r="AI143" s="677"/>
      <c r="AJ143" s="677"/>
      <c r="AK143" s="677"/>
      <c r="AL143" s="677"/>
      <c r="AM143" s="677"/>
      <c r="AN143" s="677"/>
      <c r="AO143" s="677"/>
      <c r="AP143" s="677"/>
      <c r="AQ143" s="677"/>
      <c r="AR143" s="677"/>
      <c r="AS143" s="677"/>
      <c r="AT143" s="677"/>
      <c r="AU143" s="677"/>
      <c r="AV143" s="677"/>
      <c r="AW143" s="677"/>
      <c r="AX143" s="677"/>
      <c r="AY143" s="233"/>
      <c r="AZ143" s="233"/>
      <c r="BA143" s="233"/>
      <c r="BB143" s="233"/>
      <c r="BC143" s="233"/>
      <c r="BD143" s="233"/>
      <c r="BE143" s="233"/>
      <c r="BF143" s="233"/>
      <c r="BG143" s="233"/>
      <c r="BH143" s="234"/>
      <c r="BI143" s="234"/>
      <c r="BJ143" s="234"/>
      <c r="BK143" s="234"/>
      <c r="BL143" s="792" t="s">
        <v>184</v>
      </c>
      <c r="BM143" s="577"/>
      <c r="BN143" s="577"/>
      <c r="BO143" s="577"/>
      <c r="BP143" s="577"/>
      <c r="BQ143" s="837"/>
      <c r="BR143" s="781"/>
      <c r="BS143" s="782"/>
      <c r="BT143" s="782"/>
      <c r="BU143" s="782"/>
      <c r="BV143" s="782"/>
      <c r="BW143" s="783"/>
      <c r="BX143" s="781"/>
      <c r="BY143" s="782"/>
      <c r="BZ143" s="782"/>
      <c r="CA143" s="782"/>
      <c r="CB143" s="782"/>
      <c r="CC143" s="783"/>
      <c r="CD143" s="811" t="s">
        <v>211</v>
      </c>
      <c r="CE143" s="812"/>
      <c r="CF143" s="812"/>
      <c r="CG143" s="812"/>
      <c r="CH143" s="812"/>
      <c r="CI143" s="812"/>
      <c r="CJ143" s="813"/>
      <c r="CK143" s="781"/>
      <c r="CL143" s="782"/>
      <c r="CM143" s="782"/>
      <c r="CN143" s="782"/>
      <c r="CO143" s="782"/>
      <c r="CP143" s="782"/>
      <c r="CQ143" s="782"/>
      <c r="CR143" s="782"/>
      <c r="CS143" s="782"/>
      <c r="CT143" s="782"/>
      <c r="CU143" s="782"/>
      <c r="CV143" s="783"/>
      <c r="CW143" s="233"/>
      <c r="CX143" s="233"/>
    </row>
    <row r="144" spans="1:102" ht="9" customHeight="1">
      <c r="A144" s="695"/>
      <c r="B144" s="695"/>
      <c r="C144" s="695"/>
      <c r="D144" s="695"/>
      <c r="E144" s="695"/>
      <c r="F144" s="677"/>
      <c r="G144" s="677"/>
      <c r="H144" s="677"/>
      <c r="I144" s="677"/>
      <c r="J144" s="677"/>
      <c r="K144" s="677"/>
      <c r="L144" s="677"/>
      <c r="M144" s="677"/>
      <c r="N144" s="677"/>
      <c r="O144" s="677"/>
      <c r="P144" s="677"/>
      <c r="Q144" s="677"/>
      <c r="R144" s="677"/>
      <c r="S144" s="677"/>
      <c r="T144" s="677"/>
      <c r="U144" s="677"/>
      <c r="V144" s="677"/>
      <c r="W144" s="677"/>
      <c r="X144" s="677"/>
      <c r="Y144" s="677"/>
      <c r="Z144" s="695"/>
      <c r="AA144" s="695"/>
      <c r="AB144" s="695"/>
      <c r="AC144" s="695"/>
      <c r="AD144" s="695"/>
      <c r="AE144" s="677"/>
      <c r="AF144" s="677"/>
      <c r="AG144" s="677"/>
      <c r="AH144" s="677"/>
      <c r="AI144" s="677"/>
      <c r="AJ144" s="677"/>
      <c r="AK144" s="677"/>
      <c r="AL144" s="677"/>
      <c r="AM144" s="677"/>
      <c r="AN144" s="677"/>
      <c r="AO144" s="677"/>
      <c r="AP144" s="677"/>
      <c r="AQ144" s="677"/>
      <c r="AR144" s="677"/>
      <c r="AS144" s="677"/>
      <c r="AT144" s="677"/>
      <c r="AU144" s="677"/>
      <c r="AV144" s="677"/>
      <c r="AW144" s="677"/>
      <c r="AX144" s="677"/>
      <c r="AY144" s="233"/>
      <c r="AZ144" s="233"/>
      <c r="BA144" s="233"/>
      <c r="BB144" s="233"/>
      <c r="BC144" s="233"/>
      <c r="BD144" s="233"/>
      <c r="BE144" s="233"/>
      <c r="BF144" s="233"/>
      <c r="BG144" s="233"/>
      <c r="BH144" s="234"/>
      <c r="BI144" s="234"/>
      <c r="BJ144" s="234"/>
      <c r="BK144" s="234"/>
      <c r="BL144" s="814"/>
      <c r="BM144" s="655"/>
      <c r="BN144" s="655"/>
      <c r="BO144" s="655"/>
      <c r="BP144" s="655"/>
      <c r="BQ144" s="815"/>
      <c r="BR144" s="715"/>
      <c r="BS144" s="716"/>
      <c r="BT144" s="716"/>
      <c r="BU144" s="716"/>
      <c r="BV144" s="716"/>
      <c r="BW144" s="717"/>
      <c r="BX144" s="715"/>
      <c r="BY144" s="716"/>
      <c r="BZ144" s="716"/>
      <c r="CA144" s="716"/>
      <c r="CB144" s="716"/>
      <c r="CC144" s="717"/>
      <c r="CD144" s="608">
        <f>IF(BP57="","",BP57)</f>
      </c>
      <c r="CE144" s="609"/>
      <c r="CF144" s="609"/>
      <c r="CG144" s="609"/>
      <c r="CH144" s="609"/>
      <c r="CI144" s="609"/>
      <c r="CJ144" s="610"/>
      <c r="CK144" s="786">
        <f>IF(BX144="","",(BX144*CD144)/27)</f>
      </c>
      <c r="CL144" s="787"/>
      <c r="CM144" s="787"/>
      <c r="CN144" s="787"/>
      <c r="CO144" s="787"/>
      <c r="CP144" s="787"/>
      <c r="CQ144" s="787"/>
      <c r="CR144" s="787"/>
      <c r="CS144" s="787"/>
      <c r="CT144" s="787"/>
      <c r="CU144" s="787"/>
      <c r="CV144" s="788"/>
      <c r="CW144" s="233"/>
      <c r="CX144" s="233"/>
    </row>
    <row r="145" spans="1:102" ht="9" customHeight="1">
      <c r="A145" s="695"/>
      <c r="B145" s="695"/>
      <c r="C145" s="695"/>
      <c r="D145" s="695"/>
      <c r="E145" s="695"/>
      <c r="F145" s="677"/>
      <c r="G145" s="677"/>
      <c r="H145" s="677"/>
      <c r="I145" s="677"/>
      <c r="J145" s="677"/>
      <c r="K145" s="677"/>
      <c r="L145" s="677"/>
      <c r="M145" s="677"/>
      <c r="N145" s="677"/>
      <c r="O145" s="677"/>
      <c r="P145" s="677"/>
      <c r="Q145" s="677"/>
      <c r="R145" s="677"/>
      <c r="S145" s="677"/>
      <c r="T145" s="677"/>
      <c r="U145" s="677"/>
      <c r="V145" s="677"/>
      <c r="W145" s="677"/>
      <c r="X145" s="677"/>
      <c r="Y145" s="677"/>
      <c r="Z145" s="695"/>
      <c r="AA145" s="695"/>
      <c r="AB145" s="695"/>
      <c r="AC145" s="695"/>
      <c r="AD145" s="695"/>
      <c r="AE145" s="677"/>
      <c r="AF145" s="677"/>
      <c r="AG145" s="677"/>
      <c r="AH145" s="677"/>
      <c r="AI145" s="677"/>
      <c r="AJ145" s="677"/>
      <c r="AK145" s="677"/>
      <c r="AL145" s="677"/>
      <c r="AM145" s="677"/>
      <c r="AN145" s="677"/>
      <c r="AO145" s="677"/>
      <c r="AP145" s="677"/>
      <c r="AQ145" s="677"/>
      <c r="AR145" s="677"/>
      <c r="AS145" s="677"/>
      <c r="AT145" s="677"/>
      <c r="AU145" s="677"/>
      <c r="AV145" s="677"/>
      <c r="AW145" s="677"/>
      <c r="AX145" s="677"/>
      <c r="AY145" s="233"/>
      <c r="AZ145" s="233"/>
      <c r="BA145" s="233"/>
      <c r="BB145" s="233"/>
      <c r="BC145" s="233"/>
      <c r="BD145" s="233"/>
      <c r="BE145" s="233"/>
      <c r="BF145" s="233"/>
      <c r="BG145" s="233"/>
      <c r="BH145" s="234"/>
      <c r="BI145" s="234"/>
      <c r="BJ145" s="234"/>
      <c r="BK145" s="234"/>
      <c r="BL145" s="816"/>
      <c r="BM145" s="656"/>
      <c r="BN145" s="656"/>
      <c r="BO145" s="656"/>
      <c r="BP145" s="656"/>
      <c r="BQ145" s="817"/>
      <c r="BR145" s="718"/>
      <c r="BS145" s="598"/>
      <c r="BT145" s="598"/>
      <c r="BU145" s="598"/>
      <c r="BV145" s="598"/>
      <c r="BW145" s="719"/>
      <c r="BX145" s="718"/>
      <c r="BY145" s="598"/>
      <c r="BZ145" s="598"/>
      <c r="CA145" s="598"/>
      <c r="CB145" s="598"/>
      <c r="CC145" s="719"/>
      <c r="CD145" s="611"/>
      <c r="CE145" s="612"/>
      <c r="CF145" s="612"/>
      <c r="CG145" s="612"/>
      <c r="CH145" s="612"/>
      <c r="CI145" s="612"/>
      <c r="CJ145" s="613"/>
      <c r="CK145" s="789"/>
      <c r="CL145" s="790"/>
      <c r="CM145" s="790"/>
      <c r="CN145" s="790"/>
      <c r="CO145" s="790"/>
      <c r="CP145" s="790"/>
      <c r="CQ145" s="790"/>
      <c r="CR145" s="790"/>
      <c r="CS145" s="790"/>
      <c r="CT145" s="790"/>
      <c r="CU145" s="790"/>
      <c r="CV145" s="791"/>
      <c r="CW145" s="233"/>
      <c r="CX145" s="233"/>
    </row>
    <row r="146" spans="1:102" ht="9" customHeight="1">
      <c r="A146" s="700"/>
      <c r="B146" s="701"/>
      <c r="C146" s="701"/>
      <c r="D146" s="701"/>
      <c r="E146" s="702"/>
      <c r="F146" s="677"/>
      <c r="G146" s="677"/>
      <c r="H146" s="677"/>
      <c r="I146" s="677"/>
      <c r="J146" s="677"/>
      <c r="K146" s="677"/>
      <c r="L146" s="677"/>
      <c r="M146" s="677"/>
      <c r="N146" s="677"/>
      <c r="O146" s="677"/>
      <c r="P146" s="677"/>
      <c r="Q146" s="677"/>
      <c r="R146" s="677"/>
      <c r="S146" s="677"/>
      <c r="T146" s="677"/>
      <c r="U146" s="677"/>
      <c r="V146" s="677"/>
      <c r="W146" s="677"/>
      <c r="X146" s="677"/>
      <c r="Y146" s="677"/>
      <c r="Z146" s="700"/>
      <c r="AA146" s="701"/>
      <c r="AB146" s="701"/>
      <c r="AC146" s="701"/>
      <c r="AD146" s="702"/>
      <c r="AE146" s="677"/>
      <c r="AF146" s="677"/>
      <c r="AG146" s="677"/>
      <c r="AH146" s="677"/>
      <c r="AI146" s="677"/>
      <c r="AJ146" s="677"/>
      <c r="AK146" s="677"/>
      <c r="AL146" s="677"/>
      <c r="AM146" s="677"/>
      <c r="AN146" s="677"/>
      <c r="AO146" s="677"/>
      <c r="AP146" s="677"/>
      <c r="AQ146" s="677"/>
      <c r="AR146" s="677"/>
      <c r="AS146" s="677"/>
      <c r="AT146" s="677"/>
      <c r="AU146" s="677"/>
      <c r="AV146" s="677"/>
      <c r="AW146" s="677"/>
      <c r="AX146" s="677"/>
      <c r="AY146" s="233"/>
      <c r="AZ146" s="233"/>
      <c r="BA146" s="233"/>
      <c r="BB146" s="233"/>
      <c r="BC146" s="233"/>
      <c r="BD146" s="233"/>
      <c r="BE146" s="233"/>
      <c r="BF146" s="233"/>
      <c r="BG146" s="233"/>
      <c r="BH146" s="234"/>
      <c r="BI146" s="234"/>
      <c r="BJ146" s="234"/>
      <c r="BK146" s="234"/>
      <c r="BL146" s="814"/>
      <c r="BM146" s="655"/>
      <c r="BN146" s="655"/>
      <c r="BO146" s="655"/>
      <c r="BP146" s="655"/>
      <c r="BQ146" s="815"/>
      <c r="BR146" s="715"/>
      <c r="BS146" s="716"/>
      <c r="BT146" s="716"/>
      <c r="BU146" s="716"/>
      <c r="BV146" s="716"/>
      <c r="BW146" s="717"/>
      <c r="BX146" s="715"/>
      <c r="BY146" s="716"/>
      <c r="BZ146" s="716"/>
      <c r="CA146" s="716"/>
      <c r="CB146" s="716"/>
      <c r="CC146" s="717"/>
      <c r="CD146" s="608">
        <f>IF(BP57="","",BP57)</f>
      </c>
      <c r="CE146" s="609"/>
      <c r="CF146" s="609"/>
      <c r="CG146" s="609"/>
      <c r="CH146" s="609"/>
      <c r="CI146" s="609"/>
      <c r="CJ146" s="610"/>
      <c r="CK146" s="786">
        <f>IF(BX146="","",(BX146*CD146)/27)</f>
      </c>
      <c r="CL146" s="787"/>
      <c r="CM146" s="787"/>
      <c r="CN146" s="787"/>
      <c r="CO146" s="787"/>
      <c r="CP146" s="787"/>
      <c r="CQ146" s="787"/>
      <c r="CR146" s="787"/>
      <c r="CS146" s="787"/>
      <c r="CT146" s="787"/>
      <c r="CU146" s="787"/>
      <c r="CV146" s="788"/>
      <c r="CW146" s="233"/>
      <c r="CX146" s="233"/>
    </row>
    <row r="147" spans="1:102" ht="9" customHeight="1">
      <c r="A147" s="703" t="s">
        <v>194</v>
      </c>
      <c r="B147" s="704"/>
      <c r="C147" s="704"/>
      <c r="D147" s="704"/>
      <c r="E147" s="705"/>
      <c r="F147" s="677"/>
      <c r="G147" s="677"/>
      <c r="H147" s="677"/>
      <c r="I147" s="677"/>
      <c r="J147" s="677"/>
      <c r="K147" s="677"/>
      <c r="L147" s="677"/>
      <c r="M147" s="677"/>
      <c r="N147" s="677"/>
      <c r="O147" s="677"/>
      <c r="P147" s="677"/>
      <c r="Q147" s="677"/>
      <c r="R147" s="677"/>
      <c r="S147" s="677"/>
      <c r="T147" s="677"/>
      <c r="U147" s="677"/>
      <c r="V147" s="677"/>
      <c r="W147" s="677"/>
      <c r="X147" s="677"/>
      <c r="Y147" s="677"/>
      <c r="Z147" s="703" t="s">
        <v>194</v>
      </c>
      <c r="AA147" s="704"/>
      <c r="AB147" s="704"/>
      <c r="AC147" s="704"/>
      <c r="AD147" s="705"/>
      <c r="AE147" s="677"/>
      <c r="AF147" s="677"/>
      <c r="AG147" s="677"/>
      <c r="AH147" s="677"/>
      <c r="AI147" s="677"/>
      <c r="AJ147" s="677"/>
      <c r="AK147" s="677"/>
      <c r="AL147" s="677"/>
      <c r="AM147" s="677"/>
      <c r="AN147" s="677"/>
      <c r="AO147" s="677"/>
      <c r="AP147" s="677"/>
      <c r="AQ147" s="677"/>
      <c r="AR147" s="677"/>
      <c r="AS147" s="677"/>
      <c r="AT147" s="677"/>
      <c r="AU147" s="677"/>
      <c r="AV147" s="677"/>
      <c r="AW147" s="677"/>
      <c r="AX147" s="677"/>
      <c r="AY147" s="233"/>
      <c r="AZ147" s="233"/>
      <c r="BA147" s="233"/>
      <c r="BB147" s="233"/>
      <c r="BC147" s="233"/>
      <c r="BD147" s="233"/>
      <c r="BE147" s="233"/>
      <c r="BF147" s="233"/>
      <c r="BG147" s="233"/>
      <c r="BH147" s="234"/>
      <c r="BI147" s="234"/>
      <c r="BJ147" s="234"/>
      <c r="BK147" s="234"/>
      <c r="BL147" s="816"/>
      <c r="BM147" s="656"/>
      <c r="BN147" s="656"/>
      <c r="BO147" s="656"/>
      <c r="BP147" s="656"/>
      <c r="BQ147" s="817"/>
      <c r="BR147" s="718"/>
      <c r="BS147" s="598"/>
      <c r="BT147" s="598"/>
      <c r="BU147" s="598"/>
      <c r="BV147" s="598"/>
      <c r="BW147" s="719"/>
      <c r="BX147" s="718"/>
      <c r="BY147" s="598"/>
      <c r="BZ147" s="598"/>
      <c r="CA147" s="598"/>
      <c r="CB147" s="598"/>
      <c r="CC147" s="719"/>
      <c r="CD147" s="611"/>
      <c r="CE147" s="612"/>
      <c r="CF147" s="612"/>
      <c r="CG147" s="612"/>
      <c r="CH147" s="612"/>
      <c r="CI147" s="612"/>
      <c r="CJ147" s="613"/>
      <c r="CK147" s="789"/>
      <c r="CL147" s="790"/>
      <c r="CM147" s="790"/>
      <c r="CN147" s="790"/>
      <c r="CO147" s="790"/>
      <c r="CP147" s="790"/>
      <c r="CQ147" s="790"/>
      <c r="CR147" s="790"/>
      <c r="CS147" s="790"/>
      <c r="CT147" s="790"/>
      <c r="CU147" s="790"/>
      <c r="CV147" s="791"/>
      <c r="CW147" s="233"/>
      <c r="CX147" s="233"/>
    </row>
    <row r="148" spans="1:102" ht="9" customHeight="1">
      <c r="A148" s="233"/>
      <c r="B148" s="233"/>
      <c r="C148" s="233"/>
      <c r="D148" s="233"/>
      <c r="E148" s="233"/>
      <c r="F148" s="233"/>
      <c r="G148" s="233"/>
      <c r="H148" s="233"/>
      <c r="I148" s="233"/>
      <c r="J148" s="761">
        <f>IF(R84&gt;0,IF(SUM(F92:Q145)=0,"",AVERAGE(F92:Q145)),"")</f>
      </c>
      <c r="K148" s="761"/>
      <c r="L148" s="761"/>
      <c r="M148" s="761"/>
      <c r="N148" s="762" t="s">
        <v>208</v>
      </c>
      <c r="O148" s="619"/>
      <c r="P148" s="619"/>
      <c r="Q148" s="619"/>
      <c r="R148" s="619"/>
      <c r="S148" s="619"/>
      <c r="T148" s="619"/>
      <c r="U148" s="619"/>
      <c r="V148" s="619"/>
      <c r="W148" s="619"/>
      <c r="X148" s="619"/>
      <c r="Y148" s="619"/>
      <c r="Z148" s="619"/>
      <c r="AA148" s="619"/>
      <c r="AB148" s="619"/>
      <c r="AC148" s="619"/>
      <c r="AD148" s="619"/>
      <c r="AE148" s="619"/>
      <c r="AF148" s="619"/>
      <c r="AG148" s="619"/>
      <c r="AH148" s="763"/>
      <c r="AI148" s="761">
        <f>IF(AQ84&gt;0,IF(SUM(AE92:AP145)=0,"",AVERAGE(AE92:AP145)),"")</f>
      </c>
      <c r="AJ148" s="761"/>
      <c r="AK148" s="761"/>
      <c r="AL148" s="761"/>
      <c r="AM148" s="233"/>
      <c r="AN148" s="828" t="s">
        <v>278</v>
      </c>
      <c r="AO148" s="621"/>
      <c r="AP148" s="621"/>
      <c r="AQ148" s="621"/>
      <c r="AR148" s="621"/>
      <c r="AS148" s="621"/>
      <c r="AT148" s="621"/>
      <c r="AU148" s="621"/>
      <c r="AV148" s="621"/>
      <c r="AW148" s="621"/>
      <c r="AX148" s="621"/>
      <c r="AY148" s="621"/>
      <c r="AZ148" s="621"/>
      <c r="BA148" s="621"/>
      <c r="BB148" s="621"/>
      <c r="BC148" s="621"/>
      <c r="BD148" s="621"/>
      <c r="BE148" s="621"/>
      <c r="BF148" s="621"/>
      <c r="BG148" s="621"/>
      <c r="BH148" s="621"/>
      <c r="BI148" s="621"/>
      <c r="BJ148" s="621"/>
      <c r="BK148" s="234"/>
      <c r="BL148" s="814"/>
      <c r="BM148" s="655"/>
      <c r="BN148" s="655"/>
      <c r="BO148" s="655"/>
      <c r="BP148" s="655"/>
      <c r="BQ148" s="815"/>
      <c r="BR148" s="715"/>
      <c r="BS148" s="716"/>
      <c r="BT148" s="716"/>
      <c r="BU148" s="716"/>
      <c r="BV148" s="716"/>
      <c r="BW148" s="717"/>
      <c r="BX148" s="715"/>
      <c r="BY148" s="716"/>
      <c r="BZ148" s="716"/>
      <c r="CA148" s="716"/>
      <c r="CB148" s="716"/>
      <c r="CC148" s="717"/>
      <c r="CD148" s="608">
        <f>IF(BP61="","",BP61)</f>
      </c>
      <c r="CE148" s="609"/>
      <c r="CF148" s="609"/>
      <c r="CG148" s="609"/>
      <c r="CH148" s="609"/>
      <c r="CI148" s="609"/>
      <c r="CJ148" s="610"/>
      <c r="CK148" s="786">
        <f>IF(BX148="","",(BX148*CD148)/27)</f>
      </c>
      <c r="CL148" s="787"/>
      <c r="CM148" s="787"/>
      <c r="CN148" s="787"/>
      <c r="CO148" s="787"/>
      <c r="CP148" s="787"/>
      <c r="CQ148" s="787"/>
      <c r="CR148" s="787"/>
      <c r="CS148" s="787"/>
      <c r="CT148" s="787"/>
      <c r="CU148" s="787"/>
      <c r="CV148" s="788"/>
      <c r="CW148" s="233"/>
      <c r="CX148" s="233"/>
    </row>
    <row r="149" spans="1:102" ht="9" customHeight="1">
      <c r="A149" s="233"/>
      <c r="B149" s="233"/>
      <c r="C149" s="233"/>
      <c r="D149" s="233"/>
      <c r="E149" s="233"/>
      <c r="F149" s="233"/>
      <c r="G149" s="233"/>
      <c r="H149" s="233"/>
      <c r="I149" s="233"/>
      <c r="J149" s="761"/>
      <c r="K149" s="761"/>
      <c r="L149" s="761"/>
      <c r="M149" s="761"/>
      <c r="N149" s="706"/>
      <c r="O149" s="678"/>
      <c r="P149" s="678"/>
      <c r="Q149" s="678"/>
      <c r="R149" s="678"/>
      <c r="S149" s="678"/>
      <c r="T149" s="678"/>
      <c r="U149" s="678"/>
      <c r="V149" s="678"/>
      <c r="W149" s="678"/>
      <c r="X149" s="678"/>
      <c r="Y149" s="678"/>
      <c r="Z149" s="678"/>
      <c r="AA149" s="678"/>
      <c r="AB149" s="678"/>
      <c r="AC149" s="678"/>
      <c r="AD149" s="678"/>
      <c r="AE149" s="678"/>
      <c r="AF149" s="678"/>
      <c r="AG149" s="678"/>
      <c r="AH149" s="764"/>
      <c r="AI149" s="761"/>
      <c r="AJ149" s="761"/>
      <c r="AK149" s="761"/>
      <c r="AL149" s="761"/>
      <c r="AM149" s="233"/>
      <c r="AN149" s="621"/>
      <c r="AO149" s="621"/>
      <c r="AP149" s="621"/>
      <c r="AQ149" s="621"/>
      <c r="AR149" s="621"/>
      <c r="AS149" s="621"/>
      <c r="AT149" s="621"/>
      <c r="AU149" s="621"/>
      <c r="AV149" s="621"/>
      <c r="AW149" s="621"/>
      <c r="AX149" s="621"/>
      <c r="AY149" s="621"/>
      <c r="AZ149" s="621"/>
      <c r="BA149" s="621"/>
      <c r="BB149" s="621"/>
      <c r="BC149" s="621"/>
      <c r="BD149" s="621"/>
      <c r="BE149" s="621"/>
      <c r="BF149" s="621"/>
      <c r="BG149" s="621"/>
      <c r="BH149" s="621"/>
      <c r="BI149" s="621"/>
      <c r="BJ149" s="621"/>
      <c r="BK149" s="234"/>
      <c r="BL149" s="816"/>
      <c r="BM149" s="656"/>
      <c r="BN149" s="656"/>
      <c r="BO149" s="656"/>
      <c r="BP149" s="656"/>
      <c r="BQ149" s="817"/>
      <c r="BR149" s="718"/>
      <c r="BS149" s="598"/>
      <c r="BT149" s="598"/>
      <c r="BU149" s="598"/>
      <c r="BV149" s="598"/>
      <c r="BW149" s="719"/>
      <c r="BX149" s="718"/>
      <c r="BY149" s="598"/>
      <c r="BZ149" s="598"/>
      <c r="CA149" s="598"/>
      <c r="CB149" s="598"/>
      <c r="CC149" s="719"/>
      <c r="CD149" s="611"/>
      <c r="CE149" s="612"/>
      <c r="CF149" s="612"/>
      <c r="CG149" s="612"/>
      <c r="CH149" s="612"/>
      <c r="CI149" s="612"/>
      <c r="CJ149" s="613"/>
      <c r="CK149" s="789"/>
      <c r="CL149" s="790"/>
      <c r="CM149" s="790"/>
      <c r="CN149" s="790"/>
      <c r="CO149" s="790"/>
      <c r="CP149" s="790"/>
      <c r="CQ149" s="790"/>
      <c r="CR149" s="790"/>
      <c r="CS149" s="790"/>
      <c r="CT149" s="790"/>
      <c r="CU149" s="790"/>
      <c r="CV149" s="791"/>
      <c r="CW149" s="233"/>
      <c r="CX149" s="233"/>
    </row>
    <row r="150" spans="1:102" ht="9" customHeight="1">
      <c r="A150" s="233"/>
      <c r="B150" s="233"/>
      <c r="C150" s="233"/>
      <c r="D150" s="233"/>
      <c r="E150" s="233"/>
      <c r="F150" s="233"/>
      <c r="G150" s="233"/>
      <c r="H150" s="233"/>
      <c r="I150" s="233"/>
      <c r="J150" s="761">
        <f>IF(J148="","",J148-BY47)</f>
      </c>
      <c r="K150" s="761"/>
      <c r="L150" s="761"/>
      <c r="M150" s="761"/>
      <c r="N150" s="706" t="s">
        <v>212</v>
      </c>
      <c r="O150" s="678"/>
      <c r="P150" s="678"/>
      <c r="Q150" s="678"/>
      <c r="R150" s="678"/>
      <c r="S150" s="678"/>
      <c r="T150" s="678"/>
      <c r="U150" s="678"/>
      <c r="V150" s="678"/>
      <c r="W150" s="678"/>
      <c r="X150" s="678"/>
      <c r="Y150" s="678"/>
      <c r="Z150" s="678"/>
      <c r="AA150" s="678"/>
      <c r="AB150" s="678"/>
      <c r="AC150" s="678"/>
      <c r="AD150" s="678"/>
      <c r="AE150" s="678"/>
      <c r="AF150" s="678"/>
      <c r="AG150" s="678"/>
      <c r="AH150" s="764"/>
      <c r="AI150" s="761">
        <f>IF(AI148="","",AI148-CE47)</f>
      </c>
      <c r="AJ150" s="761"/>
      <c r="AK150" s="761"/>
      <c r="AL150" s="761"/>
      <c r="AM150" s="233"/>
      <c r="AN150" s="828" t="s">
        <v>330</v>
      </c>
      <c r="AO150" s="533"/>
      <c r="AP150" s="533"/>
      <c r="AQ150" s="533"/>
      <c r="AR150" s="533"/>
      <c r="AS150" s="533"/>
      <c r="AT150" s="533"/>
      <c r="AU150" s="533"/>
      <c r="AV150" s="533"/>
      <c r="AW150" s="533"/>
      <c r="AX150" s="533"/>
      <c r="AY150" s="533"/>
      <c r="AZ150" s="533"/>
      <c r="BA150" s="533"/>
      <c r="BB150" s="533"/>
      <c r="BC150" s="533"/>
      <c r="BD150" s="533"/>
      <c r="BE150" s="533"/>
      <c r="BF150" s="533"/>
      <c r="BG150" s="533"/>
      <c r="BH150" s="533"/>
      <c r="BI150" s="533"/>
      <c r="BJ150" s="533"/>
      <c r="BK150" s="533"/>
      <c r="BL150" s="814"/>
      <c r="BM150" s="655"/>
      <c r="BN150" s="655"/>
      <c r="BO150" s="655"/>
      <c r="BP150" s="655"/>
      <c r="BQ150" s="815"/>
      <c r="BR150" s="715"/>
      <c r="BS150" s="716"/>
      <c r="BT150" s="716"/>
      <c r="BU150" s="716"/>
      <c r="BV150" s="716"/>
      <c r="BW150" s="717"/>
      <c r="BX150" s="715"/>
      <c r="BY150" s="716"/>
      <c r="BZ150" s="716"/>
      <c r="CA150" s="716"/>
      <c r="CB150" s="716"/>
      <c r="CC150" s="717"/>
      <c r="CD150" s="608">
        <f>IF(BP61="","",BP61)</f>
      </c>
      <c r="CE150" s="609"/>
      <c r="CF150" s="609"/>
      <c r="CG150" s="609"/>
      <c r="CH150" s="609"/>
      <c r="CI150" s="609"/>
      <c r="CJ150" s="610"/>
      <c r="CK150" s="786">
        <f>IF(BX150&gt;0,(BX150*CD150)/27,"")</f>
      </c>
      <c r="CL150" s="787"/>
      <c r="CM150" s="787"/>
      <c r="CN150" s="787"/>
      <c r="CO150" s="787"/>
      <c r="CP150" s="787"/>
      <c r="CQ150" s="787"/>
      <c r="CR150" s="787"/>
      <c r="CS150" s="787"/>
      <c r="CT150" s="787"/>
      <c r="CU150" s="787"/>
      <c r="CV150" s="788"/>
      <c r="CW150" s="233"/>
      <c r="CX150" s="233"/>
    </row>
    <row r="151" spans="1:102" ht="9" customHeight="1">
      <c r="A151" s="233"/>
      <c r="B151" s="233"/>
      <c r="C151" s="233"/>
      <c r="D151" s="233"/>
      <c r="E151" s="233"/>
      <c r="F151" s="233"/>
      <c r="G151" s="233"/>
      <c r="H151" s="233"/>
      <c r="I151" s="233"/>
      <c r="J151" s="761"/>
      <c r="K151" s="761"/>
      <c r="L151" s="761"/>
      <c r="M151" s="761"/>
      <c r="N151" s="706"/>
      <c r="O151" s="678"/>
      <c r="P151" s="678"/>
      <c r="Q151" s="678"/>
      <c r="R151" s="678"/>
      <c r="S151" s="678"/>
      <c r="T151" s="678"/>
      <c r="U151" s="678"/>
      <c r="V151" s="678"/>
      <c r="W151" s="678"/>
      <c r="X151" s="678"/>
      <c r="Y151" s="678"/>
      <c r="Z151" s="678"/>
      <c r="AA151" s="678"/>
      <c r="AB151" s="678"/>
      <c r="AC151" s="678"/>
      <c r="AD151" s="678"/>
      <c r="AE151" s="678"/>
      <c r="AF151" s="678"/>
      <c r="AG151" s="678"/>
      <c r="AH151" s="764"/>
      <c r="AI151" s="761"/>
      <c r="AJ151" s="761"/>
      <c r="AK151" s="761"/>
      <c r="AL151" s="761"/>
      <c r="AM151" s="233"/>
      <c r="AN151" s="533"/>
      <c r="AO151" s="533"/>
      <c r="AP151" s="533"/>
      <c r="AQ151" s="533"/>
      <c r="AR151" s="533"/>
      <c r="AS151" s="533"/>
      <c r="AT151" s="533"/>
      <c r="AU151" s="533"/>
      <c r="AV151" s="533"/>
      <c r="AW151" s="533"/>
      <c r="AX151" s="533"/>
      <c r="AY151" s="533"/>
      <c r="AZ151" s="533"/>
      <c r="BA151" s="533"/>
      <c r="BB151" s="533"/>
      <c r="BC151" s="533"/>
      <c r="BD151" s="533"/>
      <c r="BE151" s="533"/>
      <c r="BF151" s="533"/>
      <c r="BG151" s="533"/>
      <c r="BH151" s="533"/>
      <c r="BI151" s="533"/>
      <c r="BJ151" s="533"/>
      <c r="BK151" s="533"/>
      <c r="BL151" s="816"/>
      <c r="BM151" s="656"/>
      <c r="BN151" s="656"/>
      <c r="BO151" s="656"/>
      <c r="BP151" s="656"/>
      <c r="BQ151" s="817"/>
      <c r="BR151" s="718"/>
      <c r="BS151" s="598"/>
      <c r="BT151" s="598"/>
      <c r="BU151" s="598"/>
      <c r="BV151" s="598"/>
      <c r="BW151" s="719"/>
      <c r="BX151" s="718"/>
      <c r="BY151" s="598"/>
      <c r="BZ151" s="598"/>
      <c r="CA151" s="598"/>
      <c r="CB151" s="598"/>
      <c r="CC151" s="719"/>
      <c r="CD151" s="611"/>
      <c r="CE151" s="612"/>
      <c r="CF151" s="612"/>
      <c r="CG151" s="612"/>
      <c r="CH151" s="612"/>
      <c r="CI151" s="612"/>
      <c r="CJ151" s="613"/>
      <c r="CK151" s="789"/>
      <c r="CL151" s="790"/>
      <c r="CM151" s="790"/>
      <c r="CN151" s="790"/>
      <c r="CO151" s="790"/>
      <c r="CP151" s="790"/>
      <c r="CQ151" s="790"/>
      <c r="CR151" s="790"/>
      <c r="CS151" s="790"/>
      <c r="CT151" s="790"/>
      <c r="CU151" s="790"/>
      <c r="CV151" s="791"/>
      <c r="CW151" s="233"/>
      <c r="CX151" s="233"/>
    </row>
    <row r="152" spans="1:102" ht="9" customHeight="1">
      <c r="A152" s="233"/>
      <c r="B152" s="233"/>
      <c r="C152" s="233"/>
      <c r="D152" s="233"/>
      <c r="E152" s="233"/>
      <c r="F152" s="233"/>
      <c r="G152" s="233"/>
      <c r="H152" s="233"/>
      <c r="I152" s="233"/>
      <c r="J152" s="761">
        <f>IF(J148="","",J148-BY43)</f>
      </c>
      <c r="K152" s="761"/>
      <c r="L152" s="761"/>
      <c r="M152" s="761"/>
      <c r="N152" s="706" t="s">
        <v>213</v>
      </c>
      <c r="O152" s="678"/>
      <c r="P152" s="678"/>
      <c r="Q152" s="678"/>
      <c r="R152" s="678"/>
      <c r="S152" s="678"/>
      <c r="T152" s="678"/>
      <c r="U152" s="678"/>
      <c r="V152" s="678"/>
      <c r="W152" s="678"/>
      <c r="X152" s="678"/>
      <c r="Y152" s="678"/>
      <c r="Z152" s="678"/>
      <c r="AA152" s="678"/>
      <c r="AB152" s="678"/>
      <c r="AC152" s="678"/>
      <c r="AD152" s="678"/>
      <c r="AE152" s="678"/>
      <c r="AF152" s="678"/>
      <c r="AG152" s="678"/>
      <c r="AH152" s="764"/>
      <c r="AI152" s="761">
        <f>IF(AI148="","",AI148-CE43)</f>
      </c>
      <c r="AJ152" s="761"/>
      <c r="AK152" s="761"/>
      <c r="AL152" s="761"/>
      <c r="AM152" s="233"/>
      <c r="AN152" s="828" t="s">
        <v>214</v>
      </c>
      <c r="AO152" s="621"/>
      <c r="AP152" s="621"/>
      <c r="AQ152" s="621"/>
      <c r="AR152" s="621"/>
      <c r="AS152" s="621"/>
      <c r="AT152" s="621"/>
      <c r="AU152" s="621"/>
      <c r="AV152" s="621"/>
      <c r="AW152" s="621"/>
      <c r="AX152" s="621"/>
      <c r="AY152" s="621"/>
      <c r="AZ152" s="621"/>
      <c r="BA152" s="621"/>
      <c r="BB152" s="621"/>
      <c r="BC152" s="621"/>
      <c r="BD152" s="621"/>
      <c r="BE152" s="621"/>
      <c r="BF152" s="621"/>
      <c r="BG152" s="621"/>
      <c r="BH152" s="621"/>
      <c r="BI152" s="233"/>
      <c r="BJ152" s="233"/>
      <c r="BK152" s="233"/>
      <c r="BL152" s="452"/>
      <c r="BM152" s="233"/>
      <c r="BN152" s="233"/>
      <c r="BO152" s="233"/>
      <c r="BP152" s="233"/>
      <c r="BQ152" s="614" t="s">
        <v>329</v>
      </c>
      <c r="BR152" s="615"/>
      <c r="BS152" s="615"/>
      <c r="BT152" s="616"/>
      <c r="BU152" s="616"/>
      <c r="BV152" s="616"/>
      <c r="BW152" s="618">
        <f>IF(BJ63="","",BJ63)</f>
      </c>
      <c r="BX152" s="619"/>
      <c r="BY152" s="619"/>
      <c r="BZ152" s="619"/>
      <c r="CA152" s="233"/>
      <c r="CB152" s="233"/>
      <c r="CC152" s="233"/>
      <c r="CD152" s="826" t="s">
        <v>183</v>
      </c>
      <c r="CE152" s="712"/>
      <c r="CF152" s="712"/>
      <c r="CG152" s="712"/>
      <c r="CH152" s="712"/>
      <c r="CI152" s="712"/>
      <c r="CJ152" s="315"/>
      <c r="CK152" s="765">
        <f>IF(CK138="","",SUM(CK138:CV141)+SUM(CK144:CV151))</f>
      </c>
      <c r="CL152" s="766"/>
      <c r="CM152" s="766"/>
      <c r="CN152" s="766"/>
      <c r="CO152" s="766"/>
      <c r="CP152" s="766"/>
      <c r="CQ152" s="766"/>
      <c r="CR152" s="766"/>
      <c r="CS152" s="766"/>
      <c r="CT152" s="766"/>
      <c r="CU152" s="766"/>
      <c r="CV152" s="767"/>
      <c r="CW152" s="233"/>
      <c r="CX152" s="233"/>
    </row>
    <row r="153" spans="1:102" ht="9" customHeight="1">
      <c r="A153" s="233"/>
      <c r="B153" s="233"/>
      <c r="C153" s="233"/>
      <c r="D153" s="233"/>
      <c r="E153" s="233"/>
      <c r="F153" s="233"/>
      <c r="G153" s="233"/>
      <c r="H153" s="233"/>
      <c r="I153" s="233"/>
      <c r="J153" s="761"/>
      <c r="K153" s="761"/>
      <c r="L153" s="761"/>
      <c r="M153" s="761"/>
      <c r="N153" s="706"/>
      <c r="O153" s="678"/>
      <c r="P153" s="678"/>
      <c r="Q153" s="678"/>
      <c r="R153" s="678"/>
      <c r="S153" s="678"/>
      <c r="T153" s="678"/>
      <c r="U153" s="678"/>
      <c r="V153" s="678"/>
      <c r="W153" s="678"/>
      <c r="X153" s="678"/>
      <c r="Y153" s="678"/>
      <c r="Z153" s="678"/>
      <c r="AA153" s="678"/>
      <c r="AB153" s="678"/>
      <c r="AC153" s="678"/>
      <c r="AD153" s="678"/>
      <c r="AE153" s="678"/>
      <c r="AF153" s="678"/>
      <c r="AG153" s="678"/>
      <c r="AH153" s="764"/>
      <c r="AI153" s="761"/>
      <c r="AJ153" s="761"/>
      <c r="AK153" s="761"/>
      <c r="AL153" s="761"/>
      <c r="AM153" s="233"/>
      <c r="AN153" s="621"/>
      <c r="AO153" s="621"/>
      <c r="AP153" s="621"/>
      <c r="AQ153" s="621"/>
      <c r="AR153" s="621"/>
      <c r="AS153" s="621"/>
      <c r="AT153" s="621"/>
      <c r="AU153" s="621"/>
      <c r="AV153" s="621"/>
      <c r="AW153" s="621"/>
      <c r="AX153" s="621"/>
      <c r="AY153" s="621"/>
      <c r="AZ153" s="621"/>
      <c r="BA153" s="621"/>
      <c r="BB153" s="621"/>
      <c r="BC153" s="621"/>
      <c r="BD153" s="621"/>
      <c r="BE153" s="621"/>
      <c r="BF153" s="621"/>
      <c r="BG153" s="621"/>
      <c r="BH153" s="621"/>
      <c r="BI153" s="233"/>
      <c r="BJ153" s="233"/>
      <c r="BK153" s="233"/>
      <c r="BL153" s="233"/>
      <c r="BM153" s="233"/>
      <c r="BN153" s="233"/>
      <c r="BO153" s="233"/>
      <c r="BP153" s="233"/>
      <c r="BQ153" s="617"/>
      <c r="BR153" s="617"/>
      <c r="BS153" s="617"/>
      <c r="BT153" s="564"/>
      <c r="BU153" s="564"/>
      <c r="BV153" s="564"/>
      <c r="BW153" s="620"/>
      <c r="BX153" s="620"/>
      <c r="BY153" s="620"/>
      <c r="BZ153" s="620"/>
      <c r="CA153" s="233"/>
      <c r="CB153" s="233"/>
      <c r="CC153" s="233"/>
      <c r="CD153" s="713"/>
      <c r="CE153" s="713"/>
      <c r="CF153" s="713"/>
      <c r="CG153" s="713"/>
      <c r="CH153" s="713"/>
      <c r="CI153" s="713"/>
      <c r="CJ153" s="316"/>
      <c r="CK153" s="768"/>
      <c r="CL153" s="769"/>
      <c r="CM153" s="769"/>
      <c r="CN153" s="769"/>
      <c r="CO153" s="769"/>
      <c r="CP153" s="769"/>
      <c r="CQ153" s="769"/>
      <c r="CR153" s="769"/>
      <c r="CS153" s="769"/>
      <c r="CT153" s="769"/>
      <c r="CU153" s="769"/>
      <c r="CV153" s="770"/>
      <c r="CW153" s="233"/>
      <c r="CX153" s="233"/>
    </row>
    <row r="154" spans="1:102" ht="9" customHeight="1">
      <c r="A154" s="233"/>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61"/>
      <c r="BB154" s="261"/>
      <c r="BC154" s="261"/>
      <c r="BD154" s="261"/>
      <c r="BE154" s="261"/>
      <c r="BF154" s="261"/>
      <c r="BG154" s="261"/>
      <c r="BH154" s="261"/>
      <c r="BI154" s="261"/>
      <c r="BJ154" s="237"/>
      <c r="BK154" s="237"/>
      <c r="BL154" s="237"/>
      <c r="BM154" s="237"/>
      <c r="BN154" s="234"/>
      <c r="BO154" s="233"/>
      <c r="BP154" s="233"/>
      <c r="BQ154" s="233"/>
      <c r="BR154" s="233"/>
      <c r="BS154" s="233"/>
      <c r="BT154" s="233"/>
      <c r="BU154" s="233"/>
      <c r="BV154" s="233"/>
      <c r="BW154" s="233"/>
      <c r="BX154" s="233"/>
      <c r="BY154" s="233"/>
      <c r="BZ154" s="233"/>
      <c r="CA154" s="233"/>
      <c r="CB154" s="233"/>
      <c r="CC154" s="233"/>
      <c r="CD154" s="233"/>
      <c r="CE154" s="233"/>
      <c r="CF154" s="261"/>
      <c r="CG154" s="261"/>
      <c r="CH154" s="261"/>
      <c r="CI154" s="261"/>
      <c r="CJ154" s="261"/>
      <c r="CK154" s="234"/>
      <c r="CL154" s="234"/>
      <c r="CM154" s="261"/>
      <c r="CN154" s="261"/>
      <c r="CO154" s="261"/>
      <c r="CP154" s="261"/>
      <c r="CQ154" s="261"/>
      <c r="CR154" s="261"/>
      <c r="CS154" s="261"/>
      <c r="CT154" s="261"/>
      <c r="CU154" s="261"/>
      <c r="CV154" s="261"/>
      <c r="CW154" s="233"/>
      <c r="CX154" s="233"/>
    </row>
    <row r="155" spans="1:102" ht="9" customHeight="1">
      <c r="A155" s="233"/>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590" t="s">
        <v>188</v>
      </c>
      <c r="AN155" s="591"/>
      <c r="AO155" s="591"/>
      <c r="AP155" s="591"/>
      <c r="AQ155" s="591"/>
      <c r="AR155" s="591"/>
      <c r="AS155" s="591"/>
      <c r="AT155" s="591"/>
      <c r="AU155" s="592"/>
      <c r="AV155" s="592"/>
      <c r="AW155" s="592"/>
      <c r="AX155" s="592"/>
      <c r="AY155" s="592"/>
      <c r="AZ155" s="592"/>
      <c r="BA155" s="592"/>
      <c r="BB155" s="592"/>
      <c r="BC155" s="592"/>
      <c r="BD155" s="592"/>
      <c r="BE155" s="592"/>
      <c r="BF155" s="592"/>
      <c r="BG155" s="592"/>
      <c r="BH155" s="293"/>
      <c r="BI155" s="594" t="s">
        <v>129</v>
      </c>
      <c r="BJ155" s="594"/>
      <c r="BK155" s="594"/>
      <c r="BL155" s="595"/>
      <c r="BM155" s="595"/>
      <c r="BN155" s="595"/>
      <c r="BO155" s="595"/>
      <c r="BP155" s="595"/>
      <c r="BQ155" s="26"/>
      <c r="BS155" s="590" t="s">
        <v>189</v>
      </c>
      <c r="BT155" s="591"/>
      <c r="BU155" s="591"/>
      <c r="BV155" s="591"/>
      <c r="BW155" s="591"/>
      <c r="BX155" s="591"/>
      <c r="BY155" s="591"/>
      <c r="BZ155" s="591"/>
      <c r="CA155" s="592"/>
      <c r="CB155" s="592"/>
      <c r="CC155" s="592"/>
      <c r="CD155" s="592"/>
      <c r="CE155" s="592"/>
      <c r="CF155" s="592"/>
      <c r="CG155" s="592"/>
      <c r="CH155" s="592"/>
      <c r="CI155" s="592"/>
      <c r="CJ155" s="592"/>
      <c r="CK155" s="592"/>
      <c r="CL155" s="592"/>
      <c r="CM155" s="592"/>
      <c r="CN155" s="293"/>
      <c r="CO155" s="594" t="s">
        <v>129</v>
      </c>
      <c r="CP155" s="594"/>
      <c r="CQ155" s="594"/>
      <c r="CR155" s="582"/>
      <c r="CS155" s="582"/>
      <c r="CT155" s="582"/>
      <c r="CU155" s="582"/>
      <c r="CV155" s="582"/>
      <c r="CW155" s="233"/>
      <c r="CX155" s="233"/>
    </row>
    <row r="156" spans="1:102" ht="9"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591"/>
      <c r="AN156" s="591"/>
      <c r="AO156" s="591"/>
      <c r="AP156" s="591"/>
      <c r="AQ156" s="591"/>
      <c r="AR156" s="591"/>
      <c r="AS156" s="591"/>
      <c r="AT156" s="591"/>
      <c r="AU156" s="593"/>
      <c r="AV156" s="593"/>
      <c r="AW156" s="593"/>
      <c r="AX156" s="593"/>
      <c r="AY156" s="593"/>
      <c r="AZ156" s="593"/>
      <c r="BA156" s="593"/>
      <c r="BB156" s="593"/>
      <c r="BC156" s="593"/>
      <c r="BD156" s="593"/>
      <c r="BE156" s="593"/>
      <c r="BF156" s="593"/>
      <c r="BG156" s="593"/>
      <c r="BH156" s="298"/>
      <c r="BI156" s="594"/>
      <c r="BJ156" s="594"/>
      <c r="BK156" s="594"/>
      <c r="BL156" s="596"/>
      <c r="BM156" s="596"/>
      <c r="BN156" s="596"/>
      <c r="BO156" s="596"/>
      <c r="BP156" s="596"/>
      <c r="BQ156" s="117"/>
      <c r="BS156" s="591"/>
      <c r="BT156" s="591"/>
      <c r="BU156" s="591"/>
      <c r="BV156" s="591"/>
      <c r="BW156" s="591"/>
      <c r="BX156" s="591"/>
      <c r="BY156" s="591"/>
      <c r="BZ156" s="591"/>
      <c r="CA156" s="593"/>
      <c r="CB156" s="593"/>
      <c r="CC156" s="593"/>
      <c r="CD156" s="593"/>
      <c r="CE156" s="593"/>
      <c r="CF156" s="593"/>
      <c r="CG156" s="593"/>
      <c r="CH156" s="593"/>
      <c r="CI156" s="593"/>
      <c r="CJ156" s="593"/>
      <c r="CK156" s="593"/>
      <c r="CL156" s="593"/>
      <c r="CM156" s="593"/>
      <c r="CN156" s="298"/>
      <c r="CO156" s="594"/>
      <c r="CP156" s="594"/>
      <c r="CQ156" s="594"/>
      <c r="CR156" s="583"/>
      <c r="CS156" s="583"/>
      <c r="CT156" s="583"/>
      <c r="CU156" s="583"/>
      <c r="CV156" s="583"/>
      <c r="CW156" s="233"/>
      <c r="CX156" s="233"/>
    </row>
    <row r="157" spans="1:102" ht="9"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73"/>
      <c r="AY157" s="273"/>
      <c r="AZ157" s="273"/>
      <c r="BA157" s="273"/>
      <c r="BB157" s="273"/>
      <c r="BC157" s="273"/>
      <c r="BD157" s="273"/>
      <c r="BE157" s="314"/>
      <c r="BF157" s="314"/>
      <c r="BG157" s="314"/>
      <c r="BH157" s="314"/>
      <c r="BI157" s="314"/>
      <c r="BJ157" s="314"/>
      <c r="BK157" s="314"/>
      <c r="BL157" s="314"/>
      <c r="BM157" s="314"/>
      <c r="BN157" s="314"/>
      <c r="BO157" s="314"/>
      <c r="BP157" s="273"/>
      <c r="BQ157" s="273"/>
      <c r="BR157" s="273"/>
      <c r="BS157" s="273"/>
      <c r="BT157" s="314"/>
      <c r="BU157" s="314"/>
      <c r="BV157" s="314"/>
      <c r="BW157" s="314"/>
      <c r="BX157" s="314"/>
      <c r="BY157" s="273"/>
      <c r="BZ157" s="273"/>
      <c r="CA157" s="273"/>
      <c r="CB157" s="273"/>
      <c r="CC157" s="273"/>
      <c r="CD157" s="273"/>
      <c r="CE157" s="273"/>
      <c r="CF157" s="273"/>
      <c r="CG157" s="314"/>
      <c r="CH157" s="314"/>
      <c r="CI157" s="314"/>
      <c r="CJ157" s="314"/>
      <c r="CK157" s="314"/>
      <c r="CL157" s="314"/>
      <c r="CM157" s="314"/>
      <c r="CN157" s="314"/>
      <c r="CO157" s="314"/>
      <c r="CP157" s="314"/>
      <c r="CQ157" s="273"/>
      <c r="CR157" s="273"/>
      <c r="CS157" s="273"/>
      <c r="CT157" s="273"/>
      <c r="CU157" s="311"/>
      <c r="CV157" s="311"/>
      <c r="CW157" s="233"/>
      <c r="CX157" s="233"/>
    </row>
    <row r="158" spans="1:102" ht="9" customHeight="1">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row>
    <row r="159" spans="1:102" ht="9" customHeight="1">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row>
    <row r="160" spans="1:102" ht="9" customHeight="1">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row>
    <row r="161" spans="1:102" ht="9" customHeight="1">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row>
    <row r="162" spans="1:102" ht="9" customHeight="1">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row>
    <row r="163" spans="45:102" ht="9" customHeight="1">
      <c r="AS163" s="200"/>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c r="CF163" s="233"/>
      <c r="CG163" s="233"/>
      <c r="CH163" s="233"/>
      <c r="CI163" s="233"/>
      <c r="CJ163" s="233"/>
      <c r="CK163" s="233"/>
      <c r="CL163" s="233"/>
      <c r="CM163" s="233"/>
      <c r="CN163" s="233"/>
      <c r="CO163" s="233"/>
      <c r="CP163" s="233"/>
      <c r="CQ163" s="233"/>
      <c r="CR163" s="233"/>
      <c r="CS163" s="233"/>
      <c r="CT163" s="233"/>
      <c r="CU163" s="233"/>
      <c r="CV163" s="233"/>
      <c r="CW163" s="233"/>
      <c r="CX163" s="233"/>
    </row>
    <row r="164" spans="45:102" ht="9" customHeight="1">
      <c r="AS164" s="201"/>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3"/>
      <c r="CK164" s="233"/>
      <c r="CL164" s="233"/>
      <c r="CM164" s="233"/>
      <c r="CN164" s="233"/>
      <c r="CO164" s="233"/>
      <c r="CP164" s="233"/>
      <c r="CQ164" s="233"/>
      <c r="CR164" s="233"/>
      <c r="CS164" s="233"/>
      <c r="CT164" s="233"/>
      <c r="CU164" s="233"/>
      <c r="CV164" s="233"/>
      <c r="CW164" s="233"/>
      <c r="CX164" s="233"/>
    </row>
    <row r="165" spans="45:102" ht="9" customHeight="1">
      <c r="AS165" s="20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233"/>
      <c r="CO165" s="233"/>
      <c r="CP165" s="233"/>
      <c r="CQ165" s="233"/>
      <c r="CR165" s="233"/>
      <c r="CS165" s="233"/>
      <c r="CT165" s="233"/>
      <c r="CU165" s="233"/>
      <c r="CV165" s="233"/>
      <c r="CW165" s="233"/>
      <c r="CX165" s="233"/>
    </row>
    <row r="166" spans="45:102" ht="9" customHeight="1">
      <c r="AS166" s="20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3"/>
      <c r="CK166" s="233"/>
      <c r="CL166" s="233"/>
      <c r="CM166" s="233"/>
      <c r="CN166" s="233"/>
      <c r="CO166" s="233"/>
      <c r="CP166" s="233"/>
      <c r="CQ166" s="233"/>
      <c r="CR166" s="233"/>
      <c r="CS166" s="233"/>
      <c r="CT166" s="233"/>
      <c r="CU166" s="233"/>
      <c r="CV166" s="233"/>
      <c r="CW166" s="233"/>
      <c r="CX166" s="233"/>
    </row>
    <row r="167" spans="45:90" ht="9" customHeight="1">
      <c r="AS167" s="204"/>
      <c r="CI167" s="38"/>
      <c r="CJ167" s="38"/>
      <c r="CK167" s="38"/>
      <c r="CL167" s="38"/>
    </row>
    <row r="168" ht="9" customHeight="1">
      <c r="AS168" s="204"/>
    </row>
    <row r="169" ht="9" customHeight="1">
      <c r="AS169" s="204"/>
    </row>
    <row r="170" ht="9" customHeight="1">
      <c r="AS170" s="204"/>
    </row>
    <row r="171" spans="1:7" ht="9" customHeight="1">
      <c r="A171" s="230"/>
      <c r="B171" s="230"/>
      <c r="C171" s="230"/>
      <c r="D171" s="230"/>
      <c r="E171" s="230"/>
      <c r="F171" s="230"/>
      <c r="G171" s="230"/>
    </row>
  </sheetData>
  <sheetProtection password="B271" sheet="1" scenarios="1"/>
  <mergeCells count="648">
    <mergeCell ref="CL4:CT4"/>
    <mergeCell ref="CL5:CT5"/>
    <mergeCell ref="AU120:AX121"/>
    <mergeCell ref="BY41:CD42"/>
    <mergeCell ref="CE41:CJ42"/>
    <mergeCell ref="BZ77:CB78"/>
    <mergeCell ref="AX17:BF18"/>
    <mergeCell ref="BY43:CD44"/>
    <mergeCell ref="BP29:BX30"/>
    <mergeCell ref="AX27:BX28"/>
    <mergeCell ref="AQ134:AT135"/>
    <mergeCell ref="AQ132:AT133"/>
    <mergeCell ref="AU132:AX133"/>
    <mergeCell ref="AU134:AX135"/>
    <mergeCell ref="AU146:AX147"/>
    <mergeCell ref="AN148:BJ149"/>
    <mergeCell ref="BL142:BQ142"/>
    <mergeCell ref="AQ136:AT137"/>
    <mergeCell ref="AQ142:AT143"/>
    <mergeCell ref="BL143:BQ143"/>
    <mergeCell ref="AM136:AP137"/>
    <mergeCell ref="AM138:AP139"/>
    <mergeCell ref="AQ140:AT141"/>
    <mergeCell ref="AQ138:AT139"/>
    <mergeCell ref="AX29:BO30"/>
    <mergeCell ref="BY27:CD28"/>
    <mergeCell ref="CJ84:CO85"/>
    <mergeCell ref="BR66:BX67"/>
    <mergeCell ref="AX45:BX46"/>
    <mergeCell ref="BY45:CD46"/>
    <mergeCell ref="CE45:CJ46"/>
    <mergeCell ref="CI66:CP69"/>
    <mergeCell ref="BL49:CE50"/>
    <mergeCell ref="CD63:CR64"/>
    <mergeCell ref="BI75:BN76"/>
    <mergeCell ref="BU82:CB83"/>
    <mergeCell ref="AE134:AH135"/>
    <mergeCell ref="AM134:AP135"/>
    <mergeCell ref="AU130:AX131"/>
    <mergeCell ref="AU122:AX123"/>
    <mergeCell ref="AU126:AX127"/>
    <mergeCell ref="AQ122:AT123"/>
    <mergeCell ref="AQ126:AT127"/>
    <mergeCell ref="AQ130:AT131"/>
    <mergeCell ref="AI126:AL127"/>
    <mergeCell ref="AQ128:AT129"/>
    <mergeCell ref="BH55:BO56"/>
    <mergeCell ref="BH57:BO58"/>
    <mergeCell ref="BH61:BO62"/>
    <mergeCell ref="BH59:BO60"/>
    <mergeCell ref="AQ104:AT105"/>
    <mergeCell ref="AU104:AX105"/>
    <mergeCell ref="AI104:AL105"/>
    <mergeCell ref="AM104:AP105"/>
    <mergeCell ref="CD152:CI153"/>
    <mergeCell ref="BO129:CV130"/>
    <mergeCell ref="AZ129:BN130"/>
    <mergeCell ref="AN152:BH153"/>
    <mergeCell ref="AM130:AP131"/>
    <mergeCell ref="CD134:CV135"/>
    <mergeCell ref="CK146:CV147"/>
    <mergeCell ref="BR140:BW141"/>
    <mergeCell ref="AN150:BK151"/>
    <mergeCell ref="AU128:AX129"/>
    <mergeCell ref="CD146:CJ147"/>
    <mergeCell ref="BX148:CC149"/>
    <mergeCell ref="CK148:CV149"/>
    <mergeCell ref="AZ127:BN128"/>
    <mergeCell ref="BR138:BW139"/>
    <mergeCell ref="BL140:BQ141"/>
    <mergeCell ref="BL138:BQ139"/>
    <mergeCell ref="BR134:BW137"/>
    <mergeCell ref="BL134:BQ137"/>
    <mergeCell ref="BO127:CV128"/>
    <mergeCell ref="BL144:BQ145"/>
    <mergeCell ref="BR148:BW149"/>
    <mergeCell ref="BL150:BQ151"/>
    <mergeCell ref="BL148:BQ149"/>
    <mergeCell ref="BL146:BQ147"/>
    <mergeCell ref="CL34:CU35"/>
    <mergeCell ref="CD55:CR56"/>
    <mergeCell ref="BR150:BW151"/>
    <mergeCell ref="BR144:BW145"/>
    <mergeCell ref="BR146:BW147"/>
    <mergeCell ref="CD143:CJ143"/>
    <mergeCell ref="CK144:CV145"/>
    <mergeCell ref="CD148:CJ149"/>
    <mergeCell ref="BX144:CC145"/>
    <mergeCell ref="CD144:CJ145"/>
    <mergeCell ref="CE39:CJ40"/>
    <mergeCell ref="CE43:CJ44"/>
    <mergeCell ref="CL44:CU45"/>
    <mergeCell ref="CL38:CU39"/>
    <mergeCell ref="CL40:CU41"/>
    <mergeCell ref="AR41:AT43"/>
    <mergeCell ref="C7:K8"/>
    <mergeCell ref="C9:K10"/>
    <mergeCell ref="C11:K12"/>
    <mergeCell ref="L7:AP8"/>
    <mergeCell ref="L9:AP10"/>
    <mergeCell ref="L11:AP12"/>
    <mergeCell ref="L13:AP14"/>
    <mergeCell ref="C13:K14"/>
    <mergeCell ref="D17:AO20"/>
    <mergeCell ref="Z98:AD99"/>
    <mergeCell ref="AE98:AH99"/>
    <mergeCell ref="Z100:AD101"/>
    <mergeCell ref="AI100:AL101"/>
    <mergeCell ref="AI98:AL99"/>
    <mergeCell ref="AU124:AX125"/>
    <mergeCell ref="AQ118:AT119"/>
    <mergeCell ref="AU118:AX119"/>
    <mergeCell ref="N136:Q137"/>
    <mergeCell ref="R136:U137"/>
    <mergeCell ref="V136:Y137"/>
    <mergeCell ref="Z124:AD125"/>
    <mergeCell ref="Z126:AD127"/>
    <mergeCell ref="Z130:AD131"/>
    <mergeCell ref="R134:U135"/>
    <mergeCell ref="V134:Y135"/>
    <mergeCell ref="N130:Q131"/>
    <mergeCell ref="AU138:AX139"/>
    <mergeCell ref="AI136:AL137"/>
    <mergeCell ref="N138:Q139"/>
    <mergeCell ref="V138:Y139"/>
    <mergeCell ref="Z138:AD139"/>
    <mergeCell ref="AE138:AH139"/>
    <mergeCell ref="R138:U139"/>
    <mergeCell ref="AE136:AH137"/>
    <mergeCell ref="A136:E137"/>
    <mergeCell ref="F136:I137"/>
    <mergeCell ref="J136:M137"/>
    <mergeCell ref="A138:E139"/>
    <mergeCell ref="F138:I139"/>
    <mergeCell ref="J138:M139"/>
    <mergeCell ref="A140:E141"/>
    <mergeCell ref="F140:I141"/>
    <mergeCell ref="J140:M141"/>
    <mergeCell ref="N140:Q141"/>
    <mergeCell ref="AX7:CJ8"/>
    <mergeCell ref="CK150:CV151"/>
    <mergeCell ref="AU142:AX143"/>
    <mergeCell ref="AU140:AX141"/>
    <mergeCell ref="AU136:AX137"/>
    <mergeCell ref="CD137:CJ137"/>
    <mergeCell ref="CK142:CV143"/>
    <mergeCell ref="CD142:CJ142"/>
    <mergeCell ref="AU144:AX145"/>
    <mergeCell ref="CK136:CV136"/>
    <mergeCell ref="CK152:CV153"/>
    <mergeCell ref="BN132:CV133"/>
    <mergeCell ref="CK140:CV141"/>
    <mergeCell ref="BR142:BW143"/>
    <mergeCell ref="BX142:CC143"/>
    <mergeCell ref="BX146:CC147"/>
    <mergeCell ref="BX140:CC141"/>
    <mergeCell ref="CD150:CJ151"/>
    <mergeCell ref="BX150:CC151"/>
    <mergeCell ref="CK138:CV139"/>
    <mergeCell ref="AI152:AL153"/>
    <mergeCell ref="N148:AH149"/>
    <mergeCell ref="N150:AH151"/>
    <mergeCell ref="AI150:AL151"/>
    <mergeCell ref="N152:AH153"/>
    <mergeCell ref="AI148:AL149"/>
    <mergeCell ref="AI146:AL147"/>
    <mergeCell ref="AM144:AP145"/>
    <mergeCell ref="AQ144:AT145"/>
    <mergeCell ref="AI144:AL145"/>
    <mergeCell ref="AM146:AP147"/>
    <mergeCell ref="AQ146:AT147"/>
    <mergeCell ref="V142:Y143"/>
    <mergeCell ref="Z142:AD143"/>
    <mergeCell ref="AE142:AH143"/>
    <mergeCell ref="A142:E143"/>
    <mergeCell ref="F142:I143"/>
    <mergeCell ref="J142:M143"/>
    <mergeCell ref="N142:Q143"/>
    <mergeCell ref="R142:U143"/>
    <mergeCell ref="F146:I147"/>
    <mergeCell ref="J146:M147"/>
    <mergeCell ref="A144:E145"/>
    <mergeCell ref="F144:I145"/>
    <mergeCell ref="J144:M145"/>
    <mergeCell ref="A147:E147"/>
    <mergeCell ref="A146:E146"/>
    <mergeCell ref="R144:U145"/>
    <mergeCell ref="Z144:AD145"/>
    <mergeCell ref="J152:M153"/>
    <mergeCell ref="J148:M149"/>
    <mergeCell ref="J150:M151"/>
    <mergeCell ref="N144:Q145"/>
    <mergeCell ref="Z146:AD146"/>
    <mergeCell ref="Z147:AD147"/>
    <mergeCell ref="CK137:CV137"/>
    <mergeCell ref="N146:Q147"/>
    <mergeCell ref="V144:Y145"/>
    <mergeCell ref="AE144:AH145"/>
    <mergeCell ref="R140:U141"/>
    <mergeCell ref="V140:Y141"/>
    <mergeCell ref="Z140:AD141"/>
    <mergeCell ref="R146:U147"/>
    <mergeCell ref="V146:Y147"/>
    <mergeCell ref="AE146:AH147"/>
    <mergeCell ref="Z122:AD123"/>
    <mergeCell ref="AE126:AH127"/>
    <mergeCell ref="Z128:AD129"/>
    <mergeCell ref="AE128:AH129"/>
    <mergeCell ref="AE124:AH125"/>
    <mergeCell ref="AE122:AH123"/>
    <mergeCell ref="AE130:AH131"/>
    <mergeCell ref="Z132:AD133"/>
    <mergeCell ref="AM132:AP133"/>
    <mergeCell ref="AI132:AL133"/>
    <mergeCell ref="AE132:AH133"/>
    <mergeCell ref="AI130:AL131"/>
    <mergeCell ref="Z118:AD119"/>
    <mergeCell ref="AE118:AH119"/>
    <mergeCell ref="Z120:AD121"/>
    <mergeCell ref="AE120:AH121"/>
    <mergeCell ref="Z136:AD137"/>
    <mergeCell ref="Z134:AD135"/>
    <mergeCell ref="AI142:AL143"/>
    <mergeCell ref="AI138:AL139"/>
    <mergeCell ref="AE140:AH141"/>
    <mergeCell ref="AI140:AL141"/>
    <mergeCell ref="AM142:AP143"/>
    <mergeCell ref="AM140:AP141"/>
    <mergeCell ref="AI118:AL119"/>
    <mergeCell ref="AM118:AP119"/>
    <mergeCell ref="AI134:AL135"/>
    <mergeCell ref="AI128:AL129"/>
    <mergeCell ref="AM128:AP129"/>
    <mergeCell ref="AM126:AP127"/>
    <mergeCell ref="AI120:AL121"/>
    <mergeCell ref="AM120:AP121"/>
    <mergeCell ref="AQ120:AT121"/>
    <mergeCell ref="AI122:AL123"/>
    <mergeCell ref="AM122:AP123"/>
    <mergeCell ref="AQ124:AT125"/>
    <mergeCell ref="AI124:AL125"/>
    <mergeCell ref="AM124:AP125"/>
    <mergeCell ref="AU116:AX117"/>
    <mergeCell ref="AI116:AL117"/>
    <mergeCell ref="AM116:AP117"/>
    <mergeCell ref="AE114:AH115"/>
    <mergeCell ref="AM114:AP115"/>
    <mergeCell ref="AQ114:AT115"/>
    <mergeCell ref="AU114:AX115"/>
    <mergeCell ref="AQ116:AT117"/>
    <mergeCell ref="Z116:AD117"/>
    <mergeCell ref="AE116:AH117"/>
    <mergeCell ref="AI114:AL115"/>
    <mergeCell ref="Z114:AD115"/>
    <mergeCell ref="AQ110:AT111"/>
    <mergeCell ref="AU110:AX111"/>
    <mergeCell ref="AQ112:AT113"/>
    <mergeCell ref="AU112:AX113"/>
    <mergeCell ref="Z112:AD113"/>
    <mergeCell ref="AE112:AH113"/>
    <mergeCell ref="AI112:AL113"/>
    <mergeCell ref="AM112:AP113"/>
    <mergeCell ref="AI108:AL109"/>
    <mergeCell ref="AM108:AP109"/>
    <mergeCell ref="Z110:AD111"/>
    <mergeCell ref="AE110:AH111"/>
    <mergeCell ref="AI110:AL111"/>
    <mergeCell ref="AM110:AP111"/>
    <mergeCell ref="AQ106:AT107"/>
    <mergeCell ref="AU106:AX107"/>
    <mergeCell ref="AQ108:AT109"/>
    <mergeCell ref="AU108:AX109"/>
    <mergeCell ref="AE96:AH97"/>
    <mergeCell ref="AI96:AL97"/>
    <mergeCell ref="AM96:AP97"/>
    <mergeCell ref="AI106:AL107"/>
    <mergeCell ref="AM106:AP107"/>
    <mergeCell ref="AM100:AP101"/>
    <mergeCell ref="AM98:AP99"/>
    <mergeCell ref="AQ96:AT97"/>
    <mergeCell ref="AU96:AX97"/>
    <mergeCell ref="AI102:AL103"/>
    <mergeCell ref="AM102:AP103"/>
    <mergeCell ref="AU100:AX101"/>
    <mergeCell ref="AQ98:AT99"/>
    <mergeCell ref="AU98:AX99"/>
    <mergeCell ref="AU102:AX103"/>
    <mergeCell ref="AQ100:AT101"/>
    <mergeCell ref="AQ102:AT103"/>
    <mergeCell ref="AQ92:AT93"/>
    <mergeCell ref="AU92:AX93"/>
    <mergeCell ref="AI94:AL95"/>
    <mergeCell ref="AM94:AP95"/>
    <mergeCell ref="AQ94:AT95"/>
    <mergeCell ref="AU94:AX95"/>
    <mergeCell ref="AI92:AL93"/>
    <mergeCell ref="AM92:AP93"/>
    <mergeCell ref="Z92:AD93"/>
    <mergeCell ref="AE92:AH93"/>
    <mergeCell ref="Z104:AD105"/>
    <mergeCell ref="AE104:AH105"/>
    <mergeCell ref="Z102:AD103"/>
    <mergeCell ref="AE102:AH103"/>
    <mergeCell ref="Z94:AD95"/>
    <mergeCell ref="AE94:AH95"/>
    <mergeCell ref="AE100:AH101"/>
    <mergeCell ref="Z96:AD97"/>
    <mergeCell ref="Z106:AD107"/>
    <mergeCell ref="AE106:AH107"/>
    <mergeCell ref="Z108:AD109"/>
    <mergeCell ref="AE108:AH109"/>
    <mergeCell ref="A134:E135"/>
    <mergeCell ref="F134:I135"/>
    <mergeCell ref="J134:M135"/>
    <mergeCell ref="N134:Q135"/>
    <mergeCell ref="A132:E133"/>
    <mergeCell ref="F132:I133"/>
    <mergeCell ref="J132:M133"/>
    <mergeCell ref="N132:Q133"/>
    <mergeCell ref="R128:U129"/>
    <mergeCell ref="V128:Y129"/>
    <mergeCell ref="V130:Y131"/>
    <mergeCell ref="A128:E129"/>
    <mergeCell ref="F128:I129"/>
    <mergeCell ref="J128:M129"/>
    <mergeCell ref="N128:Q129"/>
    <mergeCell ref="F130:I131"/>
    <mergeCell ref="J130:M131"/>
    <mergeCell ref="J124:M125"/>
    <mergeCell ref="N124:Q125"/>
    <mergeCell ref="J122:M123"/>
    <mergeCell ref="R126:U127"/>
    <mergeCell ref="A122:E123"/>
    <mergeCell ref="F122:I123"/>
    <mergeCell ref="A124:E125"/>
    <mergeCell ref="F124:I125"/>
    <mergeCell ref="N118:Q119"/>
    <mergeCell ref="R122:U123"/>
    <mergeCell ref="V122:Y123"/>
    <mergeCell ref="A120:E121"/>
    <mergeCell ref="F120:I121"/>
    <mergeCell ref="J120:M121"/>
    <mergeCell ref="N120:Q121"/>
    <mergeCell ref="V120:Y121"/>
    <mergeCell ref="R118:U119"/>
    <mergeCell ref="V118:Y119"/>
    <mergeCell ref="J114:M115"/>
    <mergeCell ref="A118:E119"/>
    <mergeCell ref="F118:I119"/>
    <mergeCell ref="J118:M119"/>
    <mergeCell ref="F114:I115"/>
    <mergeCell ref="A116:E117"/>
    <mergeCell ref="F116:I117"/>
    <mergeCell ref="J116:M117"/>
    <mergeCell ref="A114:E115"/>
    <mergeCell ref="N116:Q117"/>
    <mergeCell ref="R110:U111"/>
    <mergeCell ref="V110:Y111"/>
    <mergeCell ref="R112:U113"/>
    <mergeCell ref="R116:U117"/>
    <mergeCell ref="V116:Y117"/>
    <mergeCell ref="V112:Y113"/>
    <mergeCell ref="R114:U115"/>
    <mergeCell ref="V114:Y115"/>
    <mergeCell ref="N114:Q115"/>
    <mergeCell ref="A112:E113"/>
    <mergeCell ref="F112:I113"/>
    <mergeCell ref="J112:M113"/>
    <mergeCell ref="N112:Q113"/>
    <mergeCell ref="N108:Q109"/>
    <mergeCell ref="J106:M107"/>
    <mergeCell ref="A110:E111"/>
    <mergeCell ref="F110:I111"/>
    <mergeCell ref="J110:M111"/>
    <mergeCell ref="N110:Q111"/>
    <mergeCell ref="F106:I107"/>
    <mergeCell ref="F108:I109"/>
    <mergeCell ref="N106:Q107"/>
    <mergeCell ref="J108:M109"/>
    <mergeCell ref="A108:E109"/>
    <mergeCell ref="R102:U103"/>
    <mergeCell ref="V102:Y103"/>
    <mergeCell ref="R104:U105"/>
    <mergeCell ref="R108:U109"/>
    <mergeCell ref="V108:Y109"/>
    <mergeCell ref="R106:U107"/>
    <mergeCell ref="V104:Y105"/>
    <mergeCell ref="V106:Y107"/>
    <mergeCell ref="N102:Q103"/>
    <mergeCell ref="A104:E105"/>
    <mergeCell ref="F104:I105"/>
    <mergeCell ref="J104:M105"/>
    <mergeCell ref="N104:Q105"/>
    <mergeCell ref="A106:E107"/>
    <mergeCell ref="J98:M99"/>
    <mergeCell ref="A102:E103"/>
    <mergeCell ref="F102:I103"/>
    <mergeCell ref="J102:M103"/>
    <mergeCell ref="F98:I99"/>
    <mergeCell ref="F100:I101"/>
    <mergeCell ref="J100:M101"/>
    <mergeCell ref="A100:E101"/>
    <mergeCell ref="A98:E99"/>
    <mergeCell ref="N100:Q101"/>
    <mergeCell ref="R94:U95"/>
    <mergeCell ref="V94:Y95"/>
    <mergeCell ref="R96:U97"/>
    <mergeCell ref="R100:U101"/>
    <mergeCell ref="V100:Y101"/>
    <mergeCell ref="R98:U99"/>
    <mergeCell ref="V96:Y97"/>
    <mergeCell ref="V98:Y99"/>
    <mergeCell ref="N98:Q99"/>
    <mergeCell ref="A96:E97"/>
    <mergeCell ref="F96:I97"/>
    <mergeCell ref="J96:M97"/>
    <mergeCell ref="N96:Q97"/>
    <mergeCell ref="A94:E95"/>
    <mergeCell ref="F94:I95"/>
    <mergeCell ref="J94:M95"/>
    <mergeCell ref="N94:Q95"/>
    <mergeCell ref="J92:M93"/>
    <mergeCell ref="N92:Q93"/>
    <mergeCell ref="F90:I91"/>
    <mergeCell ref="A90:E90"/>
    <mergeCell ref="A91:E91"/>
    <mergeCell ref="A92:E93"/>
    <mergeCell ref="F92:I93"/>
    <mergeCell ref="CS87:CV88"/>
    <mergeCell ref="BH87:BK88"/>
    <mergeCell ref="CP101:CR102"/>
    <mergeCell ref="CB101:CD102"/>
    <mergeCell ref="CI101:CK102"/>
    <mergeCell ref="BT93:BV94"/>
    <mergeCell ref="CS101:CT102"/>
    <mergeCell ref="BP101:BS102"/>
    <mergeCell ref="CL101:CM102"/>
    <mergeCell ref="BP87:BS88"/>
    <mergeCell ref="CL87:CO88"/>
    <mergeCell ref="AU87:AX89"/>
    <mergeCell ref="BD55:BG56"/>
    <mergeCell ref="BJ63:BM64"/>
    <mergeCell ref="BP55:CC56"/>
    <mergeCell ref="BP57:CC58"/>
    <mergeCell ref="CD59:CR60"/>
    <mergeCell ref="AG79:AW80"/>
    <mergeCell ref="AF66:AJ67"/>
    <mergeCell ref="CD57:CR58"/>
    <mergeCell ref="BP52:CC54"/>
    <mergeCell ref="CD52:CR54"/>
    <mergeCell ref="BP51:CR51"/>
    <mergeCell ref="AX47:BX48"/>
    <mergeCell ref="CL46:CV47"/>
    <mergeCell ref="CE47:CJ48"/>
    <mergeCell ref="AX51:BC54"/>
    <mergeCell ref="AX39:BX40"/>
    <mergeCell ref="BP31:BX32"/>
    <mergeCell ref="CE21:CJ22"/>
    <mergeCell ref="BY47:CD48"/>
    <mergeCell ref="CE29:CG30"/>
    <mergeCell ref="BY39:CD40"/>
    <mergeCell ref="BY21:CD22"/>
    <mergeCell ref="AX23:BX24"/>
    <mergeCell ref="AX37:BX38"/>
    <mergeCell ref="BY23:CD24"/>
    <mergeCell ref="CE27:CJ28"/>
    <mergeCell ref="CE25:CJ26"/>
    <mergeCell ref="BY25:CD26"/>
    <mergeCell ref="CM31:CS32"/>
    <mergeCell ref="CL29:CV30"/>
    <mergeCell ref="BY29:CA30"/>
    <mergeCell ref="CB29:CD30"/>
    <mergeCell ref="BY31:CA32"/>
    <mergeCell ref="CH29:CJ30"/>
    <mergeCell ref="CH31:CJ32"/>
    <mergeCell ref="AX9:BX10"/>
    <mergeCell ref="AX11:BX12"/>
    <mergeCell ref="CE19:CJ20"/>
    <mergeCell ref="CE9:CJ10"/>
    <mergeCell ref="BY13:CD14"/>
    <mergeCell ref="CE13:CJ14"/>
    <mergeCell ref="CE11:CJ12"/>
    <mergeCell ref="BY11:CD12"/>
    <mergeCell ref="BY9:CD10"/>
    <mergeCell ref="BJ17:BR18"/>
    <mergeCell ref="AX19:BX20"/>
    <mergeCell ref="AZ70:BA71"/>
    <mergeCell ref="BP33:BX34"/>
    <mergeCell ref="AX41:BX42"/>
    <mergeCell ref="AX43:BX44"/>
    <mergeCell ref="AX21:BX22"/>
    <mergeCell ref="AX35:BX36"/>
    <mergeCell ref="BH51:BO54"/>
    <mergeCell ref="AX25:BX26"/>
    <mergeCell ref="BP59:CC60"/>
    <mergeCell ref="AX13:BX14"/>
    <mergeCell ref="AX15:BX16"/>
    <mergeCell ref="BH17:BI18"/>
    <mergeCell ref="CE23:CJ24"/>
    <mergeCell ref="BY19:CD20"/>
    <mergeCell ref="BG17:BG18"/>
    <mergeCell ref="CE15:CJ16"/>
    <mergeCell ref="CE17:CJ18"/>
    <mergeCell ref="BY17:CD18"/>
    <mergeCell ref="BY15:CD16"/>
    <mergeCell ref="BY35:CD36"/>
    <mergeCell ref="BY37:CD38"/>
    <mergeCell ref="BY33:CA34"/>
    <mergeCell ref="CE37:CJ38"/>
    <mergeCell ref="CE35:CJ36"/>
    <mergeCell ref="CB33:CD34"/>
    <mergeCell ref="CB31:CD32"/>
    <mergeCell ref="CE31:CG32"/>
    <mergeCell ref="CE33:CG34"/>
    <mergeCell ref="CH33:CJ34"/>
    <mergeCell ref="CE105:CI106"/>
    <mergeCell ref="BP123:BS124"/>
    <mergeCell ref="BX138:CC139"/>
    <mergeCell ref="CD138:CJ139"/>
    <mergeCell ref="CD136:CJ136"/>
    <mergeCell ref="BX134:CC137"/>
    <mergeCell ref="BT123:BU124"/>
    <mergeCell ref="CE123:CF124"/>
    <mergeCell ref="BP109:BS110"/>
    <mergeCell ref="CO73:CP74"/>
    <mergeCell ref="CQ69:CR70"/>
    <mergeCell ref="BP63:CB64"/>
    <mergeCell ref="CD61:CR62"/>
    <mergeCell ref="CI123:CK124"/>
    <mergeCell ref="BM70:BN71"/>
    <mergeCell ref="BP61:CC62"/>
    <mergeCell ref="BJ66:BQ67"/>
    <mergeCell ref="BZ66:CH67"/>
    <mergeCell ref="CE101:CF102"/>
    <mergeCell ref="CE84:CI85"/>
    <mergeCell ref="CE87:CH88"/>
    <mergeCell ref="BT101:BU102"/>
    <mergeCell ref="BX87:CA88"/>
    <mergeCell ref="F84:Q85"/>
    <mergeCell ref="H87:P89"/>
    <mergeCell ref="CS123:CT124"/>
    <mergeCell ref="BX115:BY116"/>
    <mergeCell ref="CS109:CV110"/>
    <mergeCell ref="CP123:CR124"/>
    <mergeCell ref="CL109:CO110"/>
    <mergeCell ref="BX109:CA110"/>
    <mergeCell ref="CE109:CH110"/>
    <mergeCell ref="CB123:CD124"/>
    <mergeCell ref="AU82:BA83"/>
    <mergeCell ref="AU90:AX91"/>
    <mergeCell ref="V90:Y91"/>
    <mergeCell ref="AQ90:AT91"/>
    <mergeCell ref="AQ87:AT89"/>
    <mergeCell ref="AE90:AH91"/>
    <mergeCell ref="AI90:AL91"/>
    <mergeCell ref="AM90:AP91"/>
    <mergeCell ref="AH87:AN89"/>
    <mergeCell ref="V87:Y89"/>
    <mergeCell ref="AK68:AR69"/>
    <mergeCell ref="AQ84:AT85"/>
    <mergeCell ref="A130:E131"/>
    <mergeCell ref="N122:Q123"/>
    <mergeCell ref="A126:E127"/>
    <mergeCell ref="F126:I127"/>
    <mergeCell ref="J126:M127"/>
    <mergeCell ref="N126:Q127"/>
    <mergeCell ref="AF68:AJ69"/>
    <mergeCell ref="L70:AB71"/>
    <mergeCell ref="L72:AB73"/>
    <mergeCell ref="R87:U89"/>
    <mergeCell ref="R90:U91"/>
    <mergeCell ref="AE84:AP85"/>
    <mergeCell ref="F79:X80"/>
    <mergeCell ref="Z90:AD90"/>
    <mergeCell ref="Z91:AD91"/>
    <mergeCell ref="J90:M91"/>
    <mergeCell ref="N90:Q91"/>
    <mergeCell ref="Z88:AD89"/>
    <mergeCell ref="R132:U133"/>
    <mergeCell ref="V132:Y133"/>
    <mergeCell ref="R130:U131"/>
    <mergeCell ref="Z79:AF80"/>
    <mergeCell ref="R92:U93"/>
    <mergeCell ref="V92:Y93"/>
    <mergeCell ref="R120:U121"/>
    <mergeCell ref="R124:U125"/>
    <mergeCell ref="V124:Y125"/>
    <mergeCell ref="V126:Y127"/>
    <mergeCell ref="AK72:AR73"/>
    <mergeCell ref="AX55:BB56"/>
    <mergeCell ref="AX59:BB60"/>
    <mergeCell ref="AX57:BB58"/>
    <mergeCell ref="AK66:AR67"/>
    <mergeCell ref="AX61:BB62"/>
    <mergeCell ref="AX63:BH64"/>
    <mergeCell ref="BF67:BH68"/>
    <mergeCell ref="BD57:BG58"/>
    <mergeCell ref="AK70:AR71"/>
    <mergeCell ref="F63:Q64"/>
    <mergeCell ref="R82:AF83"/>
    <mergeCell ref="C66:K67"/>
    <mergeCell ref="A88:E89"/>
    <mergeCell ref="AF72:AJ73"/>
    <mergeCell ref="L68:AB69"/>
    <mergeCell ref="R84:U85"/>
    <mergeCell ref="L66:AB67"/>
    <mergeCell ref="C68:K69"/>
    <mergeCell ref="C70:K71"/>
    <mergeCell ref="CI79:CV80"/>
    <mergeCell ref="C4:G4"/>
    <mergeCell ref="C5:G5"/>
    <mergeCell ref="BD59:BG60"/>
    <mergeCell ref="BD61:BG62"/>
    <mergeCell ref="AF70:AJ71"/>
    <mergeCell ref="C72:K73"/>
    <mergeCell ref="A79:E80"/>
    <mergeCell ref="O4:S4"/>
    <mergeCell ref="AP4:BG5"/>
    <mergeCell ref="BA105:BH106"/>
    <mergeCell ref="BI105:BL106"/>
    <mergeCell ref="BE123:BG124"/>
    <mergeCell ref="BA84:BH85"/>
    <mergeCell ref="BA109:BD110"/>
    <mergeCell ref="BH109:BK110"/>
    <mergeCell ref="BE101:BG102"/>
    <mergeCell ref="BA87:BD88"/>
    <mergeCell ref="BH101:BI102"/>
    <mergeCell ref="BH123:BI124"/>
    <mergeCell ref="BS155:BZ156"/>
    <mergeCell ref="CA155:CM156"/>
    <mergeCell ref="CO155:CQ156"/>
    <mergeCell ref="BI84:BL85"/>
    <mergeCell ref="BX93:BY94"/>
    <mergeCell ref="BT115:BV116"/>
    <mergeCell ref="CL123:CM124"/>
    <mergeCell ref="CD140:CJ141"/>
    <mergeCell ref="BQ152:BV153"/>
    <mergeCell ref="BW152:BZ153"/>
    <mergeCell ref="CM27:CQ28"/>
    <mergeCell ref="CL25:CV26"/>
    <mergeCell ref="CR155:CV156"/>
    <mergeCell ref="Y63:AE64"/>
    <mergeCell ref="AF63:AK64"/>
    <mergeCell ref="CJ105:CO106"/>
    <mergeCell ref="AM155:AT156"/>
    <mergeCell ref="AU155:BG156"/>
    <mergeCell ref="BI155:BK156"/>
    <mergeCell ref="BL155:BP156"/>
  </mergeCells>
  <printOptions/>
  <pageMargins left="0.41" right="0.16" top="0.31" bottom="0.25" header="0.27" footer="0.2"/>
  <pageSetup blackAndWhite="1" horizontalDpi="600" verticalDpi="600" orientation="landscape" scale="81" r:id="rId2"/>
  <rowBreaks count="1" manualBreakCount="1">
    <brk id="78" max="255" man="1"/>
  </rowBreaks>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2:CW321"/>
  <sheetViews>
    <sheetView workbookViewId="0" topLeftCell="A1">
      <selection activeCell="D122" sqref="D122"/>
    </sheetView>
  </sheetViews>
  <sheetFormatPr defaultColWidth="9.140625" defaultRowHeight="12.75"/>
  <cols>
    <col min="1" max="1" width="11.57421875" style="51" bestFit="1" customWidth="1"/>
    <col min="2" max="16384" width="8.00390625" style="51" customWidth="1"/>
  </cols>
  <sheetData>
    <row r="2" spans="1:39" ht="12.75">
      <c r="A2" s="50" t="s">
        <v>151</v>
      </c>
      <c r="K2" s="6"/>
      <c r="O2" s="6"/>
      <c r="S2" s="6"/>
      <c r="W2" s="6"/>
      <c r="AA2" s="6"/>
      <c r="AE2" s="6"/>
      <c r="AI2" s="6"/>
      <c r="AM2" s="6"/>
    </row>
    <row r="3" spans="1:40" ht="12.75">
      <c r="A3" s="5" t="s">
        <v>44</v>
      </c>
      <c r="B3" s="6">
        <v>2</v>
      </c>
      <c r="C3" s="6">
        <v>5</v>
      </c>
      <c r="D3" s="6">
        <v>10</v>
      </c>
      <c r="E3" s="6">
        <v>25</v>
      </c>
      <c r="F3" s="6">
        <v>50</v>
      </c>
      <c r="G3" s="6">
        <v>100</v>
      </c>
      <c r="H3" s="5" t="s">
        <v>45</v>
      </c>
      <c r="I3" s="51" t="s">
        <v>152</v>
      </c>
      <c r="J3" s="7" t="s">
        <v>43</v>
      </c>
      <c r="K3" s="6"/>
      <c r="L3" s="6"/>
      <c r="M3" s="5"/>
      <c r="N3" s="6"/>
      <c r="O3" s="6"/>
      <c r="P3" s="6"/>
      <c r="Q3" s="5"/>
      <c r="R3" s="6"/>
      <c r="S3" s="6"/>
      <c r="T3" s="6"/>
      <c r="U3" s="5"/>
      <c r="V3" s="6"/>
      <c r="W3" s="6"/>
      <c r="X3" s="6"/>
      <c r="Y3" s="5"/>
      <c r="Z3" s="6"/>
      <c r="AA3" s="6"/>
      <c r="AB3" s="6"/>
      <c r="AC3" s="5"/>
      <c r="AD3" s="6"/>
      <c r="AE3" s="6"/>
      <c r="AF3" s="6"/>
      <c r="AG3" s="5"/>
      <c r="AH3" s="6"/>
      <c r="AI3" s="6"/>
      <c r="AJ3" s="6"/>
      <c r="AK3" s="5"/>
      <c r="AL3" s="6"/>
      <c r="AM3" s="6"/>
      <c r="AN3" s="6"/>
    </row>
    <row r="4" spans="1:40" ht="12.75">
      <c r="A4" s="6">
        <v>1</v>
      </c>
      <c r="B4" s="6">
        <v>2</v>
      </c>
      <c r="C4" s="6">
        <v>3</v>
      </c>
      <c r="D4" s="6">
        <v>4</v>
      </c>
      <c r="E4" s="6">
        <v>5</v>
      </c>
      <c r="F4" s="6">
        <v>6</v>
      </c>
      <c r="G4" s="6">
        <v>7</v>
      </c>
      <c r="H4" s="6">
        <v>8</v>
      </c>
      <c r="I4" s="51" t="s">
        <v>153</v>
      </c>
      <c r="J4" s="7" t="s">
        <v>46</v>
      </c>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0" ht="12.75">
      <c r="A5" s="6" t="s">
        <v>47</v>
      </c>
      <c r="B5" s="8">
        <v>3.8</v>
      </c>
      <c r="C5" s="8">
        <v>4.9</v>
      </c>
      <c r="D5" s="8">
        <v>5.7</v>
      </c>
      <c r="E5" s="8">
        <v>6.6</v>
      </c>
      <c r="F5" s="8">
        <v>7.3</v>
      </c>
      <c r="G5" s="8">
        <v>8.3</v>
      </c>
      <c r="H5" s="8">
        <v>37.3</v>
      </c>
      <c r="I5" s="51">
        <v>240</v>
      </c>
      <c r="J5" s="9">
        <v>1</v>
      </c>
      <c r="K5" s="52"/>
      <c r="L5"/>
      <c r="M5"/>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row>
    <row r="6" spans="1:40" ht="12.75">
      <c r="A6" s="6" t="s">
        <v>48</v>
      </c>
      <c r="B6" s="8">
        <v>3.7</v>
      </c>
      <c r="C6" s="8">
        <v>4.8</v>
      </c>
      <c r="D6" s="8">
        <v>5.6</v>
      </c>
      <c r="E6" s="8">
        <v>6.5</v>
      </c>
      <c r="F6" s="8">
        <v>7.2</v>
      </c>
      <c r="G6" s="8">
        <v>8.2</v>
      </c>
      <c r="H6" s="8">
        <v>41.7</v>
      </c>
      <c r="I6" s="51">
        <v>240</v>
      </c>
      <c r="J6" s="9">
        <v>1</v>
      </c>
      <c r="K6" s="52"/>
      <c r="L6"/>
      <c r="M6"/>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row>
    <row r="7" spans="1:40" ht="12.75">
      <c r="A7" s="7" t="s">
        <v>49</v>
      </c>
      <c r="B7" s="8">
        <v>3.4</v>
      </c>
      <c r="C7" s="8">
        <v>4.5</v>
      </c>
      <c r="D7" s="8">
        <v>5.2</v>
      </c>
      <c r="E7" s="8">
        <v>6</v>
      </c>
      <c r="F7" s="8">
        <v>6.7</v>
      </c>
      <c r="G7" s="8">
        <v>7.6</v>
      </c>
      <c r="H7" s="8">
        <v>36.2</v>
      </c>
      <c r="I7" s="51">
        <v>240</v>
      </c>
      <c r="J7" s="9">
        <v>1</v>
      </c>
      <c r="K7" s="52"/>
      <c r="L7"/>
      <c r="M7"/>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ht="12.75">
      <c r="A8" s="6" t="s">
        <v>50</v>
      </c>
      <c r="B8" s="8">
        <v>3.1</v>
      </c>
      <c r="C8" s="8">
        <v>4.2</v>
      </c>
      <c r="D8" s="8">
        <v>5</v>
      </c>
      <c r="E8" s="8">
        <v>5.8</v>
      </c>
      <c r="F8" s="8">
        <v>6.6</v>
      </c>
      <c r="G8" s="8">
        <v>7.4</v>
      </c>
      <c r="H8" s="8">
        <v>25.2</v>
      </c>
      <c r="I8" s="51">
        <v>320</v>
      </c>
      <c r="J8" s="9">
        <v>3</v>
      </c>
      <c r="K8" s="52"/>
      <c r="L8"/>
      <c r="M8"/>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ht="12.75">
      <c r="A9" s="6" t="s">
        <v>51</v>
      </c>
      <c r="B9" s="8">
        <v>2.8</v>
      </c>
      <c r="C9" s="8">
        <v>3.8</v>
      </c>
      <c r="D9" s="8">
        <v>4.6</v>
      </c>
      <c r="E9" s="8">
        <v>5.3</v>
      </c>
      <c r="F9" s="8">
        <v>6.1</v>
      </c>
      <c r="G9" s="8">
        <v>6.9</v>
      </c>
      <c r="H9" s="8">
        <v>25.9</v>
      </c>
      <c r="I9" s="51">
        <v>320</v>
      </c>
      <c r="J9" s="9">
        <v>2</v>
      </c>
      <c r="K9" s="52"/>
      <c r="L9"/>
      <c r="M9"/>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row>
    <row r="10" spans="1:40" ht="12.75">
      <c r="A10" s="6" t="s">
        <v>52</v>
      </c>
      <c r="B10" s="8">
        <v>3.8</v>
      </c>
      <c r="C10" s="8">
        <v>4.9</v>
      </c>
      <c r="D10" s="8">
        <v>5.7</v>
      </c>
      <c r="E10" s="8">
        <v>6.6</v>
      </c>
      <c r="F10" s="8">
        <v>7.4</v>
      </c>
      <c r="G10" s="8">
        <v>8.2</v>
      </c>
      <c r="H10" s="8">
        <v>40.1</v>
      </c>
      <c r="I10" s="51">
        <v>240</v>
      </c>
      <c r="J10" s="9">
        <v>1</v>
      </c>
      <c r="K10" s="52"/>
      <c r="L10"/>
      <c r="M10"/>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row>
    <row r="11" spans="1:40" ht="12.75">
      <c r="A11" s="7" t="s">
        <v>53</v>
      </c>
      <c r="B11" s="8">
        <v>3.3</v>
      </c>
      <c r="C11" s="8">
        <v>4.4</v>
      </c>
      <c r="D11" s="8">
        <v>5.1</v>
      </c>
      <c r="E11" s="8">
        <v>5.9</v>
      </c>
      <c r="F11" s="8">
        <v>6.6</v>
      </c>
      <c r="G11" s="8">
        <v>7.4</v>
      </c>
      <c r="H11" s="8">
        <v>37</v>
      </c>
      <c r="I11" s="51">
        <v>240</v>
      </c>
      <c r="J11" s="9">
        <v>1</v>
      </c>
      <c r="K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row>
    <row r="12" spans="1:40" ht="12.75">
      <c r="A12" s="6" t="s">
        <v>54</v>
      </c>
      <c r="B12" s="8">
        <v>3.6</v>
      </c>
      <c r="C12" s="8">
        <v>4.6</v>
      </c>
      <c r="D12" s="8">
        <v>5.4</v>
      </c>
      <c r="E12" s="8">
        <v>6.3</v>
      </c>
      <c r="F12" s="8">
        <v>7.1</v>
      </c>
      <c r="G12" s="8">
        <v>8</v>
      </c>
      <c r="H12" s="8">
        <v>34.3</v>
      </c>
      <c r="I12" s="51">
        <v>240</v>
      </c>
      <c r="J12" s="9">
        <v>1</v>
      </c>
      <c r="K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2.75">
      <c r="A13" s="6" t="s">
        <v>55</v>
      </c>
      <c r="B13" s="8">
        <v>3.6</v>
      </c>
      <c r="C13" s="8">
        <v>4.6</v>
      </c>
      <c r="D13" s="8">
        <v>5.4</v>
      </c>
      <c r="E13" s="8">
        <v>6.2</v>
      </c>
      <c r="F13" s="8">
        <v>6.9</v>
      </c>
      <c r="G13" s="8">
        <v>7.9</v>
      </c>
      <c r="H13" s="8">
        <v>34</v>
      </c>
      <c r="I13" s="51">
        <v>240</v>
      </c>
      <c r="J13" s="9">
        <v>1</v>
      </c>
      <c r="K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row>
    <row r="14" spans="1:40" ht="12.75">
      <c r="A14" s="6" t="s">
        <v>56</v>
      </c>
      <c r="B14" s="8">
        <v>3.8</v>
      </c>
      <c r="C14" s="8">
        <v>4.9</v>
      </c>
      <c r="D14" s="8">
        <v>5.7</v>
      </c>
      <c r="E14" s="8">
        <v>6.7</v>
      </c>
      <c r="F14" s="8">
        <v>7.5</v>
      </c>
      <c r="G14" s="8">
        <v>8.4</v>
      </c>
      <c r="H14" s="8">
        <v>36.9</v>
      </c>
      <c r="I14" s="51">
        <v>240</v>
      </c>
      <c r="J14" s="9">
        <v>1</v>
      </c>
      <c r="K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2.75">
      <c r="A15" s="6" t="s">
        <v>57</v>
      </c>
      <c r="B15" s="8">
        <v>4</v>
      </c>
      <c r="C15" s="8">
        <v>5.1</v>
      </c>
      <c r="D15" s="8">
        <v>5.9</v>
      </c>
      <c r="E15" s="8">
        <v>6.8</v>
      </c>
      <c r="F15" s="8">
        <v>7.6</v>
      </c>
      <c r="G15" s="8">
        <v>8.5</v>
      </c>
      <c r="H15" s="8">
        <v>40.5</v>
      </c>
      <c r="I15" s="51">
        <v>240</v>
      </c>
      <c r="J15" s="9">
        <v>1</v>
      </c>
      <c r="K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2.75">
      <c r="A16" s="7" t="s">
        <v>58</v>
      </c>
      <c r="B16" s="8">
        <v>2.2</v>
      </c>
      <c r="C16" s="8">
        <v>3</v>
      </c>
      <c r="D16" s="8">
        <v>3.5</v>
      </c>
      <c r="E16" s="8">
        <v>4.1</v>
      </c>
      <c r="F16" s="8">
        <v>4.8</v>
      </c>
      <c r="G16" s="8">
        <v>5.2</v>
      </c>
      <c r="H16" s="8">
        <v>18.4</v>
      </c>
      <c r="I16" s="51">
        <v>640</v>
      </c>
      <c r="J16" s="9">
        <v>4</v>
      </c>
      <c r="K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row>
    <row r="17" spans="1:40" ht="12.75">
      <c r="A17" s="10" t="s">
        <v>0</v>
      </c>
      <c r="B17" s="11">
        <v>2.8</v>
      </c>
      <c r="C17" s="11">
        <v>3.8</v>
      </c>
      <c r="D17" s="11">
        <v>4.5</v>
      </c>
      <c r="E17" s="11">
        <v>5.2</v>
      </c>
      <c r="F17" s="11">
        <v>6</v>
      </c>
      <c r="G17" s="11">
        <v>6.7</v>
      </c>
      <c r="H17" s="11">
        <v>22.3</v>
      </c>
      <c r="I17" s="53">
        <v>640</v>
      </c>
      <c r="J17" s="9">
        <v>4</v>
      </c>
      <c r="K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row>
    <row r="18" spans="1:40" ht="12.75">
      <c r="A18" s="10" t="s">
        <v>59</v>
      </c>
      <c r="B18" s="11">
        <v>3.2</v>
      </c>
      <c r="C18" s="11">
        <v>4.1</v>
      </c>
      <c r="D18" s="11">
        <v>4.9</v>
      </c>
      <c r="E18" s="11">
        <v>5.7</v>
      </c>
      <c r="F18" s="11">
        <v>6.3</v>
      </c>
      <c r="G18" s="11">
        <v>7.2</v>
      </c>
      <c r="H18" s="11">
        <v>31.9</v>
      </c>
      <c r="I18" s="53">
        <v>240</v>
      </c>
      <c r="J18" s="9">
        <v>1</v>
      </c>
      <c r="K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2.75">
      <c r="A19" s="6" t="s">
        <v>60</v>
      </c>
      <c r="B19" s="8">
        <v>3</v>
      </c>
      <c r="C19" s="8">
        <v>4</v>
      </c>
      <c r="D19" s="8">
        <v>4.7</v>
      </c>
      <c r="E19" s="8">
        <v>5.5</v>
      </c>
      <c r="F19" s="8">
        <v>6.1</v>
      </c>
      <c r="G19" s="8">
        <v>7</v>
      </c>
      <c r="H19" s="8">
        <v>27.6</v>
      </c>
      <c r="I19" s="51">
        <v>320</v>
      </c>
      <c r="J19" s="9">
        <v>1</v>
      </c>
      <c r="K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12.75">
      <c r="A20" s="6" t="s">
        <v>61</v>
      </c>
      <c r="B20" s="8">
        <v>3.7</v>
      </c>
      <c r="C20" s="8">
        <v>4.7</v>
      </c>
      <c r="D20" s="8">
        <v>5.6</v>
      </c>
      <c r="E20" s="8">
        <v>6.4</v>
      </c>
      <c r="F20" s="8">
        <v>7.1</v>
      </c>
      <c r="G20" s="8">
        <v>8.1</v>
      </c>
      <c r="H20" s="8">
        <v>39</v>
      </c>
      <c r="I20" s="51">
        <v>240</v>
      </c>
      <c r="J20" s="9">
        <v>1</v>
      </c>
      <c r="K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row>
    <row r="21" spans="1:40" ht="12.75">
      <c r="A21" s="6" t="s">
        <v>1</v>
      </c>
      <c r="B21" s="8">
        <v>2.9</v>
      </c>
      <c r="C21" s="8">
        <v>4</v>
      </c>
      <c r="D21" s="8">
        <v>4.8</v>
      </c>
      <c r="E21" s="8">
        <v>5.5</v>
      </c>
      <c r="F21" s="8">
        <v>6.3</v>
      </c>
      <c r="G21" s="8">
        <v>7.1</v>
      </c>
      <c r="H21" s="8">
        <v>24.2</v>
      </c>
      <c r="I21" s="51">
        <v>640</v>
      </c>
      <c r="J21" s="9">
        <v>3</v>
      </c>
      <c r="K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row>
    <row r="22" spans="1:40" ht="12.75">
      <c r="A22" s="6" t="s">
        <v>62</v>
      </c>
      <c r="B22" s="8">
        <v>3.7</v>
      </c>
      <c r="C22" s="8">
        <v>4.8</v>
      </c>
      <c r="D22" s="8">
        <v>5.5</v>
      </c>
      <c r="E22" s="8">
        <v>6.4</v>
      </c>
      <c r="F22" s="8">
        <v>7.3</v>
      </c>
      <c r="G22" s="8">
        <v>8.2</v>
      </c>
      <c r="H22" s="8">
        <v>33.4</v>
      </c>
      <c r="I22" s="51">
        <v>240</v>
      </c>
      <c r="J22" s="9">
        <v>1</v>
      </c>
      <c r="K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row>
    <row r="23" spans="1:40" ht="12.75">
      <c r="A23" s="6" t="s">
        <v>63</v>
      </c>
      <c r="B23" s="8">
        <v>3.9</v>
      </c>
      <c r="C23" s="8">
        <v>5</v>
      </c>
      <c r="D23" s="8">
        <v>5.8</v>
      </c>
      <c r="E23" s="8">
        <v>6.7</v>
      </c>
      <c r="F23" s="8">
        <v>7.5</v>
      </c>
      <c r="G23" s="8">
        <v>8.4</v>
      </c>
      <c r="H23" s="8">
        <v>39.8</v>
      </c>
      <c r="I23" s="51">
        <v>240</v>
      </c>
      <c r="J23" s="9">
        <v>1</v>
      </c>
      <c r="K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row>
    <row r="24" spans="1:40" ht="12.75">
      <c r="A24" s="7" t="s">
        <v>64</v>
      </c>
      <c r="B24" s="8">
        <v>2.4</v>
      </c>
      <c r="C24" s="8">
        <v>3.2</v>
      </c>
      <c r="D24" s="8">
        <v>3.8</v>
      </c>
      <c r="E24" s="8">
        <v>4.5</v>
      </c>
      <c r="F24" s="8">
        <v>5.2</v>
      </c>
      <c r="G24" s="8">
        <v>5.7</v>
      </c>
      <c r="H24" s="8">
        <v>21.8</v>
      </c>
      <c r="I24" s="51">
        <v>640</v>
      </c>
      <c r="J24" s="9">
        <v>3</v>
      </c>
      <c r="K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row>
    <row r="25" spans="1:40" ht="12.75">
      <c r="A25" s="7" t="s">
        <v>65</v>
      </c>
      <c r="B25" s="8">
        <v>3.3</v>
      </c>
      <c r="C25" s="8">
        <v>4.3</v>
      </c>
      <c r="D25" s="8">
        <v>5.1</v>
      </c>
      <c r="E25" s="8">
        <v>5.8</v>
      </c>
      <c r="F25" s="8">
        <v>6.5</v>
      </c>
      <c r="G25" s="8">
        <v>7.5</v>
      </c>
      <c r="H25" s="8">
        <v>31.8</v>
      </c>
      <c r="I25" s="51">
        <v>240</v>
      </c>
      <c r="J25" s="9">
        <v>1</v>
      </c>
      <c r="K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row>
    <row r="26" spans="1:40" ht="12.75">
      <c r="A26" s="7" t="s">
        <v>66</v>
      </c>
      <c r="B26" s="8">
        <v>3.4</v>
      </c>
      <c r="C26" s="8">
        <v>4.4</v>
      </c>
      <c r="D26" s="8">
        <v>5.1</v>
      </c>
      <c r="E26" s="8">
        <v>5.9</v>
      </c>
      <c r="F26" s="8">
        <v>6.6</v>
      </c>
      <c r="G26" s="8">
        <v>7.4</v>
      </c>
      <c r="H26" s="8">
        <v>35.2</v>
      </c>
      <c r="I26" s="51">
        <v>240</v>
      </c>
      <c r="J26" s="9">
        <v>1</v>
      </c>
      <c r="K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row>
    <row r="27" spans="1:40" ht="12.75">
      <c r="A27" s="7" t="s">
        <v>67</v>
      </c>
      <c r="B27" s="8">
        <v>3.6</v>
      </c>
      <c r="C27" s="8">
        <v>4.6</v>
      </c>
      <c r="D27" s="8">
        <v>5.4</v>
      </c>
      <c r="E27" s="8">
        <v>6.2</v>
      </c>
      <c r="F27" s="8">
        <v>6.9</v>
      </c>
      <c r="G27" s="8">
        <v>7.9</v>
      </c>
      <c r="H27" s="8">
        <v>37.3</v>
      </c>
      <c r="I27" s="51">
        <v>240</v>
      </c>
      <c r="J27" s="9">
        <v>1</v>
      </c>
      <c r="K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row>
    <row r="28" spans="1:40" ht="12.75">
      <c r="A28" s="6" t="s">
        <v>2</v>
      </c>
      <c r="B28" s="8">
        <v>2.8</v>
      </c>
      <c r="C28" s="8">
        <v>3.8</v>
      </c>
      <c r="D28" s="8">
        <v>4.5</v>
      </c>
      <c r="E28" s="8">
        <v>5.2</v>
      </c>
      <c r="F28" s="8">
        <v>6.1</v>
      </c>
      <c r="G28" s="8">
        <v>6.8</v>
      </c>
      <c r="H28" s="8">
        <v>23</v>
      </c>
      <c r="I28" s="51">
        <v>640</v>
      </c>
      <c r="J28" s="9">
        <v>3</v>
      </c>
      <c r="K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row>
    <row r="29" spans="1:40" ht="12.75">
      <c r="A29" s="6" t="s">
        <v>68</v>
      </c>
      <c r="B29" s="8">
        <v>3.8</v>
      </c>
      <c r="C29" s="8">
        <v>4.8</v>
      </c>
      <c r="D29" s="8">
        <v>5.7</v>
      </c>
      <c r="E29" s="8">
        <v>6.6</v>
      </c>
      <c r="F29" s="8">
        <v>7.4</v>
      </c>
      <c r="G29" s="8">
        <v>8.3</v>
      </c>
      <c r="H29" s="8">
        <v>36.1</v>
      </c>
      <c r="I29" s="51">
        <v>240</v>
      </c>
      <c r="J29" s="9">
        <v>1</v>
      </c>
      <c r="K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row>
    <row r="30" spans="1:40" ht="12.75">
      <c r="A30" s="10" t="s">
        <v>3</v>
      </c>
      <c r="B30" s="11">
        <v>2.6</v>
      </c>
      <c r="C30" s="11">
        <v>3.5</v>
      </c>
      <c r="D30" s="11">
        <v>4.2</v>
      </c>
      <c r="E30" s="11">
        <v>4.9</v>
      </c>
      <c r="F30" s="11">
        <v>5.8</v>
      </c>
      <c r="G30" s="11">
        <v>6.3</v>
      </c>
      <c r="H30" s="11">
        <v>23.3</v>
      </c>
      <c r="I30" s="53">
        <v>640</v>
      </c>
      <c r="J30" s="9">
        <v>2</v>
      </c>
      <c r="K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row>
    <row r="31" spans="1:40" ht="12.75">
      <c r="A31" s="6" t="s">
        <v>69</v>
      </c>
      <c r="B31" s="8">
        <v>3</v>
      </c>
      <c r="C31" s="8">
        <v>4</v>
      </c>
      <c r="D31" s="8">
        <v>4.7</v>
      </c>
      <c r="E31" s="8">
        <v>5.5</v>
      </c>
      <c r="F31" s="8">
        <v>6.2</v>
      </c>
      <c r="G31" s="8">
        <v>7.1</v>
      </c>
      <c r="H31" s="8">
        <v>27.1</v>
      </c>
      <c r="I31" s="51">
        <v>320</v>
      </c>
      <c r="J31" s="9">
        <v>1</v>
      </c>
      <c r="K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row>
    <row r="32" spans="1:40" ht="12.75">
      <c r="A32" s="10" t="s">
        <v>28</v>
      </c>
      <c r="B32" s="11">
        <v>2.4</v>
      </c>
      <c r="C32" s="11">
        <v>3.3</v>
      </c>
      <c r="D32" s="11">
        <v>4</v>
      </c>
      <c r="E32" s="11">
        <v>4.7</v>
      </c>
      <c r="F32" s="11">
        <v>5.5</v>
      </c>
      <c r="G32" s="11">
        <v>5.8</v>
      </c>
      <c r="H32" s="11">
        <v>18.9</v>
      </c>
      <c r="I32" s="53">
        <v>640</v>
      </c>
      <c r="J32" s="9">
        <v>4</v>
      </c>
      <c r="K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row>
    <row r="33" spans="1:40" ht="12.75">
      <c r="A33" s="10" t="s">
        <v>4</v>
      </c>
      <c r="B33" s="11">
        <v>2.7</v>
      </c>
      <c r="C33" s="11">
        <v>3.5</v>
      </c>
      <c r="D33" s="11">
        <v>4.4</v>
      </c>
      <c r="E33" s="11">
        <v>5</v>
      </c>
      <c r="F33" s="11">
        <v>5.9</v>
      </c>
      <c r="G33" s="11">
        <v>6.4</v>
      </c>
      <c r="H33" s="11">
        <v>21.7</v>
      </c>
      <c r="I33" s="53">
        <v>640</v>
      </c>
      <c r="J33" s="9">
        <v>4</v>
      </c>
      <c r="K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row>
    <row r="34" spans="1:40" ht="12.75">
      <c r="A34" s="10" t="s">
        <v>70</v>
      </c>
      <c r="B34" s="11">
        <v>3.6</v>
      </c>
      <c r="C34" s="11">
        <v>4.7</v>
      </c>
      <c r="D34" s="11">
        <v>5.5</v>
      </c>
      <c r="E34" s="11">
        <v>6.4</v>
      </c>
      <c r="F34" s="11">
        <v>7.1</v>
      </c>
      <c r="G34" s="11">
        <v>8.1</v>
      </c>
      <c r="H34" s="11">
        <v>40.2</v>
      </c>
      <c r="I34" s="53">
        <v>240</v>
      </c>
      <c r="J34" s="9">
        <v>1</v>
      </c>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row>
    <row r="35" spans="1:40" ht="12.75">
      <c r="A35" s="10" t="s">
        <v>71</v>
      </c>
      <c r="B35" s="11">
        <v>3.4</v>
      </c>
      <c r="C35" s="11">
        <v>4.3</v>
      </c>
      <c r="D35" s="11">
        <v>5.1</v>
      </c>
      <c r="E35" s="11">
        <v>5.9</v>
      </c>
      <c r="F35" s="11">
        <v>6.6</v>
      </c>
      <c r="G35" s="11">
        <v>7.5</v>
      </c>
      <c r="H35" s="11">
        <v>34.5</v>
      </c>
      <c r="I35" s="53">
        <v>240</v>
      </c>
      <c r="J35" s="9">
        <v>1</v>
      </c>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row>
    <row r="36" spans="1:40" ht="12.75">
      <c r="A36" s="10" t="s">
        <v>5</v>
      </c>
      <c r="B36" s="11">
        <v>2.4</v>
      </c>
      <c r="C36" s="11">
        <v>3.3</v>
      </c>
      <c r="D36" s="11">
        <v>3.9</v>
      </c>
      <c r="E36" s="11">
        <v>4.6</v>
      </c>
      <c r="F36" s="11">
        <v>5.4</v>
      </c>
      <c r="G36" s="11">
        <v>5.7</v>
      </c>
      <c r="H36" s="11">
        <v>21.9</v>
      </c>
      <c r="I36" s="53">
        <v>640</v>
      </c>
      <c r="J36" s="9">
        <v>3</v>
      </c>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row>
    <row r="37" spans="1:40" ht="12.75">
      <c r="A37" s="10" t="s">
        <v>72</v>
      </c>
      <c r="B37" s="11">
        <v>2.5</v>
      </c>
      <c r="C37" s="11">
        <v>3.3</v>
      </c>
      <c r="D37" s="11">
        <v>4</v>
      </c>
      <c r="E37" s="11">
        <v>4.7</v>
      </c>
      <c r="F37" s="11">
        <v>5.5</v>
      </c>
      <c r="G37" s="11">
        <v>5.9</v>
      </c>
      <c r="H37" s="11">
        <v>23.8</v>
      </c>
      <c r="I37" s="53">
        <v>640</v>
      </c>
      <c r="J37" s="9">
        <v>3</v>
      </c>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row>
    <row r="38" spans="1:40" ht="12.75">
      <c r="A38" s="10" t="s">
        <v>6</v>
      </c>
      <c r="B38" s="11">
        <v>2.4</v>
      </c>
      <c r="C38" s="11">
        <v>3.3</v>
      </c>
      <c r="D38" s="11">
        <v>4</v>
      </c>
      <c r="E38" s="11">
        <v>4.6</v>
      </c>
      <c r="F38" s="11">
        <v>5.4</v>
      </c>
      <c r="G38" s="11">
        <v>5.8</v>
      </c>
      <c r="H38" s="11">
        <v>17.9</v>
      </c>
      <c r="I38" s="53">
        <v>640</v>
      </c>
      <c r="J38" s="9">
        <v>5</v>
      </c>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row>
    <row r="39" spans="1:40" ht="12.75">
      <c r="A39" s="10" t="s">
        <v>7</v>
      </c>
      <c r="B39" s="11">
        <v>2.5</v>
      </c>
      <c r="C39" s="11">
        <v>3.4</v>
      </c>
      <c r="D39" s="11">
        <v>4.2</v>
      </c>
      <c r="E39" s="11">
        <v>4.8</v>
      </c>
      <c r="F39" s="11">
        <v>5.7</v>
      </c>
      <c r="G39" s="11">
        <v>6</v>
      </c>
      <c r="H39" s="11">
        <v>22.5</v>
      </c>
      <c r="I39" s="53">
        <v>640</v>
      </c>
      <c r="J39" s="9">
        <v>4</v>
      </c>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row>
    <row r="40" spans="1:40" ht="12.75">
      <c r="A40" s="10" t="s">
        <v>8</v>
      </c>
      <c r="B40" s="11">
        <v>2.3</v>
      </c>
      <c r="C40" s="11">
        <v>3.1</v>
      </c>
      <c r="D40" s="11">
        <v>3.6</v>
      </c>
      <c r="E40" s="11">
        <v>4.3</v>
      </c>
      <c r="F40" s="11">
        <v>4.9</v>
      </c>
      <c r="G40" s="11">
        <v>5.4</v>
      </c>
      <c r="H40" s="11">
        <v>17</v>
      </c>
      <c r="I40" s="53">
        <v>640</v>
      </c>
      <c r="J40" s="9">
        <v>5</v>
      </c>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row>
    <row r="41" spans="1:40" ht="12.75">
      <c r="A41" s="6" t="s">
        <v>73</v>
      </c>
      <c r="B41" s="8">
        <v>3.7</v>
      </c>
      <c r="C41" s="8">
        <v>4.7</v>
      </c>
      <c r="D41" s="8">
        <v>5.5</v>
      </c>
      <c r="E41" s="8">
        <v>6.4</v>
      </c>
      <c r="F41" s="8">
        <v>7.2</v>
      </c>
      <c r="G41" s="8">
        <v>8.2</v>
      </c>
      <c r="H41" s="8">
        <v>37</v>
      </c>
      <c r="I41" s="51">
        <v>240</v>
      </c>
      <c r="J41" s="9">
        <v>1</v>
      </c>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row>
    <row r="42" spans="1:40" ht="12.75">
      <c r="A42" s="10" t="s">
        <v>9</v>
      </c>
      <c r="B42" s="11">
        <v>2.3</v>
      </c>
      <c r="C42" s="11">
        <v>3.2</v>
      </c>
      <c r="D42" s="11">
        <v>3.7</v>
      </c>
      <c r="E42" s="11">
        <v>4.4</v>
      </c>
      <c r="F42" s="11">
        <v>5.1</v>
      </c>
      <c r="G42" s="11">
        <v>5.5</v>
      </c>
      <c r="H42" s="11">
        <v>16.9</v>
      </c>
      <c r="I42" s="53">
        <v>640</v>
      </c>
      <c r="J42" s="9">
        <v>5</v>
      </c>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1:40" ht="12.75">
      <c r="A43" s="6" t="s">
        <v>74</v>
      </c>
      <c r="B43" s="8">
        <v>3.3</v>
      </c>
      <c r="C43" s="8">
        <v>4.5</v>
      </c>
      <c r="D43" s="8">
        <v>5.2</v>
      </c>
      <c r="E43" s="8">
        <v>6.1</v>
      </c>
      <c r="F43" s="8">
        <v>7</v>
      </c>
      <c r="G43" s="8">
        <v>7.8</v>
      </c>
      <c r="H43" s="8">
        <v>27.6</v>
      </c>
      <c r="I43" s="51">
        <v>320</v>
      </c>
      <c r="J43" s="9">
        <v>2</v>
      </c>
      <c r="K43" s="52"/>
      <c r="L43"/>
      <c r="M43"/>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row>
    <row r="44" spans="1:40" ht="12.75">
      <c r="A44" s="6" t="s">
        <v>75</v>
      </c>
      <c r="B44" s="8">
        <v>3.4</v>
      </c>
      <c r="C44" s="8">
        <v>4.4</v>
      </c>
      <c r="D44" s="8">
        <v>5.2</v>
      </c>
      <c r="E44" s="8">
        <v>6</v>
      </c>
      <c r="F44" s="8">
        <v>6.8</v>
      </c>
      <c r="G44" s="8">
        <v>7.7</v>
      </c>
      <c r="H44" s="8">
        <v>31.9</v>
      </c>
      <c r="I44" s="51">
        <v>240</v>
      </c>
      <c r="J44" s="9">
        <v>1</v>
      </c>
      <c r="K44" s="52"/>
      <c r="L44"/>
      <c r="M44"/>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row>
    <row r="45" spans="1:40" ht="12.75">
      <c r="A45" s="10" t="s">
        <v>10</v>
      </c>
      <c r="B45" s="11">
        <v>2.5</v>
      </c>
      <c r="C45" s="11">
        <v>3.4</v>
      </c>
      <c r="D45" s="11">
        <v>4.1</v>
      </c>
      <c r="E45" s="11">
        <v>4.7</v>
      </c>
      <c r="F45" s="11">
        <v>5.5</v>
      </c>
      <c r="G45" s="11">
        <v>5.9</v>
      </c>
      <c r="H45" s="11">
        <v>19.5</v>
      </c>
      <c r="I45" s="53">
        <v>640</v>
      </c>
      <c r="J45" s="9">
        <v>5</v>
      </c>
      <c r="K45" s="52"/>
      <c r="L45"/>
      <c r="M45"/>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row>
    <row r="46" spans="1:40" ht="12.75">
      <c r="A46" s="10" t="s">
        <v>11</v>
      </c>
      <c r="B46" s="11">
        <v>2.6</v>
      </c>
      <c r="C46" s="11">
        <v>3.5</v>
      </c>
      <c r="D46" s="11">
        <v>4.2</v>
      </c>
      <c r="E46" s="11">
        <v>4.9</v>
      </c>
      <c r="F46" s="11">
        <v>5.8</v>
      </c>
      <c r="G46" s="11">
        <v>6.2</v>
      </c>
      <c r="H46" s="11">
        <v>21.5</v>
      </c>
      <c r="I46" s="53">
        <v>640</v>
      </c>
      <c r="J46" s="9">
        <v>4</v>
      </c>
      <c r="K46" s="52"/>
      <c r="L46"/>
      <c r="M46"/>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row>
    <row r="47" spans="1:40" ht="12.75">
      <c r="A47" s="10" t="s">
        <v>76</v>
      </c>
      <c r="B47" s="11">
        <v>3.4</v>
      </c>
      <c r="C47" s="11">
        <v>4.4</v>
      </c>
      <c r="D47" s="11">
        <v>5.2</v>
      </c>
      <c r="E47" s="11">
        <v>6</v>
      </c>
      <c r="F47" s="11">
        <v>6.7</v>
      </c>
      <c r="G47" s="11">
        <v>7.6</v>
      </c>
      <c r="H47" s="11">
        <v>35.3</v>
      </c>
      <c r="I47" s="53">
        <v>240</v>
      </c>
      <c r="J47" s="9">
        <v>1</v>
      </c>
      <c r="K47" s="52"/>
      <c r="L47"/>
      <c r="M47"/>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row>
    <row r="48" spans="1:40" ht="12.75">
      <c r="A48" s="10" t="s">
        <v>77</v>
      </c>
      <c r="B48" s="11">
        <v>3.5</v>
      </c>
      <c r="C48" s="11">
        <v>4.5</v>
      </c>
      <c r="D48" s="11">
        <v>5.3</v>
      </c>
      <c r="E48" s="11">
        <v>6.1</v>
      </c>
      <c r="F48" s="11">
        <v>6.8</v>
      </c>
      <c r="G48" s="11">
        <v>7.7</v>
      </c>
      <c r="H48" s="11">
        <v>36.4</v>
      </c>
      <c r="I48" s="53">
        <v>240</v>
      </c>
      <c r="J48" s="9">
        <v>1</v>
      </c>
      <c r="K48" s="52"/>
      <c r="L48"/>
      <c r="M48"/>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row>
    <row r="49" spans="1:40" ht="12.75">
      <c r="A49" s="6" t="s">
        <v>78</v>
      </c>
      <c r="B49" s="8">
        <v>2.8</v>
      </c>
      <c r="C49" s="8">
        <v>3.7</v>
      </c>
      <c r="D49" s="8">
        <v>4.4</v>
      </c>
      <c r="E49" s="8">
        <v>5.2</v>
      </c>
      <c r="F49" s="8">
        <v>5.9</v>
      </c>
      <c r="G49" s="8">
        <v>6.6</v>
      </c>
      <c r="H49" s="8">
        <v>26.3</v>
      </c>
      <c r="I49" s="51">
        <v>320</v>
      </c>
      <c r="J49" s="9">
        <v>1</v>
      </c>
      <c r="K49" s="52"/>
      <c r="L49"/>
      <c r="M49"/>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row>
    <row r="50" spans="1:40" ht="12.75">
      <c r="A50" s="7" t="s">
        <v>79</v>
      </c>
      <c r="B50" s="8">
        <v>3.6</v>
      </c>
      <c r="C50" s="8">
        <v>4.6</v>
      </c>
      <c r="D50" s="8">
        <v>5.4</v>
      </c>
      <c r="E50" s="8">
        <v>6.3</v>
      </c>
      <c r="F50" s="8">
        <v>7</v>
      </c>
      <c r="G50" s="8">
        <v>7.9</v>
      </c>
      <c r="H50" s="8">
        <v>38.3</v>
      </c>
      <c r="I50" s="51">
        <v>240</v>
      </c>
      <c r="J50" s="9">
        <v>1</v>
      </c>
      <c r="K50" s="52"/>
      <c r="L50"/>
      <c r="M50"/>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row>
    <row r="51" spans="1:40" ht="12.75">
      <c r="A51" s="10" t="s">
        <v>12</v>
      </c>
      <c r="B51" s="11">
        <v>2.4</v>
      </c>
      <c r="C51" s="11">
        <v>3.2</v>
      </c>
      <c r="D51" s="11">
        <v>3.8</v>
      </c>
      <c r="E51" s="11">
        <v>4.5</v>
      </c>
      <c r="F51" s="11">
        <v>5.2</v>
      </c>
      <c r="G51" s="11">
        <v>5.6</v>
      </c>
      <c r="H51" s="11">
        <v>17.4</v>
      </c>
      <c r="I51" s="53">
        <v>640</v>
      </c>
      <c r="J51" s="9">
        <v>5</v>
      </c>
      <c r="K51" s="52"/>
      <c r="L51"/>
      <c r="M51"/>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row>
    <row r="52" spans="1:40" ht="12.75">
      <c r="A52" s="6" t="s">
        <v>80</v>
      </c>
      <c r="B52" s="8">
        <v>3.3</v>
      </c>
      <c r="C52" s="8">
        <v>4.3</v>
      </c>
      <c r="D52" s="8">
        <v>5.1</v>
      </c>
      <c r="E52" s="8">
        <v>5.9</v>
      </c>
      <c r="F52" s="8">
        <v>6.8</v>
      </c>
      <c r="G52" s="8">
        <v>7.6</v>
      </c>
      <c r="H52" s="8">
        <v>27.8</v>
      </c>
      <c r="I52" s="51">
        <v>320</v>
      </c>
      <c r="J52" s="9">
        <v>2</v>
      </c>
      <c r="K52" s="52"/>
      <c r="L52"/>
      <c r="M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row>
    <row r="53" spans="1:40" ht="12.75">
      <c r="A53" s="6" t="s">
        <v>13</v>
      </c>
      <c r="B53" s="8">
        <v>2.9</v>
      </c>
      <c r="C53" s="8">
        <v>3.9</v>
      </c>
      <c r="D53" s="8">
        <v>4.7</v>
      </c>
      <c r="E53" s="8">
        <v>5.4</v>
      </c>
      <c r="F53" s="8">
        <v>6.2</v>
      </c>
      <c r="G53" s="8">
        <v>6.9</v>
      </c>
      <c r="H53" s="8">
        <v>22.6</v>
      </c>
      <c r="I53" s="51">
        <v>640</v>
      </c>
      <c r="J53" s="9">
        <v>3</v>
      </c>
      <c r="K53" s="52"/>
      <c r="L53"/>
      <c r="M53"/>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row>
    <row r="54" spans="1:40" ht="12.75">
      <c r="A54" s="6" t="s">
        <v>81</v>
      </c>
      <c r="B54" s="8">
        <v>3.9</v>
      </c>
      <c r="C54" s="8">
        <v>5</v>
      </c>
      <c r="D54" s="8">
        <v>5.9</v>
      </c>
      <c r="E54" s="8">
        <v>6.8</v>
      </c>
      <c r="F54" s="8">
        <v>7.6</v>
      </c>
      <c r="G54" s="8">
        <v>8.6</v>
      </c>
      <c r="H54" s="8">
        <v>40.8</v>
      </c>
      <c r="I54" s="51">
        <v>240</v>
      </c>
      <c r="J54" s="9">
        <v>1</v>
      </c>
      <c r="K54" s="52"/>
      <c r="L54"/>
      <c r="M54"/>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row>
    <row r="55" spans="1:40" ht="12.75">
      <c r="A55" s="10" t="s">
        <v>14</v>
      </c>
      <c r="B55" s="11">
        <v>2.4</v>
      </c>
      <c r="C55" s="11">
        <v>3.3</v>
      </c>
      <c r="D55" s="11">
        <v>3.9</v>
      </c>
      <c r="E55" s="11">
        <v>4.7</v>
      </c>
      <c r="F55" s="11">
        <v>5.5</v>
      </c>
      <c r="G55" s="11">
        <v>5.8</v>
      </c>
      <c r="H55" s="11">
        <v>20.7</v>
      </c>
      <c r="I55" s="53">
        <v>640</v>
      </c>
      <c r="J55" s="9">
        <v>4</v>
      </c>
      <c r="K55" s="52"/>
      <c r="L55"/>
      <c r="M55"/>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row>
    <row r="56" spans="1:40" ht="12.75">
      <c r="A56" s="10" t="s">
        <v>82</v>
      </c>
      <c r="B56" s="11">
        <v>3.5</v>
      </c>
      <c r="C56" s="11">
        <v>4.5</v>
      </c>
      <c r="D56" s="11">
        <v>5.3</v>
      </c>
      <c r="E56" s="11">
        <v>6.1</v>
      </c>
      <c r="F56" s="11">
        <v>6.8</v>
      </c>
      <c r="G56" s="11">
        <v>7.7</v>
      </c>
      <c r="H56" s="11">
        <v>37.5</v>
      </c>
      <c r="I56" s="53">
        <v>240</v>
      </c>
      <c r="J56" s="9">
        <v>1</v>
      </c>
      <c r="K56" s="52"/>
      <c r="L56"/>
      <c r="M56"/>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row>
    <row r="57" spans="1:40" ht="12.75">
      <c r="A57" s="6" t="s">
        <v>83</v>
      </c>
      <c r="B57" s="8">
        <v>2.9</v>
      </c>
      <c r="C57" s="8">
        <v>3.9</v>
      </c>
      <c r="D57" s="8">
        <v>4.6</v>
      </c>
      <c r="E57" s="8">
        <v>5.4</v>
      </c>
      <c r="F57" s="8">
        <v>6.1</v>
      </c>
      <c r="G57" s="8">
        <v>6.9</v>
      </c>
      <c r="H57" s="8">
        <v>26.8</v>
      </c>
      <c r="I57" s="51">
        <v>320</v>
      </c>
      <c r="J57" s="9">
        <v>1</v>
      </c>
      <c r="K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row>
    <row r="58" spans="1:40" ht="12.75">
      <c r="A58" s="6" t="s">
        <v>84</v>
      </c>
      <c r="B58" s="8">
        <v>3.7</v>
      </c>
      <c r="C58" s="8">
        <v>4.8</v>
      </c>
      <c r="D58" s="8">
        <v>5.6</v>
      </c>
      <c r="E58" s="8">
        <v>6.5</v>
      </c>
      <c r="F58" s="8">
        <v>7.2</v>
      </c>
      <c r="G58" s="8">
        <v>8.1</v>
      </c>
      <c r="H58" s="8">
        <v>41.5</v>
      </c>
      <c r="I58" s="51">
        <v>240</v>
      </c>
      <c r="J58" s="9">
        <v>1</v>
      </c>
      <c r="K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row>
    <row r="59" spans="1:40" ht="12.75">
      <c r="A59" s="10" t="s">
        <v>15</v>
      </c>
      <c r="B59" s="11">
        <v>2.3</v>
      </c>
      <c r="C59" s="11">
        <v>3.2</v>
      </c>
      <c r="D59" s="11">
        <v>3.7</v>
      </c>
      <c r="E59" s="11">
        <v>4.4</v>
      </c>
      <c r="F59" s="11">
        <v>5.1</v>
      </c>
      <c r="G59" s="11">
        <v>5.5</v>
      </c>
      <c r="H59" s="11">
        <v>19.3</v>
      </c>
      <c r="I59" s="53">
        <v>640</v>
      </c>
      <c r="J59" s="9">
        <v>4</v>
      </c>
      <c r="K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row>
    <row r="60" spans="1:40" ht="12.75">
      <c r="A60" s="6" t="s">
        <v>85</v>
      </c>
      <c r="B60" s="8">
        <v>3.6</v>
      </c>
      <c r="C60" s="8">
        <v>4.6</v>
      </c>
      <c r="D60" s="8">
        <v>5.4</v>
      </c>
      <c r="E60" s="8">
        <v>6.3</v>
      </c>
      <c r="F60" s="8">
        <v>7</v>
      </c>
      <c r="G60" s="8">
        <v>8</v>
      </c>
      <c r="H60" s="8">
        <v>36.7</v>
      </c>
      <c r="I60" s="51">
        <v>240</v>
      </c>
      <c r="J60" s="9">
        <v>1</v>
      </c>
      <c r="K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row>
    <row r="61" spans="1:40" ht="12.75">
      <c r="A61" s="6" t="s">
        <v>86</v>
      </c>
      <c r="B61" s="8">
        <v>3.5</v>
      </c>
      <c r="C61" s="8">
        <v>4.4</v>
      </c>
      <c r="D61" s="8">
        <v>5.2</v>
      </c>
      <c r="E61" s="8">
        <v>6.1</v>
      </c>
      <c r="F61" s="8">
        <v>6.8</v>
      </c>
      <c r="G61" s="8">
        <v>7.7</v>
      </c>
      <c r="H61" s="8">
        <v>32.4</v>
      </c>
      <c r="I61" s="51">
        <v>240</v>
      </c>
      <c r="J61" s="9">
        <v>1</v>
      </c>
      <c r="K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row>
    <row r="62" spans="1:40" ht="12.75">
      <c r="A62" s="7" t="s">
        <v>87</v>
      </c>
      <c r="B62" s="8">
        <v>3.2</v>
      </c>
      <c r="C62" s="8">
        <v>4.2</v>
      </c>
      <c r="D62" s="8">
        <v>5</v>
      </c>
      <c r="E62" s="8">
        <v>5.7</v>
      </c>
      <c r="F62" s="8">
        <v>6.4</v>
      </c>
      <c r="G62" s="8">
        <v>7.2</v>
      </c>
      <c r="H62" s="8">
        <v>30.9</v>
      </c>
      <c r="I62" s="51">
        <v>240</v>
      </c>
      <c r="J62" s="9">
        <v>1</v>
      </c>
      <c r="K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row>
    <row r="63" spans="1:40" ht="12.75">
      <c r="A63" s="6" t="s">
        <v>88</v>
      </c>
      <c r="B63" s="8">
        <v>3.2</v>
      </c>
      <c r="C63" s="8">
        <v>4.2</v>
      </c>
      <c r="D63" s="8">
        <v>5</v>
      </c>
      <c r="E63" s="8">
        <v>5.8</v>
      </c>
      <c r="F63" s="8">
        <v>6.6</v>
      </c>
      <c r="G63" s="8">
        <v>7.4</v>
      </c>
      <c r="H63" s="8">
        <v>29</v>
      </c>
      <c r="I63" s="51">
        <v>320</v>
      </c>
      <c r="J63" s="9">
        <v>1</v>
      </c>
      <c r="K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row>
    <row r="64" spans="1:40" ht="12.75">
      <c r="A64" s="10" t="s">
        <v>16</v>
      </c>
      <c r="B64" s="11">
        <v>2.7</v>
      </c>
      <c r="C64" s="11">
        <v>3.6</v>
      </c>
      <c r="D64" s="11">
        <v>4.4</v>
      </c>
      <c r="E64" s="11">
        <v>5</v>
      </c>
      <c r="F64" s="11">
        <v>5.8</v>
      </c>
      <c r="G64" s="11">
        <v>6.3</v>
      </c>
      <c r="H64" s="11">
        <v>20.6</v>
      </c>
      <c r="I64" s="53">
        <v>640</v>
      </c>
      <c r="J64" s="9">
        <v>4</v>
      </c>
      <c r="K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row>
    <row r="65" spans="1:40" ht="12.75">
      <c r="A65" s="10" t="s">
        <v>89</v>
      </c>
      <c r="B65" s="11">
        <v>3.6</v>
      </c>
      <c r="C65" s="11">
        <v>4.7</v>
      </c>
      <c r="D65" s="11">
        <v>5.5</v>
      </c>
      <c r="E65" s="11">
        <v>6.4</v>
      </c>
      <c r="F65" s="11">
        <v>7.1</v>
      </c>
      <c r="G65" s="11">
        <v>8</v>
      </c>
      <c r="H65" s="11">
        <v>40.7</v>
      </c>
      <c r="I65" s="53">
        <v>240</v>
      </c>
      <c r="J65" s="9">
        <v>1</v>
      </c>
      <c r="K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row>
    <row r="66" spans="1:40" ht="12.75">
      <c r="A66" s="6" t="s">
        <v>90</v>
      </c>
      <c r="B66" s="8">
        <v>2.8</v>
      </c>
      <c r="C66" s="8">
        <v>3.8</v>
      </c>
      <c r="D66" s="8">
        <v>4.5</v>
      </c>
      <c r="E66" s="8">
        <v>5.3</v>
      </c>
      <c r="F66" s="8">
        <v>6</v>
      </c>
      <c r="G66" s="8">
        <v>6.7</v>
      </c>
      <c r="H66" s="8">
        <v>26.4</v>
      </c>
      <c r="I66" s="51">
        <v>320</v>
      </c>
      <c r="J66" s="9">
        <v>1</v>
      </c>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row>
    <row r="67" spans="1:40" ht="12.75">
      <c r="A67" s="6" t="s">
        <v>91</v>
      </c>
      <c r="B67" s="8">
        <v>3.9</v>
      </c>
      <c r="C67" s="8">
        <v>5</v>
      </c>
      <c r="D67" s="8">
        <v>5.8</v>
      </c>
      <c r="E67" s="8">
        <v>6.8</v>
      </c>
      <c r="F67" s="8">
        <v>7.6</v>
      </c>
      <c r="G67" s="8">
        <v>8.5</v>
      </c>
      <c r="H67" s="8">
        <v>37</v>
      </c>
      <c r="I67" s="51">
        <v>240</v>
      </c>
      <c r="J67" s="9">
        <v>1</v>
      </c>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row>
    <row r="68" spans="1:40" ht="12.75">
      <c r="A68" s="6" t="s">
        <v>92</v>
      </c>
      <c r="B68" s="8">
        <v>3.5</v>
      </c>
      <c r="C68" s="8">
        <v>4.5</v>
      </c>
      <c r="D68" s="8">
        <v>5.3</v>
      </c>
      <c r="E68" s="8">
        <v>6.1</v>
      </c>
      <c r="F68" s="8">
        <v>6.8</v>
      </c>
      <c r="G68" s="8">
        <v>7.7</v>
      </c>
      <c r="H68" s="8">
        <v>34.1</v>
      </c>
      <c r="I68" s="51">
        <v>240</v>
      </c>
      <c r="J68" s="9">
        <v>1</v>
      </c>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row>
    <row r="69" spans="1:40" ht="12.75">
      <c r="A69" s="10" t="s">
        <v>17</v>
      </c>
      <c r="B69" s="11">
        <v>2.4</v>
      </c>
      <c r="C69" s="11">
        <v>3.3</v>
      </c>
      <c r="D69" s="11">
        <v>3.9</v>
      </c>
      <c r="E69" s="11">
        <v>4.6</v>
      </c>
      <c r="F69" s="11">
        <v>5.3</v>
      </c>
      <c r="G69" s="11">
        <v>5.7</v>
      </c>
      <c r="H69" s="11">
        <v>17.3</v>
      </c>
      <c r="I69" s="53">
        <v>640</v>
      </c>
      <c r="J69" s="9">
        <v>5</v>
      </c>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row>
    <row r="70" spans="1:40" ht="12.75">
      <c r="A70" s="10" t="s">
        <v>93</v>
      </c>
      <c r="B70" s="11">
        <v>3.3</v>
      </c>
      <c r="C70" s="11">
        <v>4.3</v>
      </c>
      <c r="D70" s="11">
        <v>5.1</v>
      </c>
      <c r="E70" s="11">
        <v>5.8</v>
      </c>
      <c r="F70" s="11">
        <v>6.5</v>
      </c>
      <c r="G70" s="11">
        <v>7.3</v>
      </c>
      <c r="H70" s="11">
        <v>34.5</v>
      </c>
      <c r="I70" s="53">
        <v>240</v>
      </c>
      <c r="J70" s="9">
        <v>1</v>
      </c>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row>
    <row r="71" spans="1:40" ht="12.75">
      <c r="A71" s="6" t="s">
        <v>94</v>
      </c>
      <c r="B71" s="8">
        <v>3.9</v>
      </c>
      <c r="C71" s="8">
        <v>5</v>
      </c>
      <c r="D71" s="8">
        <v>5.8</v>
      </c>
      <c r="E71" s="8">
        <v>6.7</v>
      </c>
      <c r="F71" s="8">
        <v>7.5</v>
      </c>
      <c r="G71" s="8">
        <v>8.4</v>
      </c>
      <c r="H71" s="8">
        <v>39.8</v>
      </c>
      <c r="I71" s="51">
        <v>240</v>
      </c>
      <c r="J71" s="9">
        <v>1</v>
      </c>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row>
    <row r="72" spans="1:40" ht="12.75">
      <c r="A72" s="10" t="s">
        <v>18</v>
      </c>
      <c r="B72" s="11">
        <v>2.5</v>
      </c>
      <c r="C72" s="11">
        <v>3.4</v>
      </c>
      <c r="D72" s="11">
        <v>4.1</v>
      </c>
      <c r="E72" s="11">
        <v>4.8</v>
      </c>
      <c r="F72" s="11">
        <v>5.7</v>
      </c>
      <c r="G72" s="11">
        <v>6</v>
      </c>
      <c r="H72" s="11">
        <v>21.4</v>
      </c>
      <c r="I72" s="53">
        <v>640</v>
      </c>
      <c r="J72" s="9">
        <v>3</v>
      </c>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row>
    <row r="73" spans="1:40" ht="12.75">
      <c r="A73" s="10" t="s">
        <v>95</v>
      </c>
      <c r="B73" s="11">
        <v>2.4</v>
      </c>
      <c r="C73" s="11">
        <v>3.3</v>
      </c>
      <c r="D73" s="11">
        <v>3.9</v>
      </c>
      <c r="E73" s="11">
        <v>4.6</v>
      </c>
      <c r="F73" s="11">
        <v>5.3</v>
      </c>
      <c r="G73" s="11">
        <v>5.9</v>
      </c>
      <c r="H73" s="11">
        <v>22.3</v>
      </c>
      <c r="I73" s="53">
        <v>640</v>
      </c>
      <c r="J73" s="9">
        <v>3</v>
      </c>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row>
    <row r="74" spans="1:40" ht="12.75">
      <c r="A74" s="10" t="s">
        <v>96</v>
      </c>
      <c r="B74" s="11">
        <v>3.6</v>
      </c>
      <c r="C74" s="11">
        <v>4.6</v>
      </c>
      <c r="D74" s="11">
        <v>5.5</v>
      </c>
      <c r="E74" s="11">
        <v>6.3</v>
      </c>
      <c r="F74" s="11">
        <v>7</v>
      </c>
      <c r="G74" s="11">
        <v>8</v>
      </c>
      <c r="H74" s="11">
        <v>36.9</v>
      </c>
      <c r="I74" s="53">
        <v>240</v>
      </c>
      <c r="J74" s="9">
        <v>1</v>
      </c>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row>
    <row r="75" spans="1:40" ht="12.75">
      <c r="A75" s="10" t="s">
        <v>97</v>
      </c>
      <c r="B75" s="11">
        <v>2.7</v>
      </c>
      <c r="C75" s="11">
        <v>3.6</v>
      </c>
      <c r="D75" s="11">
        <v>4.3</v>
      </c>
      <c r="E75" s="11">
        <v>5.1</v>
      </c>
      <c r="F75" s="11">
        <v>5.8</v>
      </c>
      <c r="G75" s="11">
        <v>6.5</v>
      </c>
      <c r="H75" s="11">
        <v>25</v>
      </c>
      <c r="I75" s="53">
        <v>640</v>
      </c>
      <c r="J75" s="9">
        <v>2</v>
      </c>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row>
    <row r="76" spans="1:40" ht="12.75">
      <c r="A76" s="6" t="s">
        <v>98</v>
      </c>
      <c r="B76" s="8">
        <v>3</v>
      </c>
      <c r="C76" s="8">
        <v>4.1</v>
      </c>
      <c r="D76" s="8">
        <v>4.8</v>
      </c>
      <c r="E76" s="8">
        <v>5.6</v>
      </c>
      <c r="F76" s="8">
        <v>6.3</v>
      </c>
      <c r="G76" s="8">
        <v>7.1</v>
      </c>
      <c r="H76" s="8">
        <v>28.8</v>
      </c>
      <c r="I76" s="51">
        <v>320</v>
      </c>
      <c r="J76" s="9">
        <v>1</v>
      </c>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row>
    <row r="77" spans="1:40" ht="12.75">
      <c r="A77" s="6" t="s">
        <v>19</v>
      </c>
      <c r="B77" s="8">
        <v>2.8</v>
      </c>
      <c r="C77" s="8">
        <v>3.7</v>
      </c>
      <c r="D77" s="8">
        <v>4.5</v>
      </c>
      <c r="E77" s="8">
        <v>5.2</v>
      </c>
      <c r="F77" s="8">
        <v>6</v>
      </c>
      <c r="G77" s="8">
        <v>6.6</v>
      </c>
      <c r="H77" s="8">
        <v>23.3</v>
      </c>
      <c r="I77" s="51">
        <v>640</v>
      </c>
      <c r="J77" s="9">
        <v>3</v>
      </c>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row>
    <row r="78" spans="1:40" ht="12.75">
      <c r="A78" s="7" t="s">
        <v>99</v>
      </c>
      <c r="B78" s="8">
        <v>2.5</v>
      </c>
      <c r="C78" s="8">
        <v>3.4</v>
      </c>
      <c r="D78" s="8">
        <v>4.1</v>
      </c>
      <c r="E78" s="8">
        <v>4.8</v>
      </c>
      <c r="F78" s="8">
        <v>5.5</v>
      </c>
      <c r="G78" s="8">
        <v>6</v>
      </c>
      <c r="H78" s="8">
        <v>23.6</v>
      </c>
      <c r="I78" s="51">
        <v>640</v>
      </c>
      <c r="J78" s="9">
        <v>2</v>
      </c>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row>
    <row r="79" spans="1:40" ht="12.75">
      <c r="A79" s="7" t="s">
        <v>100</v>
      </c>
      <c r="B79" s="8">
        <v>3.4</v>
      </c>
      <c r="C79" s="8">
        <v>4.3</v>
      </c>
      <c r="D79" s="8">
        <v>5.1</v>
      </c>
      <c r="E79" s="8">
        <v>5.9</v>
      </c>
      <c r="F79" s="8">
        <v>6.6</v>
      </c>
      <c r="G79" s="8">
        <v>7.5</v>
      </c>
      <c r="H79" s="8">
        <v>33.6</v>
      </c>
      <c r="I79" s="51">
        <v>240</v>
      </c>
      <c r="J79" s="9">
        <v>1</v>
      </c>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row>
    <row r="80" spans="1:40" ht="12.75">
      <c r="A80" s="6" t="s">
        <v>101</v>
      </c>
      <c r="B80" s="8">
        <v>3</v>
      </c>
      <c r="C80" s="8">
        <v>4.1</v>
      </c>
      <c r="D80" s="8">
        <v>4.8</v>
      </c>
      <c r="E80" s="8">
        <v>5.6</v>
      </c>
      <c r="F80" s="8">
        <v>6.4</v>
      </c>
      <c r="G80" s="8">
        <v>7.2</v>
      </c>
      <c r="H80" s="8">
        <v>24.6</v>
      </c>
      <c r="I80" s="51">
        <v>320</v>
      </c>
      <c r="J80" s="9">
        <v>3</v>
      </c>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row>
    <row r="81" spans="1:40" ht="12.75">
      <c r="A81" s="7" t="s">
        <v>102</v>
      </c>
      <c r="B81" s="8">
        <v>2.3</v>
      </c>
      <c r="C81" s="8">
        <v>3.1</v>
      </c>
      <c r="D81" s="8">
        <v>3.6</v>
      </c>
      <c r="E81" s="8">
        <v>4.3</v>
      </c>
      <c r="F81" s="8">
        <v>5</v>
      </c>
      <c r="G81" s="8">
        <v>5.5</v>
      </c>
      <c r="H81" s="8">
        <v>21</v>
      </c>
      <c r="I81" s="51">
        <v>640</v>
      </c>
      <c r="J81" s="9">
        <v>3</v>
      </c>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row>
    <row r="82" spans="1:40" ht="12.75">
      <c r="A82" s="6" t="s">
        <v>103</v>
      </c>
      <c r="B82" s="8">
        <v>3.2</v>
      </c>
      <c r="C82" s="8">
        <v>4.2</v>
      </c>
      <c r="D82" s="8">
        <v>5</v>
      </c>
      <c r="E82" s="8">
        <v>5.8</v>
      </c>
      <c r="F82" s="8">
        <v>6.6</v>
      </c>
      <c r="G82" s="8">
        <v>7.4</v>
      </c>
      <c r="H82" s="8">
        <v>27.7</v>
      </c>
      <c r="I82" s="51">
        <v>320</v>
      </c>
      <c r="J82" s="9">
        <v>2</v>
      </c>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row>
    <row r="83" spans="1:40" ht="12.75">
      <c r="A83" s="6" t="s">
        <v>104</v>
      </c>
      <c r="B83" s="8">
        <v>2.9</v>
      </c>
      <c r="C83" s="8">
        <v>3.9</v>
      </c>
      <c r="D83" s="8">
        <v>4.6</v>
      </c>
      <c r="E83" s="8">
        <v>5.4</v>
      </c>
      <c r="F83" s="8">
        <v>6</v>
      </c>
      <c r="G83" s="8">
        <v>6.8</v>
      </c>
      <c r="H83" s="8">
        <v>28.6</v>
      </c>
      <c r="I83" s="51">
        <v>320</v>
      </c>
      <c r="J83" s="9">
        <v>1</v>
      </c>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row>
    <row r="84" spans="1:40" ht="12.75">
      <c r="A84" s="6" t="s">
        <v>105</v>
      </c>
      <c r="B84" s="8">
        <v>3</v>
      </c>
      <c r="C84" s="8">
        <v>4.1</v>
      </c>
      <c r="D84" s="8">
        <v>4.8</v>
      </c>
      <c r="E84" s="8">
        <v>5.6</v>
      </c>
      <c r="F84" s="8">
        <v>6.4</v>
      </c>
      <c r="G84" s="8">
        <v>7.3</v>
      </c>
      <c r="H84" s="8">
        <v>26.6</v>
      </c>
      <c r="I84" s="51">
        <v>320</v>
      </c>
      <c r="J84" s="9">
        <v>2</v>
      </c>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row>
    <row r="85" spans="1:40" ht="12.75">
      <c r="A85" s="7" t="s">
        <v>106</v>
      </c>
      <c r="B85" s="8">
        <v>3.3</v>
      </c>
      <c r="C85" s="8">
        <v>4.3</v>
      </c>
      <c r="D85" s="8">
        <v>5.1</v>
      </c>
      <c r="E85" s="8">
        <v>5.8</v>
      </c>
      <c r="F85" s="8">
        <v>6.5</v>
      </c>
      <c r="G85" s="8">
        <v>7.4</v>
      </c>
      <c r="H85" s="8">
        <v>33.5</v>
      </c>
      <c r="I85" s="51">
        <v>240</v>
      </c>
      <c r="J85" s="9">
        <v>1</v>
      </c>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row>
    <row r="86" spans="1:40" ht="12.75">
      <c r="A86" s="7" t="s">
        <v>107</v>
      </c>
      <c r="B86" s="8">
        <v>2.5</v>
      </c>
      <c r="C86" s="8">
        <v>3.4</v>
      </c>
      <c r="D86" s="8">
        <v>4.1</v>
      </c>
      <c r="E86" s="8">
        <v>4.9</v>
      </c>
      <c r="F86" s="8">
        <v>5.7</v>
      </c>
      <c r="G86" s="8">
        <v>6.1</v>
      </c>
      <c r="H86" s="8">
        <v>23.9</v>
      </c>
      <c r="I86" s="51">
        <v>640</v>
      </c>
      <c r="J86" s="9">
        <v>2</v>
      </c>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row>
    <row r="87" spans="1:40" ht="12.75">
      <c r="A87" s="6" t="s">
        <v>20</v>
      </c>
      <c r="B87" s="8">
        <v>2.7</v>
      </c>
      <c r="C87" s="8">
        <v>3.6</v>
      </c>
      <c r="D87" s="8">
        <v>4.3</v>
      </c>
      <c r="E87" s="8">
        <v>5</v>
      </c>
      <c r="F87" s="8">
        <v>5.9</v>
      </c>
      <c r="G87" s="8">
        <v>6.5</v>
      </c>
      <c r="H87" s="8">
        <v>23.3</v>
      </c>
      <c r="I87" s="51">
        <v>640</v>
      </c>
      <c r="J87" s="9">
        <v>3</v>
      </c>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row>
    <row r="88" spans="1:40" ht="12.75">
      <c r="A88" s="7" t="s">
        <v>108</v>
      </c>
      <c r="B88" s="8">
        <v>2.8</v>
      </c>
      <c r="C88" s="8">
        <v>3.7</v>
      </c>
      <c r="D88" s="8">
        <v>4.4</v>
      </c>
      <c r="E88" s="8">
        <v>5.2</v>
      </c>
      <c r="F88" s="8">
        <v>5.9</v>
      </c>
      <c r="G88" s="8">
        <v>6.7</v>
      </c>
      <c r="H88" s="8">
        <v>26.8</v>
      </c>
      <c r="I88" s="51">
        <v>640</v>
      </c>
      <c r="J88" s="9">
        <v>2</v>
      </c>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row>
    <row r="89" spans="1:40" ht="12.75">
      <c r="A89" s="6" t="s">
        <v>109</v>
      </c>
      <c r="B89" s="8">
        <v>3.1</v>
      </c>
      <c r="C89" s="8">
        <v>4.1</v>
      </c>
      <c r="D89" s="8">
        <v>4.9</v>
      </c>
      <c r="E89" s="8">
        <v>5.7</v>
      </c>
      <c r="F89" s="8">
        <v>6.4</v>
      </c>
      <c r="G89" s="8">
        <v>7.3</v>
      </c>
      <c r="H89" s="8">
        <v>28.4</v>
      </c>
      <c r="I89" s="51">
        <v>320</v>
      </c>
      <c r="J89" s="9">
        <v>1</v>
      </c>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row>
    <row r="90" spans="1:40" ht="12.75">
      <c r="A90" s="10" t="s">
        <v>21</v>
      </c>
      <c r="B90" s="11">
        <v>2.4</v>
      </c>
      <c r="C90" s="11">
        <v>3.2</v>
      </c>
      <c r="D90" s="11">
        <v>3.8</v>
      </c>
      <c r="E90" s="11">
        <v>4.5</v>
      </c>
      <c r="F90" s="11">
        <v>5.3</v>
      </c>
      <c r="G90" s="11">
        <v>5.7</v>
      </c>
      <c r="H90" s="11">
        <v>20.2</v>
      </c>
      <c r="I90" s="53">
        <v>640</v>
      </c>
      <c r="J90" s="9">
        <v>4</v>
      </c>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row>
    <row r="91" spans="1:40" ht="12.75">
      <c r="A91" s="6" t="s">
        <v>110</v>
      </c>
      <c r="B91" s="8">
        <v>3.5</v>
      </c>
      <c r="C91" s="8">
        <v>4.5</v>
      </c>
      <c r="D91" s="8">
        <v>5.3</v>
      </c>
      <c r="E91" s="8">
        <v>6.1</v>
      </c>
      <c r="F91" s="8">
        <v>7</v>
      </c>
      <c r="G91" s="8">
        <v>7.8</v>
      </c>
      <c r="H91" s="8">
        <v>30.6</v>
      </c>
      <c r="I91" s="51">
        <v>240</v>
      </c>
      <c r="J91" s="9">
        <v>1</v>
      </c>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row>
    <row r="92" spans="1:40" ht="12.75">
      <c r="A92" s="10" t="s">
        <v>22</v>
      </c>
      <c r="B92" s="11">
        <v>2.6</v>
      </c>
      <c r="C92" s="11">
        <v>3.5</v>
      </c>
      <c r="D92" s="11">
        <v>4.2</v>
      </c>
      <c r="E92" s="11">
        <v>4.8</v>
      </c>
      <c r="F92" s="11">
        <v>5.7</v>
      </c>
      <c r="G92" s="11">
        <v>6</v>
      </c>
      <c r="H92" s="11">
        <v>19.8</v>
      </c>
      <c r="I92" s="53">
        <v>640</v>
      </c>
      <c r="J92" s="9">
        <v>5</v>
      </c>
      <c r="K92" s="52"/>
      <c r="L92"/>
      <c r="M9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row>
    <row r="93" spans="1:40" ht="12.75">
      <c r="A93" s="10" t="s">
        <v>111</v>
      </c>
      <c r="B93" s="11">
        <v>3.5</v>
      </c>
      <c r="C93" s="11">
        <v>4.5</v>
      </c>
      <c r="D93" s="11">
        <v>5.3</v>
      </c>
      <c r="E93" s="11">
        <v>6.1</v>
      </c>
      <c r="F93" s="11">
        <v>6.8</v>
      </c>
      <c r="G93" s="11">
        <v>7.8</v>
      </c>
      <c r="H93" s="11">
        <v>34.7</v>
      </c>
      <c r="I93" s="53">
        <v>240</v>
      </c>
      <c r="J93" s="9">
        <v>1</v>
      </c>
      <c r="K93" s="52"/>
      <c r="L93"/>
      <c r="M93"/>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row>
    <row r="94" spans="1:40" ht="12.75">
      <c r="A94" s="10" t="s">
        <v>112</v>
      </c>
      <c r="B94" s="11">
        <v>2.4</v>
      </c>
      <c r="C94" s="11">
        <v>3.2</v>
      </c>
      <c r="D94" s="11">
        <v>3.8</v>
      </c>
      <c r="E94" s="11">
        <v>4.5</v>
      </c>
      <c r="F94" s="11">
        <v>5.3</v>
      </c>
      <c r="G94" s="11">
        <v>5.7</v>
      </c>
      <c r="H94" s="11">
        <v>21.3</v>
      </c>
      <c r="I94" s="53">
        <v>640</v>
      </c>
      <c r="J94" s="9">
        <v>3</v>
      </c>
      <c r="K94" s="52"/>
      <c r="L94"/>
      <c r="M94"/>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row>
    <row r="95" spans="1:40" ht="12.75">
      <c r="A95" s="10" t="s">
        <v>113</v>
      </c>
      <c r="B95" s="11">
        <v>2.2</v>
      </c>
      <c r="C95" s="11">
        <v>3</v>
      </c>
      <c r="D95" s="11">
        <v>3.5</v>
      </c>
      <c r="E95" s="11">
        <v>4.2</v>
      </c>
      <c r="F95" s="11">
        <v>4.8</v>
      </c>
      <c r="G95" s="11">
        <v>5.3</v>
      </c>
      <c r="H95" s="11">
        <v>16.7</v>
      </c>
      <c r="I95" s="53">
        <v>640</v>
      </c>
      <c r="J95" s="9">
        <v>4</v>
      </c>
      <c r="K95" s="52"/>
      <c r="L95"/>
      <c r="M95"/>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row>
    <row r="96" spans="1:40" ht="12.75">
      <c r="A96" s="10" t="s">
        <v>114</v>
      </c>
      <c r="B96" s="11">
        <v>2.6</v>
      </c>
      <c r="C96" s="11">
        <v>3.5</v>
      </c>
      <c r="D96" s="11">
        <v>4.2</v>
      </c>
      <c r="E96" s="11">
        <v>5</v>
      </c>
      <c r="F96" s="11">
        <v>5.7</v>
      </c>
      <c r="G96" s="11">
        <v>6.3</v>
      </c>
      <c r="H96" s="11">
        <v>24.4</v>
      </c>
      <c r="I96" s="53">
        <v>640</v>
      </c>
      <c r="J96" s="9">
        <v>2</v>
      </c>
      <c r="K96" s="52"/>
      <c r="L96"/>
      <c r="M96"/>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row>
    <row r="97" spans="1:40" ht="12.75">
      <c r="A97" s="6" t="s">
        <v>115</v>
      </c>
      <c r="B97" s="8">
        <v>2.9</v>
      </c>
      <c r="C97" s="8">
        <v>4</v>
      </c>
      <c r="D97" s="8">
        <v>4.7</v>
      </c>
      <c r="E97" s="8">
        <v>5.5</v>
      </c>
      <c r="F97" s="8">
        <v>6.2</v>
      </c>
      <c r="G97" s="8">
        <v>7.1</v>
      </c>
      <c r="H97" s="8">
        <v>25.1</v>
      </c>
      <c r="I97" s="51">
        <v>320</v>
      </c>
      <c r="J97" s="9">
        <v>3</v>
      </c>
      <c r="K97" s="52"/>
      <c r="L97"/>
      <c r="M97"/>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row>
    <row r="98" spans="1:40" ht="12.75">
      <c r="A98" s="10" t="s">
        <v>23</v>
      </c>
      <c r="B98" s="11">
        <v>2.4</v>
      </c>
      <c r="C98" s="11">
        <v>3.2</v>
      </c>
      <c r="D98" s="11">
        <v>3.8</v>
      </c>
      <c r="E98" s="11">
        <v>4.5</v>
      </c>
      <c r="F98" s="11">
        <v>5.2</v>
      </c>
      <c r="G98" s="11">
        <v>5.6</v>
      </c>
      <c r="H98" s="11">
        <v>15.8</v>
      </c>
      <c r="I98" s="53">
        <v>640</v>
      </c>
      <c r="J98" s="9">
        <v>5</v>
      </c>
      <c r="K98" s="52"/>
      <c r="L98"/>
      <c r="M98"/>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row>
    <row r="99" spans="1:40" ht="12.75">
      <c r="A99" s="10" t="s">
        <v>24</v>
      </c>
      <c r="B99" s="11">
        <v>2.5</v>
      </c>
      <c r="C99" s="11">
        <v>3.4</v>
      </c>
      <c r="D99" s="11">
        <v>4.1</v>
      </c>
      <c r="E99" s="11">
        <v>4.7</v>
      </c>
      <c r="F99" s="11">
        <v>5.5</v>
      </c>
      <c r="G99" s="11">
        <v>5.9</v>
      </c>
      <c r="H99" s="11">
        <v>19.7</v>
      </c>
      <c r="I99" s="53">
        <v>640</v>
      </c>
      <c r="J99" s="9">
        <v>5</v>
      </c>
      <c r="K99" s="52"/>
      <c r="L99"/>
      <c r="M99"/>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row>
    <row r="100" spans="1:40" ht="12.75">
      <c r="A100" s="6" t="s">
        <v>116</v>
      </c>
      <c r="B100" s="8">
        <v>3.6</v>
      </c>
      <c r="C100" s="8">
        <v>4.6</v>
      </c>
      <c r="D100" s="8">
        <v>5.4</v>
      </c>
      <c r="E100" s="8">
        <v>6.2</v>
      </c>
      <c r="F100" s="8">
        <v>7.1</v>
      </c>
      <c r="G100" s="8">
        <v>8</v>
      </c>
      <c r="H100" s="8">
        <v>34</v>
      </c>
      <c r="I100" s="51">
        <v>240</v>
      </c>
      <c r="J100" s="9">
        <v>1</v>
      </c>
      <c r="K100" s="52"/>
      <c r="L100"/>
      <c r="M100"/>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row>
    <row r="101" spans="1:40" ht="12.75">
      <c r="A101" s="7" t="s">
        <v>117</v>
      </c>
      <c r="B101" s="8">
        <v>2.3</v>
      </c>
      <c r="C101" s="8">
        <v>3.1</v>
      </c>
      <c r="D101" s="8">
        <v>3.7</v>
      </c>
      <c r="E101" s="8">
        <v>4.4</v>
      </c>
      <c r="F101" s="8">
        <v>5</v>
      </c>
      <c r="G101" s="8">
        <v>5.5</v>
      </c>
      <c r="H101" s="8">
        <v>19</v>
      </c>
      <c r="I101" s="51">
        <v>640</v>
      </c>
      <c r="J101" s="9">
        <v>3</v>
      </c>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row>
    <row r="102" spans="1:40" ht="12.75">
      <c r="A102" s="10" t="s">
        <v>25</v>
      </c>
      <c r="B102" s="11">
        <v>2.5</v>
      </c>
      <c r="C102" s="11">
        <v>3.4</v>
      </c>
      <c r="D102" s="11">
        <v>4</v>
      </c>
      <c r="E102" s="11">
        <v>4.8</v>
      </c>
      <c r="F102" s="11">
        <v>5.6</v>
      </c>
      <c r="G102" s="11">
        <v>6</v>
      </c>
      <c r="H102" s="11">
        <v>22.2</v>
      </c>
      <c r="I102" s="53">
        <v>640</v>
      </c>
      <c r="J102" s="9">
        <v>3</v>
      </c>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row>
    <row r="103" spans="1:40" ht="12.75">
      <c r="A103" s="10" t="s">
        <v>118</v>
      </c>
      <c r="B103" s="11">
        <v>3.5</v>
      </c>
      <c r="C103" s="11">
        <v>4.5</v>
      </c>
      <c r="D103" s="11">
        <v>5.3</v>
      </c>
      <c r="E103" s="11">
        <v>6.1</v>
      </c>
      <c r="F103" s="11">
        <v>6.8</v>
      </c>
      <c r="G103" s="11">
        <v>7.7</v>
      </c>
      <c r="H103" s="11">
        <v>35.5</v>
      </c>
      <c r="I103" s="53">
        <v>240</v>
      </c>
      <c r="J103" s="9">
        <v>1</v>
      </c>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row>
    <row r="104" spans="1:40" ht="12.75">
      <c r="A104" s="10" t="s">
        <v>26</v>
      </c>
      <c r="B104" s="11">
        <v>2.2</v>
      </c>
      <c r="C104" s="11">
        <v>3</v>
      </c>
      <c r="D104" s="11">
        <v>3.6</v>
      </c>
      <c r="E104" s="11">
        <v>4.2</v>
      </c>
      <c r="F104" s="11">
        <v>4.8</v>
      </c>
      <c r="G104" s="11">
        <v>5.3</v>
      </c>
      <c r="H104" s="11">
        <v>18.2</v>
      </c>
      <c r="I104" s="53">
        <v>640</v>
      </c>
      <c r="J104" s="9">
        <v>4</v>
      </c>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row>
    <row r="105" spans="1:40" ht="12.75">
      <c r="A105" s="10" t="s">
        <v>119</v>
      </c>
      <c r="B105" s="11">
        <v>3.1</v>
      </c>
      <c r="C105" s="11">
        <v>4.1</v>
      </c>
      <c r="D105" s="11">
        <v>4.8</v>
      </c>
      <c r="E105" s="11">
        <v>5.5</v>
      </c>
      <c r="F105" s="11">
        <v>6.2</v>
      </c>
      <c r="G105" s="11">
        <v>7.1</v>
      </c>
      <c r="H105" s="11">
        <v>30.1</v>
      </c>
      <c r="I105" s="53">
        <v>240</v>
      </c>
      <c r="J105" s="9">
        <v>1</v>
      </c>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row>
    <row r="106" spans="1:40" ht="12.75">
      <c r="A106" s="10" t="s">
        <v>27</v>
      </c>
      <c r="B106" s="11">
        <v>2.3</v>
      </c>
      <c r="C106" s="11">
        <v>3.2</v>
      </c>
      <c r="D106" s="11">
        <v>3.8</v>
      </c>
      <c r="E106" s="11">
        <v>4.4</v>
      </c>
      <c r="F106" s="11">
        <v>5.1</v>
      </c>
      <c r="G106" s="11">
        <v>5.5</v>
      </c>
      <c r="H106" s="11">
        <v>18.6</v>
      </c>
      <c r="I106" s="53">
        <v>640</v>
      </c>
      <c r="J106" s="9">
        <v>4</v>
      </c>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row>
    <row r="107" spans="1:40" ht="12.75">
      <c r="A107" s="6" t="s">
        <v>120</v>
      </c>
      <c r="B107" s="8">
        <v>3.8</v>
      </c>
      <c r="C107" s="8">
        <v>4.9</v>
      </c>
      <c r="D107" s="8">
        <v>5.7</v>
      </c>
      <c r="E107" s="8">
        <v>6.6</v>
      </c>
      <c r="F107" s="8">
        <v>7.4</v>
      </c>
      <c r="G107" s="8">
        <v>8.4</v>
      </c>
      <c r="H107" s="8">
        <v>36</v>
      </c>
      <c r="I107" s="51">
        <v>240</v>
      </c>
      <c r="J107" s="9">
        <v>1</v>
      </c>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row>
    <row r="108" spans="1:40" ht="12.75">
      <c r="A108" s="7" t="s">
        <v>121</v>
      </c>
      <c r="B108" s="8">
        <v>3.8</v>
      </c>
      <c r="C108" s="8">
        <v>4.8</v>
      </c>
      <c r="D108" s="8">
        <v>5.6</v>
      </c>
      <c r="E108" s="8">
        <v>6.5</v>
      </c>
      <c r="F108" s="8">
        <v>7.3</v>
      </c>
      <c r="G108" s="8">
        <v>8.3</v>
      </c>
      <c r="H108" s="8">
        <v>37.3</v>
      </c>
      <c r="I108" s="51">
        <v>240</v>
      </c>
      <c r="J108" s="9">
        <v>1</v>
      </c>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row>
    <row r="109" spans="1:40" ht="12.75">
      <c r="A109" s="7" t="s">
        <v>122</v>
      </c>
      <c r="B109" s="8">
        <v>3.5</v>
      </c>
      <c r="C109" s="8">
        <v>4.6</v>
      </c>
      <c r="D109" s="8">
        <v>5.3</v>
      </c>
      <c r="E109" s="8">
        <v>6.2</v>
      </c>
      <c r="F109" s="8">
        <v>6.9</v>
      </c>
      <c r="G109" s="8">
        <v>7.8</v>
      </c>
      <c r="H109" s="8">
        <v>38.1</v>
      </c>
      <c r="I109" s="51">
        <v>240</v>
      </c>
      <c r="J109" s="9">
        <v>1</v>
      </c>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row>
    <row r="110" spans="1:40" ht="12.75">
      <c r="A110" s="6"/>
      <c r="B110" s="6"/>
      <c r="C110" s="6"/>
      <c r="D110" s="6"/>
      <c r="E110" s="6"/>
      <c r="F110" s="6"/>
      <c r="G110" s="6"/>
      <c r="H110" s="6"/>
      <c r="I110" s="6"/>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row>
    <row r="111" spans="1:40" ht="12.75">
      <c r="A111" s="6"/>
      <c r="B111" s="6"/>
      <c r="C111" s="6"/>
      <c r="D111" s="6"/>
      <c r="E111" s="6"/>
      <c r="F111" s="6"/>
      <c r="G111" s="6"/>
      <c r="H111" s="6"/>
      <c r="I111" s="6"/>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row>
    <row r="112" spans="1:11" ht="12.75">
      <c r="A112" s="393" t="str">
        <f>'Hyd Sum'!C15</f>
        <v>Diversion No.</v>
      </c>
      <c r="B112" s="391">
        <f>'Hyd Sum'!H15</f>
        <v>0</v>
      </c>
      <c r="C112" s="391">
        <f>'Hyd Sum'!L15</f>
        <v>0</v>
      </c>
      <c r="D112" s="380"/>
      <c r="E112" s="380"/>
      <c r="F112" s="379"/>
      <c r="G112" s="381"/>
      <c r="H112" s="380"/>
      <c r="I112" s="381"/>
      <c r="J112" s="379"/>
      <c r="K112" s="381"/>
    </row>
    <row r="113" spans="1:11" ht="12.75">
      <c r="A113" s="355"/>
      <c r="B113" s="353"/>
      <c r="C113" s="353"/>
      <c r="D113" s="353"/>
      <c r="E113" s="353"/>
      <c r="F113" s="355"/>
      <c r="G113" s="354"/>
      <c r="H113" s="353"/>
      <c r="I113" s="354"/>
      <c r="J113" s="355"/>
      <c r="K113" s="354"/>
    </row>
    <row r="114" spans="1:11" ht="12.75">
      <c r="A114" s="355"/>
      <c r="B114" s="353" t="s">
        <v>154</v>
      </c>
      <c r="C114" s="353" t="s">
        <v>155</v>
      </c>
      <c r="D114" s="382" t="s">
        <v>156</v>
      </c>
      <c r="E114" s="353"/>
      <c r="F114" s="841" t="s">
        <v>154</v>
      </c>
      <c r="G114" s="842"/>
      <c r="H114" s="843" t="s">
        <v>155</v>
      </c>
      <c r="I114" s="842"/>
      <c r="J114" s="844" t="s">
        <v>156</v>
      </c>
      <c r="K114" s="842"/>
    </row>
    <row r="115" spans="1:11" ht="12.75">
      <c r="A115" s="383"/>
      <c r="B115" s="383"/>
      <c r="C115" s="383"/>
      <c r="D115" s="383"/>
      <c r="E115" s="353"/>
      <c r="F115" s="355"/>
      <c r="G115" s="354"/>
      <c r="H115" s="353"/>
      <c r="I115" s="354"/>
      <c r="J115" s="355"/>
      <c r="K115" s="354"/>
    </row>
    <row r="116" spans="1:12" ht="12.75">
      <c r="A116" s="355">
        <f>'Hyd Sum'!Y20</f>
      </c>
      <c r="B116" s="384">
        <f>IF('Hyd Sum'!AW23&lt;0.1,0.1,'Hyd Sum'!AW23)</f>
      </c>
      <c r="C116" s="384">
        <f>IF('Hyd Sum'!AW24&lt;0.1,0.1,'Hyd Sum'!AW24)</f>
      </c>
      <c r="D116" s="384">
        <f>IF('Hyd Sum'!AW25&lt;0.1,0.1,'Hyd Sum'!AW25)</f>
      </c>
      <c r="E116" s="353"/>
      <c r="F116" s="385">
        <f>B116</f>
      </c>
      <c r="G116" s="388" t="e">
        <f>VLOOKUP($B116,$A$140:$CW$180,HLOOKUP($A116,$B$138:$CW$139,2))</f>
        <v>#N/A</v>
      </c>
      <c r="H116" s="386">
        <f>C116</f>
      </c>
      <c r="I116" s="388" t="e">
        <f>VLOOKUP($C116,$A$140:$CW$180,HLOOKUP($A116,$B$138:$CW$139,2))</f>
        <v>#N/A</v>
      </c>
      <c r="J116" s="385">
        <f>D116</f>
      </c>
      <c r="K116" s="388" t="e">
        <f>VLOOKUP($D116,$A$140:$CW$180,HLOOKUP($A116,$B$138:$CW$139,2))</f>
        <v>#N/A</v>
      </c>
      <c r="L116" s="378" t="s">
        <v>266</v>
      </c>
    </row>
    <row r="117" spans="1:11" ht="13.5" thickBot="1">
      <c r="A117" s="367" t="s">
        <v>30</v>
      </c>
      <c r="B117" s="368" t="s">
        <v>256</v>
      </c>
      <c r="C117" s="368" t="s">
        <v>256</v>
      </c>
      <c r="D117" s="368" t="s">
        <v>256</v>
      </c>
      <c r="E117" s="387"/>
      <c r="F117" s="368" t="s">
        <v>256</v>
      </c>
      <c r="G117" s="389" t="s">
        <v>257</v>
      </c>
      <c r="H117" s="368" t="s">
        <v>256</v>
      </c>
      <c r="I117" s="389" t="s">
        <v>257</v>
      </c>
      <c r="J117" s="368" t="s">
        <v>256</v>
      </c>
      <c r="K117" s="389" t="s">
        <v>257</v>
      </c>
    </row>
    <row r="118" spans="1:11" ht="12.75">
      <c r="A118" s="390" t="str">
        <f>'Hyd Sum'!C28</f>
        <v>Diversion No.</v>
      </c>
      <c r="B118" s="391">
        <f>'Hyd Sum'!H28</f>
        <v>0</v>
      </c>
      <c r="C118" s="392">
        <f>'Hyd Sum'!L28</f>
        <v>0</v>
      </c>
      <c r="D118" s="353"/>
      <c r="E118" s="353"/>
      <c r="F118" s="355"/>
      <c r="G118" s="354"/>
      <c r="H118" s="355"/>
      <c r="I118" s="354"/>
      <c r="J118" s="355"/>
      <c r="K118" s="354"/>
    </row>
    <row r="119" spans="1:11" ht="12.75">
      <c r="A119" s="355"/>
      <c r="B119" s="353"/>
      <c r="C119" s="353"/>
      <c r="D119" s="353"/>
      <c r="E119" s="353"/>
      <c r="F119" s="355"/>
      <c r="G119" s="354"/>
      <c r="H119" s="355"/>
      <c r="I119" s="354"/>
      <c r="J119" s="355"/>
      <c r="K119" s="354"/>
    </row>
    <row r="120" spans="1:11" ht="12.75">
      <c r="A120" s="355"/>
      <c r="B120" s="353" t="s">
        <v>154</v>
      </c>
      <c r="C120" s="353" t="s">
        <v>155</v>
      </c>
      <c r="D120" s="382" t="s">
        <v>156</v>
      </c>
      <c r="E120" s="353"/>
      <c r="F120" s="841" t="s">
        <v>154</v>
      </c>
      <c r="G120" s="842"/>
      <c r="H120" s="841" t="s">
        <v>155</v>
      </c>
      <c r="I120" s="842"/>
      <c r="J120" s="844" t="s">
        <v>156</v>
      </c>
      <c r="K120" s="842"/>
    </row>
    <row r="121" spans="1:11" ht="12.75">
      <c r="A121" s="383"/>
      <c r="B121" s="383"/>
      <c r="C121" s="383"/>
      <c r="D121" s="383"/>
      <c r="E121" s="353"/>
      <c r="F121" s="355"/>
      <c r="G121" s="354"/>
      <c r="H121" s="355"/>
      <c r="I121" s="354"/>
      <c r="J121" s="355"/>
      <c r="K121" s="354"/>
    </row>
    <row r="122" spans="1:12" ht="12.75">
      <c r="A122" s="355">
        <f>'Hyd Sum'!Y33</f>
      </c>
      <c r="B122" s="384">
        <f>IF('Hyd Sum'!AW36&lt;0.1,0.1,'Hyd Sum'!AW36)</f>
      </c>
      <c r="C122" s="384">
        <f>IF('Hyd Sum'!AW37&lt;0.1,0.1,'Hyd Sum'!AW37)</f>
      </c>
      <c r="D122" s="384">
        <f>IF('Hyd Sum'!AW38&lt;0.1,0.1,'Hyd Sum'!AW38)</f>
      </c>
      <c r="E122" s="353"/>
      <c r="F122" s="385">
        <f>B122</f>
      </c>
      <c r="G122" s="354" t="e">
        <f>VLOOKUP($B122,$A$140:$CW$180,HLOOKUP($A122,$B$138:$CW$139,2))</f>
        <v>#N/A</v>
      </c>
      <c r="H122" s="385">
        <f>C122</f>
      </c>
      <c r="I122" s="388" t="e">
        <f>VLOOKUP($C122,$A$140:$CW$180,HLOOKUP($A122,$B$138:$CW$139,2))</f>
        <v>#N/A</v>
      </c>
      <c r="J122" s="385">
        <f>D122</f>
      </c>
      <c r="K122" s="388" t="e">
        <f>VLOOKUP($D122,$A$140:$CW$180,HLOOKUP($A122,$B$138:$CW$139,2))</f>
        <v>#N/A</v>
      </c>
      <c r="L122" s="378" t="s">
        <v>266</v>
      </c>
    </row>
    <row r="123" spans="1:11" ht="13.5" thickBot="1">
      <c r="A123" s="367" t="s">
        <v>30</v>
      </c>
      <c r="B123" s="368" t="s">
        <v>256</v>
      </c>
      <c r="C123" s="368" t="s">
        <v>256</v>
      </c>
      <c r="D123" s="368" t="s">
        <v>256</v>
      </c>
      <c r="E123" s="387"/>
      <c r="F123" s="368" t="s">
        <v>256</v>
      </c>
      <c r="G123" s="369" t="s">
        <v>257</v>
      </c>
      <c r="H123" s="368" t="s">
        <v>256</v>
      </c>
      <c r="I123" s="389" t="s">
        <v>257</v>
      </c>
      <c r="J123" s="368" t="s">
        <v>256</v>
      </c>
      <c r="K123" s="389" t="s">
        <v>257</v>
      </c>
    </row>
    <row r="124" spans="1:11" ht="12.75">
      <c r="A124" s="55"/>
      <c r="B124" s="54"/>
      <c r="C124" s="56"/>
      <c r="D124" s="56"/>
      <c r="E124" s="56"/>
      <c r="F124" s="55"/>
      <c r="G124" s="57"/>
      <c r="H124" s="56"/>
      <c r="I124" s="57"/>
      <c r="J124" s="55"/>
      <c r="K124" s="57"/>
    </row>
    <row r="125" spans="1:11" ht="12.75">
      <c r="A125" s="55"/>
      <c r="B125" s="56"/>
      <c r="C125" s="56"/>
      <c r="D125" s="56"/>
      <c r="E125" s="56"/>
      <c r="F125" s="55"/>
      <c r="G125" s="57"/>
      <c r="H125" s="56"/>
      <c r="I125" s="57"/>
      <c r="J125" s="55"/>
      <c r="K125" s="57"/>
    </row>
    <row r="126" spans="1:11" ht="12.75">
      <c r="A126" s="55"/>
      <c r="B126" s="56"/>
      <c r="C126" s="56"/>
      <c r="D126" s="58"/>
      <c r="E126" s="56"/>
      <c r="F126" s="841"/>
      <c r="G126" s="842"/>
      <c r="H126" s="843"/>
      <c r="I126" s="842"/>
      <c r="J126" s="844"/>
      <c r="K126" s="845"/>
    </row>
    <row r="127" spans="1:11" ht="12.75">
      <c r="A127" s="55"/>
      <c r="B127" s="59"/>
      <c r="C127" s="59"/>
      <c r="D127" s="59"/>
      <c r="E127" s="56"/>
      <c r="F127" s="55"/>
      <c r="G127" s="57"/>
      <c r="H127" s="56"/>
      <c r="I127" s="57"/>
      <c r="J127" s="55"/>
      <c r="K127" s="57"/>
    </row>
    <row r="128" spans="1:11" ht="12.75">
      <c r="A128" s="55"/>
      <c r="B128" s="56"/>
      <c r="C128" s="56"/>
      <c r="D128" s="56"/>
      <c r="E128" s="56"/>
      <c r="F128" s="60"/>
      <c r="G128" s="57"/>
      <c r="H128" s="61"/>
      <c r="I128" s="57"/>
      <c r="J128" s="60"/>
      <c r="K128" s="57"/>
    </row>
    <row r="129" spans="1:11" ht="13.5" thickBot="1">
      <c r="A129" s="62"/>
      <c r="B129" s="63"/>
      <c r="C129" s="63"/>
      <c r="D129" s="63"/>
      <c r="E129" s="63"/>
      <c r="F129" s="62"/>
      <c r="G129" s="64"/>
      <c r="H129" s="63"/>
      <c r="I129" s="64"/>
      <c r="J129" s="62"/>
      <c r="K129" s="64"/>
    </row>
    <row r="131" spans="1:4" ht="12.75">
      <c r="A131" s="378" t="s">
        <v>267</v>
      </c>
      <c r="B131" s="378"/>
      <c r="C131" s="378"/>
      <c r="D131" s="378" t="s">
        <v>268</v>
      </c>
    </row>
    <row r="132" spans="1:56" ht="12.75">
      <c r="A132" s="51">
        <v>40</v>
      </c>
      <c r="B132" s="51">
        <v>41</v>
      </c>
      <c r="C132" s="51">
        <v>42</v>
      </c>
      <c r="D132" s="51">
        <v>43</v>
      </c>
      <c r="E132" s="51">
        <v>44</v>
      </c>
      <c r="F132" s="51">
        <v>45</v>
      </c>
      <c r="G132" s="51">
        <v>46</v>
      </c>
      <c r="H132" s="51">
        <v>47</v>
      </c>
      <c r="I132" s="51">
        <v>48</v>
      </c>
      <c r="J132" s="51">
        <v>49</v>
      </c>
      <c r="K132" s="51">
        <v>50</v>
      </c>
      <c r="L132" s="51">
        <v>51</v>
      </c>
      <c r="M132" s="51">
        <v>52</v>
      </c>
      <c r="N132" s="51">
        <v>53</v>
      </c>
      <c r="O132" s="51">
        <v>54</v>
      </c>
      <c r="P132" s="51">
        <v>55</v>
      </c>
      <c r="Q132" s="51">
        <v>56</v>
      </c>
      <c r="R132" s="51">
        <v>57</v>
      </c>
      <c r="S132" s="51">
        <v>58</v>
      </c>
      <c r="T132" s="51">
        <v>59</v>
      </c>
      <c r="U132" s="51">
        <v>60</v>
      </c>
      <c r="V132" s="51">
        <v>61</v>
      </c>
      <c r="W132" s="51">
        <v>62</v>
      </c>
      <c r="X132" s="51">
        <v>63</v>
      </c>
      <c r="Y132" s="51">
        <v>64</v>
      </c>
      <c r="Z132" s="51">
        <v>65</v>
      </c>
      <c r="AA132" s="51">
        <v>66</v>
      </c>
      <c r="AB132" s="51">
        <v>67</v>
      </c>
      <c r="AC132" s="51">
        <v>68</v>
      </c>
      <c r="AD132" s="51">
        <v>69</v>
      </c>
      <c r="AE132" s="51">
        <v>70</v>
      </c>
      <c r="AF132" s="51">
        <v>71</v>
      </c>
      <c r="AG132" s="51">
        <v>72</v>
      </c>
      <c r="AH132" s="51">
        <v>73</v>
      </c>
      <c r="AI132" s="51">
        <v>74</v>
      </c>
      <c r="AJ132" s="51">
        <v>75</v>
      </c>
      <c r="AK132" s="51">
        <v>76</v>
      </c>
      <c r="AL132" s="51">
        <v>77</v>
      </c>
      <c r="AM132" s="51">
        <v>78</v>
      </c>
      <c r="AN132" s="51">
        <v>79</v>
      </c>
      <c r="AO132" s="51">
        <v>80</v>
      </c>
      <c r="AP132" s="51">
        <v>81</v>
      </c>
      <c r="AQ132" s="51">
        <v>82</v>
      </c>
      <c r="AR132" s="51">
        <v>83</v>
      </c>
      <c r="AS132" s="51">
        <v>84</v>
      </c>
      <c r="AT132" s="51">
        <v>85</v>
      </c>
      <c r="AU132" s="51">
        <v>86</v>
      </c>
      <c r="AV132" s="51">
        <v>87</v>
      </c>
      <c r="AW132" s="51">
        <v>88</v>
      </c>
      <c r="AX132" s="51">
        <v>89</v>
      </c>
      <c r="AY132" s="51">
        <v>90</v>
      </c>
      <c r="AZ132" s="51">
        <v>91</v>
      </c>
      <c r="BA132" s="51">
        <v>92</v>
      </c>
      <c r="BB132" s="51">
        <v>93</v>
      </c>
      <c r="BC132" s="51">
        <v>94</v>
      </c>
      <c r="BD132" s="51">
        <v>95</v>
      </c>
    </row>
    <row r="133" spans="1:56" ht="12.75">
      <c r="A133" s="51">
        <v>3</v>
      </c>
      <c r="B133" s="51">
        <v>2.878</v>
      </c>
      <c r="C133" s="51">
        <v>2.762</v>
      </c>
      <c r="D133" s="51">
        <v>2.651</v>
      </c>
      <c r="E133" s="51">
        <v>2.545</v>
      </c>
      <c r="F133" s="51">
        <v>2.444</v>
      </c>
      <c r="G133" s="51">
        <v>2.348</v>
      </c>
      <c r="H133" s="51">
        <v>2.255</v>
      </c>
      <c r="I133" s="51">
        <v>2.167</v>
      </c>
      <c r="J133" s="51">
        <v>2.082</v>
      </c>
      <c r="K133" s="51">
        <v>2</v>
      </c>
      <c r="L133" s="51">
        <v>1.922</v>
      </c>
      <c r="M133" s="51">
        <v>1.846</v>
      </c>
      <c r="N133" s="51">
        <v>1.774</v>
      </c>
      <c r="O133" s="51">
        <v>1.704</v>
      </c>
      <c r="P133" s="51">
        <v>1.636</v>
      </c>
      <c r="Q133" s="51">
        <v>1.571</v>
      </c>
      <c r="R133" s="51">
        <v>1.509</v>
      </c>
      <c r="S133" s="51">
        <v>1.448</v>
      </c>
      <c r="T133" s="51">
        <v>1.39</v>
      </c>
      <c r="U133" s="51">
        <v>1.333</v>
      </c>
      <c r="V133" s="51">
        <v>1.279</v>
      </c>
      <c r="W133" s="51">
        <v>1.226</v>
      </c>
      <c r="X133" s="51">
        <v>1.175</v>
      </c>
      <c r="Y133" s="51">
        <v>1.125</v>
      </c>
      <c r="Z133" s="51">
        <v>1.077</v>
      </c>
      <c r="AA133" s="51">
        <v>1.03</v>
      </c>
      <c r="AB133" s="51">
        <v>0.985</v>
      </c>
      <c r="AC133" s="51">
        <v>0.941</v>
      </c>
      <c r="AD133" s="51">
        <v>0.899</v>
      </c>
      <c r="AE133" s="51">
        <v>0.857</v>
      </c>
      <c r="AF133" s="51">
        <v>0.817</v>
      </c>
      <c r="AG133" s="51">
        <v>0.778</v>
      </c>
      <c r="AH133" s="51">
        <v>0.74</v>
      </c>
      <c r="AI133" s="51">
        <v>0.703</v>
      </c>
      <c r="AJ133" s="51">
        <v>0.667</v>
      </c>
      <c r="AK133" s="51">
        <v>0.632</v>
      </c>
      <c r="AL133" s="51">
        <v>0.597</v>
      </c>
      <c r="AM133" s="51">
        <v>0.564</v>
      </c>
      <c r="AN133" s="51">
        <v>0.532</v>
      </c>
      <c r="AO133" s="51">
        <v>0.5</v>
      </c>
      <c r="AP133" s="51">
        <v>0.469</v>
      </c>
      <c r="AQ133" s="51">
        <v>0.439</v>
      </c>
      <c r="AR133" s="51">
        <v>0.41</v>
      </c>
      <c r="AS133" s="51">
        <v>0.381</v>
      </c>
      <c r="AT133" s="51">
        <v>0.353</v>
      </c>
      <c r="AU133" s="51">
        <v>0.326</v>
      </c>
      <c r="AV133" s="51">
        <v>0.299</v>
      </c>
      <c r="AW133" s="51">
        <v>0.273</v>
      </c>
      <c r="AX133" s="51">
        <v>0.247</v>
      </c>
      <c r="AY133" s="51">
        <v>0.222</v>
      </c>
      <c r="AZ133" s="51">
        <v>0.198</v>
      </c>
      <c r="BA133" s="51">
        <v>0.174</v>
      </c>
      <c r="BB133" s="51">
        <v>0.151</v>
      </c>
      <c r="BC133" s="51">
        <v>0.128</v>
      </c>
      <c r="BD133" s="51">
        <v>0.105</v>
      </c>
    </row>
    <row r="136" ht="12.75">
      <c r="A136" s="378" t="s">
        <v>269</v>
      </c>
    </row>
    <row r="137" spans="1:101" ht="15.75">
      <c r="A137"/>
      <c r="B137" s="154" t="s">
        <v>30</v>
      </c>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ht="12.75">
      <c r="A138"/>
      <c r="B138" s="2">
        <v>0.1</v>
      </c>
      <c r="C138" s="2">
        <v>0.2</v>
      </c>
      <c r="D138" s="2">
        <v>0.3</v>
      </c>
      <c r="E138" s="2">
        <v>0.4</v>
      </c>
      <c r="F138" s="2">
        <v>0.5</v>
      </c>
      <c r="G138" s="2">
        <v>0.6</v>
      </c>
      <c r="H138" s="2">
        <v>0.7</v>
      </c>
      <c r="I138" s="2">
        <v>0.8</v>
      </c>
      <c r="J138" s="2">
        <v>0.9</v>
      </c>
      <c r="K138" s="2">
        <v>1</v>
      </c>
      <c r="L138" s="2">
        <v>1.1</v>
      </c>
      <c r="M138" s="2">
        <v>1.2</v>
      </c>
      <c r="N138" s="2">
        <v>1.3</v>
      </c>
      <c r="O138" s="2">
        <v>1.4</v>
      </c>
      <c r="P138" s="2">
        <v>1.5</v>
      </c>
      <c r="Q138" s="2">
        <v>1.6</v>
      </c>
      <c r="R138" s="2">
        <v>1.7</v>
      </c>
      <c r="S138" s="2">
        <v>1.8</v>
      </c>
      <c r="T138" s="2">
        <v>1.9</v>
      </c>
      <c r="U138" s="2">
        <v>2</v>
      </c>
      <c r="V138" s="2">
        <v>2.1</v>
      </c>
      <c r="W138" s="2">
        <v>2.2</v>
      </c>
      <c r="X138" s="2">
        <v>2.3</v>
      </c>
      <c r="Y138" s="2">
        <v>2.4</v>
      </c>
      <c r="Z138" s="2">
        <v>2.5</v>
      </c>
      <c r="AA138" s="2">
        <v>2.6</v>
      </c>
      <c r="AB138" s="2">
        <v>2.7</v>
      </c>
      <c r="AC138" s="2">
        <v>2.8</v>
      </c>
      <c r="AD138" s="2">
        <v>2.9</v>
      </c>
      <c r="AE138" s="2">
        <v>3</v>
      </c>
      <c r="AF138" s="2">
        <v>3.1</v>
      </c>
      <c r="AG138" s="2">
        <v>3.2</v>
      </c>
      <c r="AH138" s="2">
        <v>3.3</v>
      </c>
      <c r="AI138" s="2">
        <v>3.4</v>
      </c>
      <c r="AJ138" s="2">
        <v>3.5</v>
      </c>
      <c r="AK138" s="2">
        <v>3.6</v>
      </c>
      <c r="AL138" s="2">
        <v>3.7</v>
      </c>
      <c r="AM138" s="2">
        <v>3.8</v>
      </c>
      <c r="AN138" s="2">
        <v>3.9</v>
      </c>
      <c r="AO138" s="2">
        <v>4</v>
      </c>
      <c r="AP138" s="2">
        <v>4.1</v>
      </c>
      <c r="AQ138" s="2">
        <v>4.2</v>
      </c>
      <c r="AR138" s="2">
        <v>4.3</v>
      </c>
      <c r="AS138" s="2">
        <v>4.4</v>
      </c>
      <c r="AT138" s="2">
        <v>4.5</v>
      </c>
      <c r="AU138" s="2">
        <v>4.6</v>
      </c>
      <c r="AV138" s="2">
        <v>4.7</v>
      </c>
      <c r="AW138" s="2">
        <v>4.8</v>
      </c>
      <c r="AX138" s="2">
        <v>4.9</v>
      </c>
      <c r="AY138" s="2">
        <v>5</v>
      </c>
      <c r="AZ138" s="2">
        <v>5.1</v>
      </c>
      <c r="BA138" s="2">
        <v>5.2</v>
      </c>
      <c r="BB138" s="2">
        <v>5.3</v>
      </c>
      <c r="BC138" s="2">
        <v>5.4</v>
      </c>
      <c r="BD138" s="2">
        <v>5.5</v>
      </c>
      <c r="BE138" s="2">
        <v>5.6</v>
      </c>
      <c r="BF138" s="2">
        <v>5.7</v>
      </c>
      <c r="BG138" s="2">
        <v>5.8</v>
      </c>
      <c r="BH138" s="2">
        <v>5.9</v>
      </c>
      <c r="BI138" s="2">
        <v>5.999999999999995</v>
      </c>
      <c r="BJ138" s="2">
        <v>6.099999999999994</v>
      </c>
      <c r="BK138" s="2">
        <v>6.199999999999994</v>
      </c>
      <c r="BL138" s="2">
        <v>6.299999999999994</v>
      </c>
      <c r="BM138" s="2">
        <v>6.399999999999993</v>
      </c>
      <c r="BN138" s="2">
        <v>6.499999999999993</v>
      </c>
      <c r="BO138" s="2">
        <v>6.5999999999999925</v>
      </c>
      <c r="BP138" s="2">
        <v>6.699999999999992</v>
      </c>
      <c r="BQ138" s="2">
        <v>6.799999999999992</v>
      </c>
      <c r="BR138" s="2">
        <v>6.8999999999999915</v>
      </c>
      <c r="BS138" s="2">
        <v>6.999999999999991</v>
      </c>
      <c r="BT138" s="2">
        <v>7.099999999999991</v>
      </c>
      <c r="BU138" s="2">
        <v>7.19999999999999</v>
      </c>
      <c r="BV138" s="2">
        <v>7.29999999999999</v>
      </c>
      <c r="BW138" s="2">
        <v>7.39999999999999</v>
      </c>
      <c r="BX138" s="2">
        <v>7.499999999999989</v>
      </c>
      <c r="BY138" s="2">
        <v>7.599999999999989</v>
      </c>
      <c r="BZ138" s="2">
        <v>7.699999999999989</v>
      </c>
      <c r="CA138" s="2">
        <v>7.799999999999988</v>
      </c>
      <c r="CB138" s="2">
        <v>7.899999999999988</v>
      </c>
      <c r="CC138" s="2">
        <v>7.999999999999988</v>
      </c>
      <c r="CD138" s="2">
        <v>8.099999999999987</v>
      </c>
      <c r="CE138" s="2">
        <v>8.199999999999987</v>
      </c>
      <c r="CF138" s="2">
        <v>8.299999999999986</v>
      </c>
      <c r="CG138" s="2">
        <v>8.399999999999986</v>
      </c>
      <c r="CH138" s="2">
        <v>8.499999999999986</v>
      </c>
      <c r="CI138" s="2">
        <v>8.599999999999985</v>
      </c>
      <c r="CJ138" s="2">
        <v>8.699999999999985</v>
      </c>
      <c r="CK138" s="2">
        <v>8.799999999999985</v>
      </c>
      <c r="CL138" s="2">
        <v>8.899999999999984</v>
      </c>
      <c r="CM138" s="2">
        <v>8.999999999999984</v>
      </c>
      <c r="CN138" s="2">
        <v>9.099999999999984</v>
      </c>
      <c r="CO138" s="2">
        <v>9.199999999999983</v>
      </c>
      <c r="CP138" s="2">
        <v>9.299999999999983</v>
      </c>
      <c r="CQ138" s="2">
        <v>9.399999999999983</v>
      </c>
      <c r="CR138" s="2">
        <v>9.499999999999982</v>
      </c>
      <c r="CS138" s="2">
        <v>9.599999999999982</v>
      </c>
      <c r="CT138" s="2">
        <v>9.699999999999982</v>
      </c>
      <c r="CU138" s="2">
        <v>9.799999999999981</v>
      </c>
      <c r="CV138" s="2">
        <v>9.89999999999998</v>
      </c>
      <c r="CW138" s="2">
        <v>9.99999999999998</v>
      </c>
    </row>
    <row r="139" spans="1:101" ht="16.5" thickBot="1">
      <c r="A139" s="154" t="s">
        <v>172</v>
      </c>
      <c r="B139">
        <v>2</v>
      </c>
      <c r="C139">
        <f>1+B139</f>
        <v>3</v>
      </c>
      <c r="D139">
        <f aca="true" t="shared" si="0" ref="D139:BO139">1+C139</f>
        <v>4</v>
      </c>
      <c r="E139">
        <f t="shared" si="0"/>
        <v>5</v>
      </c>
      <c r="F139">
        <f t="shared" si="0"/>
        <v>6</v>
      </c>
      <c r="G139">
        <f t="shared" si="0"/>
        <v>7</v>
      </c>
      <c r="H139">
        <f t="shared" si="0"/>
        <v>8</v>
      </c>
      <c r="I139">
        <f t="shared" si="0"/>
        <v>9</v>
      </c>
      <c r="J139">
        <f t="shared" si="0"/>
        <v>10</v>
      </c>
      <c r="K139">
        <f t="shared" si="0"/>
        <v>11</v>
      </c>
      <c r="L139">
        <f t="shared" si="0"/>
        <v>12</v>
      </c>
      <c r="M139">
        <f t="shared" si="0"/>
        <v>13</v>
      </c>
      <c r="N139">
        <f t="shared" si="0"/>
        <v>14</v>
      </c>
      <c r="O139">
        <f t="shared" si="0"/>
        <v>15</v>
      </c>
      <c r="P139">
        <f t="shared" si="0"/>
        <v>16</v>
      </c>
      <c r="Q139">
        <f t="shared" si="0"/>
        <v>17</v>
      </c>
      <c r="R139">
        <f t="shared" si="0"/>
        <v>18</v>
      </c>
      <c r="S139">
        <f t="shared" si="0"/>
        <v>19</v>
      </c>
      <c r="T139">
        <f t="shared" si="0"/>
        <v>20</v>
      </c>
      <c r="U139">
        <f t="shared" si="0"/>
        <v>21</v>
      </c>
      <c r="V139">
        <f t="shared" si="0"/>
        <v>22</v>
      </c>
      <c r="W139">
        <f t="shared" si="0"/>
        <v>23</v>
      </c>
      <c r="X139">
        <f t="shared" si="0"/>
        <v>24</v>
      </c>
      <c r="Y139">
        <f t="shared" si="0"/>
        <v>25</v>
      </c>
      <c r="Z139">
        <f t="shared" si="0"/>
        <v>26</v>
      </c>
      <c r="AA139">
        <f t="shared" si="0"/>
        <v>27</v>
      </c>
      <c r="AB139">
        <f t="shared" si="0"/>
        <v>28</v>
      </c>
      <c r="AC139">
        <f t="shared" si="0"/>
        <v>29</v>
      </c>
      <c r="AD139">
        <f t="shared" si="0"/>
        <v>30</v>
      </c>
      <c r="AE139">
        <f t="shared" si="0"/>
        <v>31</v>
      </c>
      <c r="AF139">
        <f t="shared" si="0"/>
        <v>32</v>
      </c>
      <c r="AG139">
        <f t="shared" si="0"/>
        <v>33</v>
      </c>
      <c r="AH139">
        <f t="shared" si="0"/>
        <v>34</v>
      </c>
      <c r="AI139">
        <f t="shared" si="0"/>
        <v>35</v>
      </c>
      <c r="AJ139">
        <f t="shared" si="0"/>
        <v>36</v>
      </c>
      <c r="AK139">
        <f t="shared" si="0"/>
        <v>37</v>
      </c>
      <c r="AL139">
        <f t="shared" si="0"/>
        <v>38</v>
      </c>
      <c r="AM139">
        <f t="shared" si="0"/>
        <v>39</v>
      </c>
      <c r="AN139">
        <f t="shared" si="0"/>
        <v>40</v>
      </c>
      <c r="AO139">
        <f t="shared" si="0"/>
        <v>41</v>
      </c>
      <c r="AP139">
        <f t="shared" si="0"/>
        <v>42</v>
      </c>
      <c r="AQ139">
        <f t="shared" si="0"/>
        <v>43</v>
      </c>
      <c r="AR139">
        <f t="shared" si="0"/>
        <v>44</v>
      </c>
      <c r="AS139">
        <f t="shared" si="0"/>
        <v>45</v>
      </c>
      <c r="AT139">
        <f t="shared" si="0"/>
        <v>46</v>
      </c>
      <c r="AU139">
        <f t="shared" si="0"/>
        <v>47</v>
      </c>
      <c r="AV139">
        <f t="shared" si="0"/>
        <v>48</v>
      </c>
      <c r="AW139">
        <f t="shared" si="0"/>
        <v>49</v>
      </c>
      <c r="AX139">
        <f t="shared" si="0"/>
        <v>50</v>
      </c>
      <c r="AY139">
        <f t="shared" si="0"/>
        <v>51</v>
      </c>
      <c r="AZ139">
        <f t="shared" si="0"/>
        <v>52</v>
      </c>
      <c r="BA139">
        <f t="shared" si="0"/>
        <v>53</v>
      </c>
      <c r="BB139">
        <f t="shared" si="0"/>
        <v>54</v>
      </c>
      <c r="BC139">
        <f t="shared" si="0"/>
        <v>55</v>
      </c>
      <c r="BD139">
        <f t="shared" si="0"/>
        <v>56</v>
      </c>
      <c r="BE139">
        <f t="shared" si="0"/>
        <v>57</v>
      </c>
      <c r="BF139">
        <f t="shared" si="0"/>
        <v>58</v>
      </c>
      <c r="BG139">
        <f t="shared" si="0"/>
        <v>59</v>
      </c>
      <c r="BH139">
        <f t="shared" si="0"/>
        <v>60</v>
      </c>
      <c r="BI139">
        <f t="shared" si="0"/>
        <v>61</v>
      </c>
      <c r="BJ139">
        <f t="shared" si="0"/>
        <v>62</v>
      </c>
      <c r="BK139">
        <f t="shared" si="0"/>
        <v>63</v>
      </c>
      <c r="BL139">
        <f t="shared" si="0"/>
        <v>64</v>
      </c>
      <c r="BM139">
        <f t="shared" si="0"/>
        <v>65</v>
      </c>
      <c r="BN139">
        <f t="shared" si="0"/>
        <v>66</v>
      </c>
      <c r="BO139">
        <f t="shared" si="0"/>
        <v>67</v>
      </c>
      <c r="BP139">
        <f aca="true" t="shared" si="1" ref="BP139:CW139">1+BO139</f>
        <v>68</v>
      </c>
      <c r="BQ139">
        <f t="shared" si="1"/>
        <v>69</v>
      </c>
      <c r="BR139">
        <f t="shared" si="1"/>
        <v>70</v>
      </c>
      <c r="BS139">
        <f t="shared" si="1"/>
        <v>71</v>
      </c>
      <c r="BT139">
        <f t="shared" si="1"/>
        <v>72</v>
      </c>
      <c r="BU139">
        <f t="shared" si="1"/>
        <v>73</v>
      </c>
      <c r="BV139">
        <f t="shared" si="1"/>
        <v>74</v>
      </c>
      <c r="BW139">
        <f t="shared" si="1"/>
        <v>75</v>
      </c>
      <c r="BX139">
        <f t="shared" si="1"/>
        <v>76</v>
      </c>
      <c r="BY139">
        <f t="shared" si="1"/>
        <v>77</v>
      </c>
      <c r="BZ139">
        <f t="shared" si="1"/>
        <v>78</v>
      </c>
      <c r="CA139">
        <f t="shared" si="1"/>
        <v>79</v>
      </c>
      <c r="CB139">
        <f t="shared" si="1"/>
        <v>80</v>
      </c>
      <c r="CC139">
        <f t="shared" si="1"/>
        <v>81</v>
      </c>
      <c r="CD139">
        <f t="shared" si="1"/>
        <v>82</v>
      </c>
      <c r="CE139">
        <f t="shared" si="1"/>
        <v>83</v>
      </c>
      <c r="CF139">
        <f t="shared" si="1"/>
        <v>84</v>
      </c>
      <c r="CG139">
        <f t="shared" si="1"/>
        <v>85</v>
      </c>
      <c r="CH139">
        <f t="shared" si="1"/>
        <v>86</v>
      </c>
      <c r="CI139">
        <f t="shared" si="1"/>
        <v>87</v>
      </c>
      <c r="CJ139">
        <f t="shared" si="1"/>
        <v>88</v>
      </c>
      <c r="CK139">
        <f t="shared" si="1"/>
        <v>89</v>
      </c>
      <c r="CL139">
        <f t="shared" si="1"/>
        <v>90</v>
      </c>
      <c r="CM139">
        <f t="shared" si="1"/>
        <v>91</v>
      </c>
      <c r="CN139">
        <f t="shared" si="1"/>
        <v>92</v>
      </c>
      <c r="CO139">
        <f t="shared" si="1"/>
        <v>93</v>
      </c>
      <c r="CP139">
        <f t="shared" si="1"/>
        <v>94</v>
      </c>
      <c r="CQ139">
        <f t="shared" si="1"/>
        <v>95</v>
      </c>
      <c r="CR139">
        <f t="shared" si="1"/>
        <v>96</v>
      </c>
      <c r="CS139">
        <f t="shared" si="1"/>
        <v>97</v>
      </c>
      <c r="CT139">
        <f t="shared" si="1"/>
        <v>98</v>
      </c>
      <c r="CU139">
        <f t="shared" si="1"/>
        <v>99</v>
      </c>
      <c r="CV139">
        <f t="shared" si="1"/>
        <v>100</v>
      </c>
      <c r="CW139">
        <f t="shared" si="1"/>
        <v>101</v>
      </c>
    </row>
    <row r="140" spans="1:101" ht="12.75">
      <c r="A140" s="155">
        <v>0.1</v>
      </c>
      <c r="B140" s="156">
        <v>1.59</v>
      </c>
      <c r="C140" s="157">
        <v>1.25</v>
      </c>
      <c r="D140" s="157">
        <v>1.06</v>
      </c>
      <c r="E140" s="158">
        <v>0.92</v>
      </c>
      <c r="F140" s="157">
        <v>0.83</v>
      </c>
      <c r="G140" s="157">
        <v>0.75</v>
      </c>
      <c r="H140" s="157">
        <v>0.69</v>
      </c>
      <c r="I140" s="157">
        <v>0.64</v>
      </c>
      <c r="J140" s="158">
        <v>0.59</v>
      </c>
      <c r="K140" s="157">
        <v>0.56</v>
      </c>
      <c r="L140" s="157">
        <v>0.54</v>
      </c>
      <c r="M140" s="157">
        <v>0.52</v>
      </c>
      <c r="N140" s="157">
        <v>0.5</v>
      </c>
      <c r="O140" s="158">
        <v>0.48</v>
      </c>
      <c r="P140" s="157">
        <v>0.46</v>
      </c>
      <c r="Q140" s="157">
        <v>0.43</v>
      </c>
      <c r="R140" s="157">
        <v>0.41</v>
      </c>
      <c r="S140" s="157">
        <v>0.39</v>
      </c>
      <c r="T140" s="158">
        <v>0.37</v>
      </c>
      <c r="U140" s="157">
        <v>0.35</v>
      </c>
      <c r="V140" s="157">
        <v>0.34</v>
      </c>
      <c r="W140" s="157">
        <v>0.33</v>
      </c>
      <c r="X140" s="157">
        <v>0.32</v>
      </c>
      <c r="Y140" s="158">
        <v>0.31</v>
      </c>
      <c r="Z140" s="157">
        <v>0.31</v>
      </c>
      <c r="AA140" s="157">
        <v>0.3</v>
      </c>
      <c r="AB140" s="157">
        <v>0.29</v>
      </c>
      <c r="AC140" s="157">
        <v>0.28</v>
      </c>
      <c r="AD140" s="158">
        <v>0.27</v>
      </c>
      <c r="AE140" s="157">
        <v>0.26</v>
      </c>
      <c r="AF140" s="157">
        <v>0.26</v>
      </c>
      <c r="AG140" s="157">
        <v>0.25</v>
      </c>
      <c r="AH140" s="157">
        <v>0.25</v>
      </c>
      <c r="AI140" s="158">
        <v>0.24</v>
      </c>
      <c r="AJ140" s="157">
        <v>0.24</v>
      </c>
      <c r="AK140" s="157">
        <v>0.23</v>
      </c>
      <c r="AL140" s="157">
        <v>0.23</v>
      </c>
      <c r="AM140" s="157">
        <v>0.22</v>
      </c>
      <c r="AN140" s="158">
        <v>0.22</v>
      </c>
      <c r="AO140" s="157">
        <v>0.21</v>
      </c>
      <c r="AP140" s="157">
        <v>0.21</v>
      </c>
      <c r="AQ140" s="157">
        <v>0.2</v>
      </c>
      <c r="AR140" s="157">
        <v>0.2</v>
      </c>
      <c r="AS140" s="158">
        <v>0.19</v>
      </c>
      <c r="AT140" s="157">
        <v>0.19</v>
      </c>
      <c r="AU140" s="157">
        <v>0.19</v>
      </c>
      <c r="AV140" s="157">
        <v>0.18</v>
      </c>
      <c r="AW140" s="157">
        <v>0.18</v>
      </c>
      <c r="AX140" s="158">
        <v>0.17</v>
      </c>
      <c r="AY140" s="157">
        <v>0.17</v>
      </c>
      <c r="AZ140" s="157">
        <v>0.17</v>
      </c>
      <c r="BA140" s="157">
        <v>0.17</v>
      </c>
      <c r="BB140" s="157">
        <v>0.16</v>
      </c>
      <c r="BC140" s="158">
        <v>0.16</v>
      </c>
      <c r="BD140" s="157">
        <v>0.16</v>
      </c>
      <c r="BE140" s="157">
        <v>0.16</v>
      </c>
      <c r="BF140" s="157">
        <v>0.16</v>
      </c>
      <c r="BG140" s="157">
        <v>0.15</v>
      </c>
      <c r="BH140" s="158">
        <v>0.15</v>
      </c>
      <c r="BI140" s="157">
        <v>0.15</v>
      </c>
      <c r="BJ140" s="157">
        <v>0.15</v>
      </c>
      <c r="BK140" s="157">
        <v>0.15</v>
      </c>
      <c r="BL140" s="157">
        <v>0.14</v>
      </c>
      <c r="BM140" s="158">
        <v>0.14</v>
      </c>
      <c r="BN140" s="157">
        <v>0.14</v>
      </c>
      <c r="BO140" s="157">
        <v>0.14</v>
      </c>
      <c r="BP140" s="157">
        <v>0.14</v>
      </c>
      <c r="BQ140" s="157">
        <v>0.13</v>
      </c>
      <c r="BR140" s="158">
        <v>0.13</v>
      </c>
      <c r="BS140" s="157">
        <v>0.13</v>
      </c>
      <c r="BT140" s="157">
        <v>0.13</v>
      </c>
      <c r="BU140" s="157">
        <v>0.13</v>
      </c>
      <c r="BV140" s="157">
        <v>0.13</v>
      </c>
      <c r="BW140" s="158">
        <v>0.13</v>
      </c>
      <c r="BX140" s="157">
        <v>0.13</v>
      </c>
      <c r="BY140" s="157">
        <v>0.12</v>
      </c>
      <c r="BZ140" s="157">
        <v>0.12</v>
      </c>
      <c r="CA140" s="157">
        <v>0.12</v>
      </c>
      <c r="CB140" s="158">
        <v>0.12</v>
      </c>
      <c r="CC140" s="157">
        <v>0.12</v>
      </c>
      <c r="CD140" s="157">
        <v>0.12</v>
      </c>
      <c r="CE140" s="157">
        <v>0.12</v>
      </c>
      <c r="CF140" s="157">
        <v>0.11</v>
      </c>
      <c r="CG140" s="158">
        <v>0.11</v>
      </c>
      <c r="CH140" s="157">
        <v>0.11</v>
      </c>
      <c r="CI140" s="157">
        <v>0.11</v>
      </c>
      <c r="CJ140" s="157">
        <v>0.11</v>
      </c>
      <c r="CK140" s="157">
        <v>0.1</v>
      </c>
      <c r="CL140" s="158">
        <v>0.1</v>
      </c>
      <c r="CM140" s="157">
        <v>0.1</v>
      </c>
      <c r="CN140" s="157">
        <v>0.1</v>
      </c>
      <c r="CO140" s="157">
        <v>0.1</v>
      </c>
      <c r="CP140" s="157">
        <v>0.1</v>
      </c>
      <c r="CQ140" s="158">
        <v>0.1</v>
      </c>
      <c r="CR140" s="157">
        <v>0.1</v>
      </c>
      <c r="CS140" s="157">
        <v>0.09</v>
      </c>
      <c r="CT140" s="157">
        <v>0.09</v>
      </c>
      <c r="CU140" s="157">
        <v>0.09</v>
      </c>
      <c r="CV140" s="157">
        <v>0.09</v>
      </c>
      <c r="CW140" s="159">
        <v>0.09</v>
      </c>
    </row>
    <row r="141" spans="1:101" ht="12.75">
      <c r="A141" s="2">
        <v>0.11</v>
      </c>
      <c r="B141" s="160">
        <v>1.59</v>
      </c>
      <c r="C141" s="161">
        <v>1.24</v>
      </c>
      <c r="D141" s="161">
        <v>1.05</v>
      </c>
      <c r="E141" s="162">
        <v>0.91</v>
      </c>
      <c r="F141" s="161">
        <v>0.82</v>
      </c>
      <c r="G141" s="161">
        <v>0.74</v>
      </c>
      <c r="H141" s="161">
        <v>0.68</v>
      </c>
      <c r="I141" s="161">
        <v>0.63</v>
      </c>
      <c r="J141" s="162">
        <v>0.59</v>
      </c>
      <c r="K141" s="161">
        <v>0.56</v>
      </c>
      <c r="L141" s="161">
        <f aca="true" t="shared" si="2" ref="L141:O180">L140-0.01</f>
        <v>0.53</v>
      </c>
      <c r="M141" s="161">
        <f t="shared" si="2"/>
        <v>0.51</v>
      </c>
      <c r="N141" s="161">
        <f t="shared" si="2"/>
        <v>0.49</v>
      </c>
      <c r="O141" s="162">
        <f>O140-0.01</f>
        <v>0.47</v>
      </c>
      <c r="P141" s="161">
        <f>P140-0.01</f>
        <v>0.45</v>
      </c>
      <c r="Q141" s="161">
        <v>0.43</v>
      </c>
      <c r="R141" s="161">
        <v>0.41</v>
      </c>
      <c r="S141" s="161">
        <v>0.39</v>
      </c>
      <c r="T141" s="162">
        <v>0.37</v>
      </c>
      <c r="U141" s="161">
        <v>0.35</v>
      </c>
      <c r="V141" s="161">
        <v>0.34</v>
      </c>
      <c r="W141" s="161">
        <v>0.33</v>
      </c>
      <c r="X141" s="161">
        <v>0.32</v>
      </c>
      <c r="Y141" s="162">
        <v>0.31</v>
      </c>
      <c r="Z141" s="161">
        <v>0.3</v>
      </c>
      <c r="AA141" s="161">
        <v>0.29</v>
      </c>
      <c r="AB141" s="161">
        <v>0.28</v>
      </c>
      <c r="AC141" s="161">
        <f aca="true" t="shared" si="3" ref="AC141:AF180">AC140</f>
        <v>0.28</v>
      </c>
      <c r="AD141" s="162">
        <f t="shared" si="3"/>
        <v>0.27</v>
      </c>
      <c r="AE141" s="161">
        <f t="shared" si="3"/>
        <v>0.26</v>
      </c>
      <c r="AF141" s="161">
        <v>0.25</v>
      </c>
      <c r="AG141" s="161">
        <f aca="true" t="shared" si="4" ref="AG141:AH180">AG140</f>
        <v>0.25</v>
      </c>
      <c r="AH141" s="161">
        <v>0.24</v>
      </c>
      <c r="AI141" s="162">
        <f aca="true" t="shared" si="5" ref="AI141:AJ179">AI140</f>
        <v>0.24</v>
      </c>
      <c r="AJ141" s="161">
        <v>0.23</v>
      </c>
      <c r="AK141" s="161">
        <f aca="true" t="shared" si="6" ref="AK141:AL180">AK140</f>
        <v>0.23</v>
      </c>
      <c r="AL141" s="161">
        <v>0.22</v>
      </c>
      <c r="AM141" s="161">
        <f aca="true" t="shared" si="7" ref="AM141:AN179">AM140</f>
        <v>0.22</v>
      </c>
      <c r="AN141" s="162">
        <v>0.21</v>
      </c>
      <c r="AO141" s="161">
        <f aca="true" t="shared" si="8" ref="AO141:AP180">AO140</f>
        <v>0.21</v>
      </c>
      <c r="AP141" s="161">
        <v>0.2</v>
      </c>
      <c r="AQ141" s="161">
        <f aca="true" t="shared" si="9" ref="AQ141:AV180">AQ140</f>
        <v>0.2</v>
      </c>
      <c r="AR141" s="161">
        <f t="shared" si="9"/>
        <v>0.2</v>
      </c>
      <c r="AS141" s="162">
        <f t="shared" si="9"/>
        <v>0.19</v>
      </c>
      <c r="AT141" s="161">
        <f t="shared" si="9"/>
        <v>0.19</v>
      </c>
      <c r="AU141" s="161">
        <v>0.18</v>
      </c>
      <c r="AV141" s="161">
        <f>AV140</f>
        <v>0.18</v>
      </c>
      <c r="AW141" s="161">
        <f aca="true" t="shared" si="10" ref="AW141:BA180">AW140</f>
        <v>0.18</v>
      </c>
      <c r="AX141" s="162">
        <f t="shared" si="10"/>
        <v>0.17</v>
      </c>
      <c r="AY141" s="161">
        <f t="shared" si="10"/>
        <v>0.17</v>
      </c>
      <c r="AZ141" s="161">
        <f t="shared" si="10"/>
        <v>0.17</v>
      </c>
      <c r="BA141" s="161">
        <v>0.16</v>
      </c>
      <c r="BB141" s="161">
        <f aca="true" t="shared" si="11" ref="BB141:BG180">BB140</f>
        <v>0.16</v>
      </c>
      <c r="BC141" s="162">
        <f t="shared" si="11"/>
        <v>0.16</v>
      </c>
      <c r="BD141" s="161">
        <f t="shared" si="11"/>
        <v>0.16</v>
      </c>
      <c r="BE141" s="161">
        <f t="shared" si="11"/>
        <v>0.16</v>
      </c>
      <c r="BF141" s="161">
        <v>0.15</v>
      </c>
      <c r="BG141" s="161">
        <f aca="true" t="shared" si="12" ref="BG141:BS141">BG140</f>
        <v>0.15</v>
      </c>
      <c r="BH141" s="162">
        <f t="shared" si="12"/>
        <v>0.15</v>
      </c>
      <c r="BI141" s="161">
        <f t="shared" si="12"/>
        <v>0.15</v>
      </c>
      <c r="BJ141" s="161">
        <f t="shared" si="12"/>
        <v>0.15</v>
      </c>
      <c r="BK141" s="161">
        <f t="shared" si="12"/>
        <v>0.15</v>
      </c>
      <c r="BL141" s="161">
        <f t="shared" si="12"/>
        <v>0.14</v>
      </c>
      <c r="BM141" s="162">
        <f t="shared" si="12"/>
        <v>0.14</v>
      </c>
      <c r="BN141" s="161">
        <f t="shared" si="12"/>
        <v>0.14</v>
      </c>
      <c r="BO141" s="161">
        <f t="shared" si="12"/>
        <v>0.14</v>
      </c>
      <c r="BP141" s="161">
        <f t="shared" si="12"/>
        <v>0.14</v>
      </c>
      <c r="BQ141" s="161">
        <f t="shared" si="12"/>
        <v>0.13</v>
      </c>
      <c r="BR141" s="162">
        <f t="shared" si="12"/>
        <v>0.13</v>
      </c>
      <c r="BS141" s="161">
        <f t="shared" si="12"/>
        <v>0.13</v>
      </c>
      <c r="BT141" s="161">
        <f aca="true" t="shared" si="13" ref="BT141:BW180">BT140</f>
        <v>0.13</v>
      </c>
      <c r="BU141" s="161">
        <f t="shared" si="13"/>
        <v>0.13</v>
      </c>
      <c r="BV141" s="161">
        <f t="shared" si="13"/>
        <v>0.13</v>
      </c>
      <c r="BW141" s="162">
        <f t="shared" si="13"/>
        <v>0.13</v>
      </c>
      <c r="BX141" s="161">
        <v>0.12</v>
      </c>
      <c r="BY141" s="161">
        <f aca="true" t="shared" si="14" ref="BY141:CN141">BY140</f>
        <v>0.12</v>
      </c>
      <c r="BZ141" s="161">
        <f t="shared" si="14"/>
        <v>0.12</v>
      </c>
      <c r="CA141" s="161">
        <f t="shared" si="14"/>
        <v>0.12</v>
      </c>
      <c r="CB141" s="162">
        <f t="shared" si="14"/>
        <v>0.12</v>
      </c>
      <c r="CC141" s="161">
        <f t="shared" si="14"/>
        <v>0.12</v>
      </c>
      <c r="CD141" s="161">
        <f t="shared" si="14"/>
        <v>0.12</v>
      </c>
      <c r="CE141" s="161">
        <f t="shared" si="14"/>
        <v>0.12</v>
      </c>
      <c r="CF141" s="161">
        <f t="shared" si="14"/>
        <v>0.11</v>
      </c>
      <c r="CG141" s="162">
        <f t="shared" si="14"/>
        <v>0.11</v>
      </c>
      <c r="CH141" s="161">
        <f t="shared" si="14"/>
        <v>0.11</v>
      </c>
      <c r="CI141" s="161">
        <f t="shared" si="14"/>
        <v>0.11</v>
      </c>
      <c r="CJ141" s="161">
        <f t="shared" si="14"/>
        <v>0.11</v>
      </c>
      <c r="CK141" s="161">
        <f t="shared" si="14"/>
        <v>0.1</v>
      </c>
      <c r="CL141" s="162">
        <f t="shared" si="14"/>
        <v>0.1</v>
      </c>
      <c r="CM141" s="161">
        <f t="shared" si="14"/>
        <v>0.1</v>
      </c>
      <c r="CN141" s="161">
        <f t="shared" si="14"/>
        <v>0.1</v>
      </c>
      <c r="CO141" s="161">
        <f aca="true" t="shared" si="15" ref="CO141:CP180">CO140</f>
        <v>0.1</v>
      </c>
      <c r="CP141" s="161">
        <f>CP140</f>
        <v>0.1</v>
      </c>
      <c r="CQ141" s="162">
        <f aca="true" t="shared" si="16" ref="CQ141:CR180">CQ140</f>
        <v>0.1</v>
      </c>
      <c r="CR141" s="161">
        <v>0.09</v>
      </c>
      <c r="CS141" s="161">
        <f aca="true" t="shared" si="17" ref="CS141:CW180">CS140</f>
        <v>0.09</v>
      </c>
      <c r="CT141" s="161">
        <f t="shared" si="17"/>
        <v>0.09</v>
      </c>
      <c r="CU141" s="161">
        <f t="shared" si="17"/>
        <v>0.09</v>
      </c>
      <c r="CV141" s="161">
        <f t="shared" si="17"/>
        <v>0.09</v>
      </c>
      <c r="CW141" s="163">
        <f t="shared" si="17"/>
        <v>0.09</v>
      </c>
    </row>
    <row r="142" spans="1:101" ht="12.75">
      <c r="A142" s="2">
        <v>0.12</v>
      </c>
      <c r="B142" s="160">
        <v>1.59</v>
      </c>
      <c r="C142" s="161">
        <v>1.23</v>
      </c>
      <c r="D142" s="161">
        <v>1.04</v>
      </c>
      <c r="E142" s="162">
        <v>0.91</v>
      </c>
      <c r="F142" s="161">
        <v>0.82</v>
      </c>
      <c r="G142" s="161">
        <v>0.74</v>
      </c>
      <c r="H142" s="161">
        <v>0.68</v>
      </c>
      <c r="I142" s="161">
        <v>0.63</v>
      </c>
      <c r="J142" s="162">
        <v>0.58</v>
      </c>
      <c r="K142" s="161">
        <f aca="true" t="shared" si="18" ref="K142:K180">K141-0.01</f>
        <v>0.55</v>
      </c>
      <c r="L142" s="161">
        <v>0.53</v>
      </c>
      <c r="M142" s="161">
        <v>0.51</v>
      </c>
      <c r="N142" s="161">
        <v>0.49</v>
      </c>
      <c r="O142" s="162">
        <v>0.47</v>
      </c>
      <c r="P142" s="161">
        <v>0.45</v>
      </c>
      <c r="Q142" s="161">
        <v>0.43</v>
      </c>
      <c r="R142" s="161">
        <v>0.41</v>
      </c>
      <c r="S142" s="161">
        <v>0.39</v>
      </c>
      <c r="T142" s="162">
        <f>T141-0.01</f>
        <v>0.36</v>
      </c>
      <c r="U142" s="161">
        <f>U141-0.01</f>
        <v>0.33999999999999997</v>
      </c>
      <c r="V142" s="161">
        <v>0.34</v>
      </c>
      <c r="W142" s="161">
        <v>0.33</v>
      </c>
      <c r="X142" s="161">
        <v>0.32</v>
      </c>
      <c r="Y142" s="162">
        <v>0.31</v>
      </c>
      <c r="Z142" s="161">
        <f aca="true" t="shared" si="19" ref="Z142:AB179">Z141</f>
        <v>0.3</v>
      </c>
      <c r="AA142" s="161">
        <f t="shared" si="19"/>
        <v>0.29</v>
      </c>
      <c r="AB142" s="161">
        <f t="shared" si="19"/>
        <v>0.28</v>
      </c>
      <c r="AC142" s="161">
        <v>0.27</v>
      </c>
      <c r="AD142" s="162">
        <v>0.26</v>
      </c>
      <c r="AE142" s="161">
        <f t="shared" si="3"/>
        <v>0.26</v>
      </c>
      <c r="AF142" s="161">
        <f t="shared" si="3"/>
        <v>0.25</v>
      </c>
      <c r="AG142" s="161">
        <f t="shared" si="4"/>
        <v>0.25</v>
      </c>
      <c r="AH142" s="161">
        <f t="shared" si="4"/>
        <v>0.24</v>
      </c>
      <c r="AI142" s="162">
        <f t="shared" si="5"/>
        <v>0.24</v>
      </c>
      <c r="AJ142" s="161">
        <f t="shared" si="5"/>
        <v>0.23</v>
      </c>
      <c r="AK142" s="161">
        <f t="shared" si="6"/>
        <v>0.23</v>
      </c>
      <c r="AL142" s="161">
        <f t="shared" si="6"/>
        <v>0.22</v>
      </c>
      <c r="AM142" s="161">
        <f t="shared" si="7"/>
        <v>0.22</v>
      </c>
      <c r="AN142" s="162">
        <f t="shared" si="7"/>
        <v>0.21</v>
      </c>
      <c r="AO142" s="161">
        <f t="shared" si="8"/>
        <v>0.21</v>
      </c>
      <c r="AP142" s="161">
        <f t="shared" si="8"/>
        <v>0.2</v>
      </c>
      <c r="AQ142" s="161">
        <f t="shared" si="9"/>
        <v>0.2</v>
      </c>
      <c r="AR142" s="161">
        <v>0.19</v>
      </c>
      <c r="AS142" s="162">
        <f t="shared" si="9"/>
        <v>0.19</v>
      </c>
      <c r="AT142" s="161">
        <f t="shared" si="9"/>
        <v>0.19</v>
      </c>
      <c r="AU142" s="161">
        <f t="shared" si="9"/>
        <v>0.18</v>
      </c>
      <c r="AV142" s="161">
        <f t="shared" si="9"/>
        <v>0.18</v>
      </c>
      <c r="AW142" s="161">
        <v>0.17</v>
      </c>
      <c r="AX142" s="162">
        <f t="shared" si="10"/>
        <v>0.17</v>
      </c>
      <c r="AY142" s="161">
        <f t="shared" si="10"/>
        <v>0.17</v>
      </c>
      <c r="AZ142" s="161">
        <f t="shared" si="10"/>
        <v>0.17</v>
      </c>
      <c r="BA142" s="161">
        <f t="shared" si="10"/>
        <v>0.16</v>
      </c>
      <c r="BB142" s="161">
        <f t="shared" si="11"/>
        <v>0.16</v>
      </c>
      <c r="BC142" s="162">
        <f t="shared" si="11"/>
        <v>0.16</v>
      </c>
      <c r="BD142" s="161">
        <f t="shared" si="11"/>
        <v>0.16</v>
      </c>
      <c r="BE142" s="161">
        <f t="shared" si="11"/>
        <v>0.16</v>
      </c>
      <c r="BF142" s="161">
        <f t="shared" si="11"/>
        <v>0.15</v>
      </c>
      <c r="BG142" s="161">
        <f aca="true" t="shared" si="20" ref="BG142:BJ143">BG141</f>
        <v>0.15</v>
      </c>
      <c r="BH142" s="162">
        <f t="shared" si="20"/>
        <v>0.15</v>
      </c>
      <c r="BI142" s="161">
        <f t="shared" si="20"/>
        <v>0.15</v>
      </c>
      <c r="BJ142" s="161">
        <f t="shared" si="20"/>
        <v>0.15</v>
      </c>
      <c r="BK142" s="161">
        <v>0.14</v>
      </c>
      <c r="BL142" s="161">
        <f aca="true" t="shared" si="21" ref="BL142:BO143">BL141</f>
        <v>0.14</v>
      </c>
      <c r="BM142" s="162">
        <f t="shared" si="21"/>
        <v>0.14</v>
      </c>
      <c r="BN142" s="161">
        <f t="shared" si="21"/>
        <v>0.14</v>
      </c>
      <c r="BO142" s="161">
        <f t="shared" si="21"/>
        <v>0.14</v>
      </c>
      <c r="BP142" s="161">
        <v>0.13</v>
      </c>
      <c r="BQ142" s="161">
        <f aca="true" t="shared" si="22" ref="BQ142:BS145">BQ141</f>
        <v>0.13</v>
      </c>
      <c r="BR142" s="162">
        <f t="shared" si="22"/>
        <v>0.13</v>
      </c>
      <c r="BS142" s="161">
        <f t="shared" si="22"/>
        <v>0.13</v>
      </c>
      <c r="BT142" s="161">
        <f t="shared" si="13"/>
        <v>0.13</v>
      </c>
      <c r="BU142" s="161">
        <f t="shared" si="13"/>
        <v>0.13</v>
      </c>
      <c r="BV142" s="161">
        <f t="shared" si="13"/>
        <v>0.13</v>
      </c>
      <c r="BW142" s="162">
        <v>0.12</v>
      </c>
      <c r="BX142" s="161">
        <f aca="true" t="shared" si="23" ref="BX142:BY180">BX141</f>
        <v>0.12</v>
      </c>
      <c r="BY142" s="161">
        <f aca="true" t="shared" si="24" ref="BY142:CD143">BY141</f>
        <v>0.12</v>
      </c>
      <c r="BZ142" s="161">
        <f t="shared" si="24"/>
        <v>0.12</v>
      </c>
      <c r="CA142" s="161">
        <f t="shared" si="24"/>
        <v>0.12</v>
      </c>
      <c r="CB142" s="162">
        <f t="shared" si="24"/>
        <v>0.12</v>
      </c>
      <c r="CC142" s="161">
        <f t="shared" si="24"/>
        <v>0.12</v>
      </c>
      <c r="CD142" s="161">
        <f t="shared" si="24"/>
        <v>0.12</v>
      </c>
      <c r="CE142" s="161">
        <v>0.11</v>
      </c>
      <c r="CF142" s="161">
        <f aca="true" t="shared" si="25" ref="CF142:CI144">CF141</f>
        <v>0.11</v>
      </c>
      <c r="CG142" s="162">
        <f t="shared" si="25"/>
        <v>0.11</v>
      </c>
      <c r="CH142" s="161">
        <f t="shared" si="25"/>
        <v>0.11</v>
      </c>
      <c r="CI142" s="161">
        <f t="shared" si="25"/>
        <v>0.11</v>
      </c>
      <c r="CJ142" s="161">
        <v>0.1</v>
      </c>
      <c r="CK142" s="161">
        <f aca="true" t="shared" si="26" ref="CK142:CN148">CK141</f>
        <v>0.1</v>
      </c>
      <c r="CL142" s="162">
        <f t="shared" si="26"/>
        <v>0.1</v>
      </c>
      <c r="CM142" s="161">
        <f t="shared" si="26"/>
        <v>0.1</v>
      </c>
      <c r="CN142" s="161">
        <f t="shared" si="26"/>
        <v>0.1</v>
      </c>
      <c r="CO142" s="161">
        <f t="shared" si="15"/>
        <v>0.1</v>
      </c>
      <c r="CP142" s="161">
        <f t="shared" si="15"/>
        <v>0.1</v>
      </c>
      <c r="CQ142" s="162">
        <f t="shared" si="16"/>
        <v>0.1</v>
      </c>
      <c r="CR142" s="161">
        <f t="shared" si="16"/>
        <v>0.09</v>
      </c>
      <c r="CS142" s="161">
        <f t="shared" si="17"/>
        <v>0.09</v>
      </c>
      <c r="CT142" s="161">
        <f t="shared" si="17"/>
        <v>0.09</v>
      </c>
      <c r="CU142" s="161">
        <f t="shared" si="17"/>
        <v>0.09</v>
      </c>
      <c r="CV142" s="161">
        <f t="shared" si="17"/>
        <v>0.09</v>
      </c>
      <c r="CW142" s="163">
        <f t="shared" si="17"/>
        <v>0.09</v>
      </c>
    </row>
    <row r="143" spans="1:101" ht="12.75">
      <c r="A143" s="2">
        <v>0.13</v>
      </c>
      <c r="B143" s="160">
        <v>1.59</v>
      </c>
      <c r="C143" s="161">
        <v>1.22</v>
      </c>
      <c r="D143" s="161">
        <v>1.04</v>
      </c>
      <c r="E143" s="162">
        <v>0.9</v>
      </c>
      <c r="F143" s="161">
        <v>0.81</v>
      </c>
      <c r="G143" s="161">
        <v>0.73</v>
      </c>
      <c r="H143" s="161">
        <v>0.67</v>
      </c>
      <c r="I143" s="161">
        <v>0.62</v>
      </c>
      <c r="J143" s="162">
        <v>0.58</v>
      </c>
      <c r="K143" s="161">
        <v>0.55</v>
      </c>
      <c r="L143" s="161">
        <v>0.52</v>
      </c>
      <c r="M143" s="161">
        <f t="shared" si="2"/>
        <v>0.5</v>
      </c>
      <c r="N143" s="161">
        <f t="shared" si="2"/>
        <v>0.48</v>
      </c>
      <c r="O143" s="162">
        <v>0.46</v>
      </c>
      <c r="P143" s="161">
        <f aca="true" t="shared" si="27" ref="P143:S179">P142-0.01</f>
        <v>0.44</v>
      </c>
      <c r="Q143" s="161">
        <f t="shared" si="27"/>
        <v>0.42</v>
      </c>
      <c r="R143" s="161">
        <f t="shared" si="27"/>
        <v>0.39999999999999997</v>
      </c>
      <c r="S143" s="161">
        <f t="shared" si="27"/>
        <v>0.38</v>
      </c>
      <c r="T143" s="162">
        <v>0.36</v>
      </c>
      <c r="U143" s="161">
        <v>0.34</v>
      </c>
      <c r="V143" s="161">
        <f>V142-0.01</f>
        <v>0.33</v>
      </c>
      <c r="W143" s="161">
        <f>W142-0.01</f>
        <v>0.32</v>
      </c>
      <c r="X143" s="161">
        <f>X142-0.01</f>
        <v>0.31</v>
      </c>
      <c r="Y143" s="162">
        <v>0.31</v>
      </c>
      <c r="Z143" s="161">
        <f t="shared" si="19"/>
        <v>0.3</v>
      </c>
      <c r="AA143" s="161">
        <f t="shared" si="19"/>
        <v>0.29</v>
      </c>
      <c r="AB143" s="161">
        <f t="shared" si="19"/>
        <v>0.28</v>
      </c>
      <c r="AC143" s="161">
        <f t="shared" si="3"/>
        <v>0.27</v>
      </c>
      <c r="AD143" s="162">
        <f t="shared" si="3"/>
        <v>0.26</v>
      </c>
      <c r="AE143" s="161">
        <v>0.25</v>
      </c>
      <c r="AF143" s="161">
        <f t="shared" si="3"/>
        <v>0.25</v>
      </c>
      <c r="AG143" s="161">
        <v>0.24</v>
      </c>
      <c r="AH143" s="161">
        <f t="shared" si="4"/>
        <v>0.24</v>
      </c>
      <c r="AI143" s="162">
        <v>0.23</v>
      </c>
      <c r="AJ143" s="161">
        <f t="shared" si="5"/>
        <v>0.23</v>
      </c>
      <c r="AK143" s="161">
        <v>0.22</v>
      </c>
      <c r="AL143" s="161">
        <f t="shared" si="6"/>
        <v>0.22</v>
      </c>
      <c r="AM143" s="161">
        <v>0.21</v>
      </c>
      <c r="AN143" s="162">
        <f t="shared" si="7"/>
        <v>0.21</v>
      </c>
      <c r="AO143" s="161">
        <v>0.2</v>
      </c>
      <c r="AP143" s="161">
        <f t="shared" si="8"/>
        <v>0.2</v>
      </c>
      <c r="AQ143" s="161">
        <f t="shared" si="9"/>
        <v>0.2</v>
      </c>
      <c r="AR143" s="161">
        <f t="shared" si="9"/>
        <v>0.19</v>
      </c>
      <c r="AS143" s="162">
        <f t="shared" si="9"/>
        <v>0.19</v>
      </c>
      <c r="AT143" s="161">
        <v>0.18</v>
      </c>
      <c r="AU143" s="161">
        <f t="shared" si="9"/>
        <v>0.18</v>
      </c>
      <c r="AV143" s="161">
        <f t="shared" si="9"/>
        <v>0.18</v>
      </c>
      <c r="AW143" s="161">
        <f t="shared" si="10"/>
        <v>0.17</v>
      </c>
      <c r="AX143" s="162">
        <f t="shared" si="10"/>
        <v>0.17</v>
      </c>
      <c r="AY143" s="161">
        <f t="shared" si="10"/>
        <v>0.17</v>
      </c>
      <c r="AZ143" s="161">
        <v>0.16</v>
      </c>
      <c r="BA143" s="161">
        <f t="shared" si="10"/>
        <v>0.16</v>
      </c>
      <c r="BB143" s="161">
        <f t="shared" si="11"/>
        <v>0.16</v>
      </c>
      <c r="BC143" s="162">
        <f t="shared" si="11"/>
        <v>0.16</v>
      </c>
      <c r="BD143" s="161">
        <f t="shared" si="11"/>
        <v>0.16</v>
      </c>
      <c r="BE143" s="161">
        <v>0.15</v>
      </c>
      <c r="BF143" s="161">
        <f t="shared" si="11"/>
        <v>0.15</v>
      </c>
      <c r="BG143" s="161">
        <f t="shared" si="20"/>
        <v>0.15</v>
      </c>
      <c r="BH143" s="162">
        <f t="shared" si="20"/>
        <v>0.15</v>
      </c>
      <c r="BI143" s="161">
        <f t="shared" si="20"/>
        <v>0.15</v>
      </c>
      <c r="BJ143" s="161">
        <f t="shared" si="20"/>
        <v>0.15</v>
      </c>
      <c r="BK143" s="161">
        <f aca="true" t="shared" si="28" ref="BK143:BK151">BK142</f>
        <v>0.14</v>
      </c>
      <c r="BL143" s="161">
        <f t="shared" si="21"/>
        <v>0.14</v>
      </c>
      <c r="BM143" s="162">
        <f t="shared" si="21"/>
        <v>0.14</v>
      </c>
      <c r="BN143" s="161">
        <f t="shared" si="21"/>
        <v>0.14</v>
      </c>
      <c r="BO143" s="161">
        <f t="shared" si="21"/>
        <v>0.14</v>
      </c>
      <c r="BP143" s="161">
        <f aca="true" t="shared" si="29" ref="BP143:BP151">BP142</f>
        <v>0.13</v>
      </c>
      <c r="BQ143" s="161">
        <f t="shared" si="22"/>
        <v>0.13</v>
      </c>
      <c r="BR143" s="162">
        <f t="shared" si="22"/>
        <v>0.13</v>
      </c>
      <c r="BS143" s="161">
        <f t="shared" si="22"/>
        <v>0.13</v>
      </c>
      <c r="BT143" s="161">
        <f t="shared" si="13"/>
        <v>0.13</v>
      </c>
      <c r="BU143" s="161">
        <f t="shared" si="13"/>
        <v>0.13</v>
      </c>
      <c r="BV143" s="161">
        <v>0.12</v>
      </c>
      <c r="BW143" s="162">
        <f t="shared" si="13"/>
        <v>0.12</v>
      </c>
      <c r="BX143" s="161">
        <f t="shared" si="23"/>
        <v>0.12</v>
      </c>
      <c r="BY143" s="161">
        <f t="shared" si="24"/>
        <v>0.12</v>
      </c>
      <c r="BZ143" s="161">
        <f t="shared" si="24"/>
        <v>0.12</v>
      </c>
      <c r="CA143" s="161">
        <f t="shared" si="24"/>
        <v>0.12</v>
      </c>
      <c r="CB143" s="162">
        <f t="shared" si="24"/>
        <v>0.12</v>
      </c>
      <c r="CC143" s="161">
        <f t="shared" si="24"/>
        <v>0.12</v>
      </c>
      <c r="CD143" s="161">
        <f t="shared" si="24"/>
        <v>0.12</v>
      </c>
      <c r="CE143" s="161">
        <f aca="true" t="shared" si="30" ref="CE143:CE152">CE142</f>
        <v>0.11</v>
      </c>
      <c r="CF143" s="161">
        <f t="shared" si="25"/>
        <v>0.11</v>
      </c>
      <c r="CG143" s="162">
        <f t="shared" si="25"/>
        <v>0.11</v>
      </c>
      <c r="CH143" s="161">
        <f t="shared" si="25"/>
        <v>0.11</v>
      </c>
      <c r="CI143" s="161">
        <f t="shared" si="25"/>
        <v>0.11</v>
      </c>
      <c r="CJ143" s="161">
        <f aca="true" t="shared" si="31" ref="CJ143:CJ156">CJ142</f>
        <v>0.1</v>
      </c>
      <c r="CK143" s="161">
        <f t="shared" si="26"/>
        <v>0.1</v>
      </c>
      <c r="CL143" s="162">
        <f t="shared" si="26"/>
        <v>0.1</v>
      </c>
      <c r="CM143" s="161">
        <f t="shared" si="26"/>
        <v>0.1</v>
      </c>
      <c r="CN143" s="161">
        <f t="shared" si="26"/>
        <v>0.1</v>
      </c>
      <c r="CO143" s="161">
        <f t="shared" si="15"/>
        <v>0.1</v>
      </c>
      <c r="CP143" s="161">
        <f t="shared" si="15"/>
        <v>0.1</v>
      </c>
      <c r="CQ143" s="162">
        <v>0.09</v>
      </c>
      <c r="CR143" s="161">
        <f t="shared" si="16"/>
        <v>0.09</v>
      </c>
      <c r="CS143" s="161">
        <f t="shared" si="17"/>
        <v>0.09</v>
      </c>
      <c r="CT143" s="161">
        <f t="shared" si="17"/>
        <v>0.09</v>
      </c>
      <c r="CU143" s="161">
        <f t="shared" si="17"/>
        <v>0.09</v>
      </c>
      <c r="CV143" s="161">
        <f t="shared" si="17"/>
        <v>0.09</v>
      </c>
      <c r="CW143" s="163">
        <f t="shared" si="17"/>
        <v>0.09</v>
      </c>
    </row>
    <row r="144" spans="1:101" ht="13.5" thickBot="1">
      <c r="A144" s="2">
        <v>0.14</v>
      </c>
      <c r="B144" s="164">
        <v>1.59</v>
      </c>
      <c r="C144" s="165">
        <v>1.22</v>
      </c>
      <c r="D144" s="165">
        <v>1.03</v>
      </c>
      <c r="E144" s="166">
        <v>0.89</v>
      </c>
      <c r="F144" s="165">
        <v>0.8</v>
      </c>
      <c r="G144" s="165">
        <v>0.72</v>
      </c>
      <c r="H144" s="165">
        <v>0.67</v>
      </c>
      <c r="I144" s="165">
        <v>0.62</v>
      </c>
      <c r="J144" s="165">
        <v>0.57</v>
      </c>
      <c r="K144" s="165">
        <f t="shared" si="18"/>
        <v>0.54</v>
      </c>
      <c r="L144" s="165">
        <v>0.52</v>
      </c>
      <c r="M144" s="165">
        <v>0.5</v>
      </c>
      <c r="N144" s="165">
        <v>0.48</v>
      </c>
      <c r="O144" s="166">
        <v>0.46</v>
      </c>
      <c r="P144" s="167">
        <v>0.44</v>
      </c>
      <c r="Q144" s="165">
        <v>0.42</v>
      </c>
      <c r="R144" s="165">
        <v>0.4</v>
      </c>
      <c r="S144" s="165">
        <v>0.38</v>
      </c>
      <c r="T144" s="166">
        <v>0.36</v>
      </c>
      <c r="U144" s="165">
        <v>0.34</v>
      </c>
      <c r="V144" s="165">
        <v>0.33</v>
      </c>
      <c r="W144" s="165">
        <v>0.32</v>
      </c>
      <c r="X144" s="165">
        <v>0.31</v>
      </c>
      <c r="Y144" s="166">
        <f>Y143-0.01</f>
        <v>0.3</v>
      </c>
      <c r="Z144" s="167">
        <f t="shared" si="19"/>
        <v>0.3</v>
      </c>
      <c r="AA144" s="165">
        <f t="shared" si="19"/>
        <v>0.29</v>
      </c>
      <c r="AB144" s="165">
        <f t="shared" si="19"/>
        <v>0.28</v>
      </c>
      <c r="AC144" s="165">
        <f t="shared" si="3"/>
        <v>0.27</v>
      </c>
      <c r="AD144" s="166">
        <f t="shared" si="3"/>
        <v>0.26</v>
      </c>
      <c r="AE144" s="165">
        <f t="shared" si="3"/>
        <v>0.25</v>
      </c>
      <c r="AF144" s="165">
        <f t="shared" si="3"/>
        <v>0.25</v>
      </c>
      <c r="AG144" s="165">
        <f t="shared" si="4"/>
        <v>0.24</v>
      </c>
      <c r="AH144" s="165">
        <f t="shared" si="4"/>
        <v>0.24</v>
      </c>
      <c r="AI144" s="166">
        <f t="shared" si="5"/>
        <v>0.23</v>
      </c>
      <c r="AJ144" s="165">
        <f t="shared" si="5"/>
        <v>0.23</v>
      </c>
      <c r="AK144" s="165">
        <f t="shared" si="6"/>
        <v>0.22</v>
      </c>
      <c r="AL144" s="165">
        <f t="shared" si="6"/>
        <v>0.22</v>
      </c>
      <c r="AM144" s="165">
        <f t="shared" si="7"/>
        <v>0.21</v>
      </c>
      <c r="AN144" s="166">
        <f t="shared" si="7"/>
        <v>0.21</v>
      </c>
      <c r="AO144" s="165">
        <f t="shared" si="8"/>
        <v>0.2</v>
      </c>
      <c r="AP144" s="165">
        <f t="shared" si="8"/>
        <v>0.2</v>
      </c>
      <c r="AQ144" s="165">
        <v>0.19</v>
      </c>
      <c r="AR144" s="165">
        <f t="shared" si="9"/>
        <v>0.19</v>
      </c>
      <c r="AS144" s="166">
        <f t="shared" si="9"/>
        <v>0.19</v>
      </c>
      <c r="AT144" s="165">
        <f t="shared" si="9"/>
        <v>0.18</v>
      </c>
      <c r="AU144" s="165">
        <f t="shared" si="9"/>
        <v>0.18</v>
      </c>
      <c r="AV144" s="165">
        <f t="shared" si="9"/>
        <v>0.18</v>
      </c>
      <c r="AW144" s="165">
        <f t="shared" si="10"/>
        <v>0.17</v>
      </c>
      <c r="AX144" s="166">
        <f t="shared" si="10"/>
        <v>0.17</v>
      </c>
      <c r="AY144" s="165">
        <v>0.16</v>
      </c>
      <c r="AZ144" s="165">
        <f t="shared" si="10"/>
        <v>0.16</v>
      </c>
      <c r="BA144" s="165">
        <f t="shared" si="10"/>
        <v>0.16</v>
      </c>
      <c r="BB144" s="165">
        <f t="shared" si="11"/>
        <v>0.16</v>
      </c>
      <c r="BC144" s="166">
        <f t="shared" si="11"/>
        <v>0.16</v>
      </c>
      <c r="BD144" s="165">
        <f t="shared" si="11"/>
        <v>0.16</v>
      </c>
      <c r="BE144" s="165">
        <f t="shared" si="11"/>
        <v>0.15</v>
      </c>
      <c r="BF144" s="165">
        <f t="shared" si="11"/>
        <v>0.15</v>
      </c>
      <c r="BG144" s="165">
        <f aca="true" t="shared" si="32" ref="BG144:BI145">BG143</f>
        <v>0.15</v>
      </c>
      <c r="BH144" s="166">
        <f t="shared" si="32"/>
        <v>0.15</v>
      </c>
      <c r="BI144" s="165">
        <f t="shared" si="32"/>
        <v>0.15</v>
      </c>
      <c r="BJ144" s="165">
        <v>0.14</v>
      </c>
      <c r="BK144" s="165">
        <f t="shared" si="28"/>
        <v>0.14</v>
      </c>
      <c r="BL144" s="165">
        <f aca="true" t="shared" si="33" ref="BL144:BN145">BL143</f>
        <v>0.14</v>
      </c>
      <c r="BM144" s="166">
        <f t="shared" si="33"/>
        <v>0.14</v>
      </c>
      <c r="BN144" s="165">
        <f t="shared" si="33"/>
        <v>0.14</v>
      </c>
      <c r="BO144" s="165">
        <v>0.13</v>
      </c>
      <c r="BP144" s="165">
        <f t="shared" si="29"/>
        <v>0.13</v>
      </c>
      <c r="BQ144" s="165">
        <f t="shared" si="22"/>
        <v>0.13</v>
      </c>
      <c r="BR144" s="166">
        <f t="shared" si="22"/>
        <v>0.13</v>
      </c>
      <c r="BS144" s="165">
        <f t="shared" si="22"/>
        <v>0.13</v>
      </c>
      <c r="BT144" s="165">
        <f t="shared" si="13"/>
        <v>0.13</v>
      </c>
      <c r="BU144" s="165">
        <v>0.12</v>
      </c>
      <c r="BV144" s="165">
        <f t="shared" si="13"/>
        <v>0.12</v>
      </c>
      <c r="BW144" s="166">
        <f t="shared" si="13"/>
        <v>0.12</v>
      </c>
      <c r="BX144" s="165">
        <f t="shared" si="23"/>
        <v>0.12</v>
      </c>
      <c r="BY144" s="165">
        <f aca="true" t="shared" si="34" ref="BY144:CC145">BY143</f>
        <v>0.12</v>
      </c>
      <c r="BZ144" s="165">
        <f t="shared" si="34"/>
        <v>0.12</v>
      </c>
      <c r="CA144" s="165">
        <f t="shared" si="34"/>
        <v>0.12</v>
      </c>
      <c r="CB144" s="166">
        <f t="shared" si="34"/>
        <v>0.12</v>
      </c>
      <c r="CC144" s="165">
        <f t="shared" si="34"/>
        <v>0.12</v>
      </c>
      <c r="CD144" s="165">
        <v>0.11</v>
      </c>
      <c r="CE144" s="165">
        <f t="shared" si="30"/>
        <v>0.11</v>
      </c>
      <c r="CF144" s="165">
        <f t="shared" si="25"/>
        <v>0.11</v>
      </c>
      <c r="CG144" s="166">
        <f t="shared" si="25"/>
        <v>0.11</v>
      </c>
      <c r="CH144" s="165">
        <f t="shared" si="25"/>
        <v>0.11</v>
      </c>
      <c r="CI144" s="165">
        <f t="shared" si="25"/>
        <v>0.11</v>
      </c>
      <c r="CJ144" s="165">
        <f t="shared" si="31"/>
        <v>0.1</v>
      </c>
      <c r="CK144" s="165">
        <f t="shared" si="26"/>
        <v>0.1</v>
      </c>
      <c r="CL144" s="166">
        <f t="shared" si="26"/>
        <v>0.1</v>
      </c>
      <c r="CM144" s="165">
        <f t="shared" si="26"/>
        <v>0.1</v>
      </c>
      <c r="CN144" s="165">
        <f t="shared" si="26"/>
        <v>0.1</v>
      </c>
      <c r="CO144" s="165">
        <f t="shared" si="15"/>
        <v>0.1</v>
      </c>
      <c r="CP144" s="165">
        <f t="shared" si="15"/>
        <v>0.1</v>
      </c>
      <c r="CQ144" s="166">
        <f t="shared" si="16"/>
        <v>0.09</v>
      </c>
      <c r="CR144" s="165">
        <f t="shared" si="16"/>
        <v>0.09</v>
      </c>
      <c r="CS144" s="165">
        <f t="shared" si="17"/>
        <v>0.09</v>
      </c>
      <c r="CT144" s="165">
        <f t="shared" si="17"/>
        <v>0.09</v>
      </c>
      <c r="CU144" s="165">
        <f t="shared" si="17"/>
        <v>0.09</v>
      </c>
      <c r="CV144" s="165">
        <f t="shared" si="17"/>
        <v>0.09</v>
      </c>
      <c r="CW144" s="168">
        <f t="shared" si="17"/>
        <v>0.09</v>
      </c>
    </row>
    <row r="145" spans="1:101" ht="12.75">
      <c r="A145" s="2">
        <v>0.15</v>
      </c>
      <c r="B145" s="160">
        <v>1.59</v>
      </c>
      <c r="C145" s="161">
        <v>1.21</v>
      </c>
      <c r="D145" s="161">
        <v>1.02</v>
      </c>
      <c r="E145" s="162">
        <v>0.88</v>
      </c>
      <c r="F145" s="161">
        <v>0.79</v>
      </c>
      <c r="G145" s="161">
        <v>0.72</v>
      </c>
      <c r="H145" s="161">
        <v>0.66</v>
      </c>
      <c r="I145" s="161">
        <v>0.61</v>
      </c>
      <c r="J145" s="162">
        <v>0.57</v>
      </c>
      <c r="K145" s="161">
        <v>0.54</v>
      </c>
      <c r="L145" s="161">
        <v>0.52</v>
      </c>
      <c r="M145" s="161">
        <v>0.5</v>
      </c>
      <c r="N145" s="161">
        <v>0.48</v>
      </c>
      <c r="O145" s="162">
        <v>0.45</v>
      </c>
      <c r="P145" s="161">
        <v>0.44</v>
      </c>
      <c r="Q145" s="161">
        <v>0.42</v>
      </c>
      <c r="R145" s="161">
        <f t="shared" si="27"/>
        <v>0.39</v>
      </c>
      <c r="S145" s="161">
        <v>0.38</v>
      </c>
      <c r="T145" s="162">
        <v>0.36</v>
      </c>
      <c r="U145" s="161">
        <v>0.34</v>
      </c>
      <c r="V145" s="161">
        <v>0.33</v>
      </c>
      <c r="W145" s="161">
        <v>0.32</v>
      </c>
      <c r="X145" s="161">
        <v>0.31</v>
      </c>
      <c r="Y145" s="162">
        <v>0.3</v>
      </c>
      <c r="Z145" s="161">
        <v>0.29</v>
      </c>
      <c r="AA145" s="161">
        <v>0.28</v>
      </c>
      <c r="AB145" s="161">
        <f t="shared" si="19"/>
        <v>0.28</v>
      </c>
      <c r="AC145" s="161">
        <f t="shared" si="3"/>
        <v>0.27</v>
      </c>
      <c r="AD145" s="162">
        <f t="shared" si="3"/>
        <v>0.26</v>
      </c>
      <c r="AE145" s="161">
        <f t="shared" si="3"/>
        <v>0.25</v>
      </c>
      <c r="AF145" s="161">
        <f t="shared" si="3"/>
        <v>0.25</v>
      </c>
      <c r="AG145" s="161">
        <f t="shared" si="4"/>
        <v>0.24</v>
      </c>
      <c r="AH145" s="161">
        <f t="shared" si="4"/>
        <v>0.24</v>
      </c>
      <c r="AI145" s="162">
        <f t="shared" si="5"/>
        <v>0.23</v>
      </c>
      <c r="AJ145" s="161">
        <f t="shared" si="5"/>
        <v>0.23</v>
      </c>
      <c r="AK145" s="161">
        <f t="shared" si="6"/>
        <v>0.22</v>
      </c>
      <c r="AL145" s="161">
        <f t="shared" si="6"/>
        <v>0.22</v>
      </c>
      <c r="AM145" s="161">
        <f t="shared" si="7"/>
        <v>0.21</v>
      </c>
      <c r="AN145" s="162">
        <f t="shared" si="7"/>
        <v>0.21</v>
      </c>
      <c r="AO145" s="161">
        <f t="shared" si="8"/>
        <v>0.2</v>
      </c>
      <c r="AP145" s="161">
        <f t="shared" si="8"/>
        <v>0.2</v>
      </c>
      <c r="AQ145" s="161">
        <f t="shared" si="9"/>
        <v>0.19</v>
      </c>
      <c r="AR145" s="161">
        <f t="shared" si="9"/>
        <v>0.19</v>
      </c>
      <c r="AS145" s="162">
        <f t="shared" si="9"/>
        <v>0.19</v>
      </c>
      <c r="AT145" s="161">
        <f t="shared" si="9"/>
        <v>0.18</v>
      </c>
      <c r="AU145" s="161">
        <f t="shared" si="9"/>
        <v>0.18</v>
      </c>
      <c r="AV145" s="161">
        <v>0.17</v>
      </c>
      <c r="AW145" s="161">
        <f t="shared" si="10"/>
        <v>0.17</v>
      </c>
      <c r="AX145" s="162">
        <f t="shared" si="10"/>
        <v>0.17</v>
      </c>
      <c r="AY145" s="161">
        <f t="shared" si="10"/>
        <v>0.16</v>
      </c>
      <c r="AZ145" s="161">
        <f t="shared" si="10"/>
        <v>0.16</v>
      </c>
      <c r="BA145" s="161">
        <f t="shared" si="10"/>
        <v>0.16</v>
      </c>
      <c r="BB145" s="161">
        <f t="shared" si="11"/>
        <v>0.16</v>
      </c>
      <c r="BC145" s="162">
        <f t="shared" si="11"/>
        <v>0.16</v>
      </c>
      <c r="BD145" s="161">
        <v>0.15</v>
      </c>
      <c r="BE145" s="161">
        <f t="shared" si="11"/>
        <v>0.15</v>
      </c>
      <c r="BF145" s="161">
        <f t="shared" si="11"/>
        <v>0.15</v>
      </c>
      <c r="BG145" s="161">
        <f t="shared" si="32"/>
        <v>0.15</v>
      </c>
      <c r="BH145" s="162">
        <f t="shared" si="32"/>
        <v>0.15</v>
      </c>
      <c r="BI145" s="161">
        <f t="shared" si="32"/>
        <v>0.15</v>
      </c>
      <c r="BJ145" s="161">
        <f aca="true" t="shared" si="35" ref="BJ145:BJ153">BJ144</f>
        <v>0.14</v>
      </c>
      <c r="BK145" s="161">
        <f t="shared" si="28"/>
        <v>0.14</v>
      </c>
      <c r="BL145" s="161">
        <f t="shared" si="33"/>
        <v>0.14</v>
      </c>
      <c r="BM145" s="162">
        <f t="shared" si="33"/>
        <v>0.14</v>
      </c>
      <c r="BN145" s="161">
        <f t="shared" si="33"/>
        <v>0.14</v>
      </c>
      <c r="BO145" s="161">
        <f aca="true" t="shared" si="36" ref="BO145:BO153">BO144</f>
        <v>0.13</v>
      </c>
      <c r="BP145" s="161">
        <f t="shared" si="29"/>
        <v>0.13</v>
      </c>
      <c r="BQ145" s="161">
        <f t="shared" si="22"/>
        <v>0.13</v>
      </c>
      <c r="BR145" s="162">
        <f t="shared" si="22"/>
        <v>0.13</v>
      </c>
      <c r="BS145" s="161">
        <f t="shared" si="22"/>
        <v>0.13</v>
      </c>
      <c r="BT145" s="161">
        <v>0.12</v>
      </c>
      <c r="BU145" s="161">
        <f t="shared" si="13"/>
        <v>0.12</v>
      </c>
      <c r="BV145" s="161">
        <f t="shared" si="13"/>
        <v>0.12</v>
      </c>
      <c r="BW145" s="162">
        <f t="shared" si="13"/>
        <v>0.12</v>
      </c>
      <c r="BX145" s="161">
        <f t="shared" si="23"/>
        <v>0.12</v>
      </c>
      <c r="BY145" s="161">
        <f t="shared" si="34"/>
        <v>0.12</v>
      </c>
      <c r="BZ145" s="161">
        <f t="shared" si="34"/>
        <v>0.12</v>
      </c>
      <c r="CA145" s="161">
        <f t="shared" si="34"/>
        <v>0.12</v>
      </c>
      <c r="CB145" s="162">
        <f t="shared" si="34"/>
        <v>0.12</v>
      </c>
      <c r="CC145" s="161">
        <f t="shared" si="34"/>
        <v>0.12</v>
      </c>
      <c r="CD145" s="161">
        <v>0.11</v>
      </c>
      <c r="CE145" s="161">
        <f t="shared" si="30"/>
        <v>0.11</v>
      </c>
      <c r="CF145" s="161">
        <f aca="true" t="shared" si="37" ref="CF145:CH146">CF144</f>
        <v>0.11</v>
      </c>
      <c r="CG145" s="162">
        <f t="shared" si="37"/>
        <v>0.11</v>
      </c>
      <c r="CH145" s="161">
        <f t="shared" si="37"/>
        <v>0.11</v>
      </c>
      <c r="CI145" s="161">
        <v>0.1</v>
      </c>
      <c r="CJ145" s="161">
        <f t="shared" si="31"/>
        <v>0.1</v>
      </c>
      <c r="CK145" s="161">
        <f t="shared" si="26"/>
        <v>0.1</v>
      </c>
      <c r="CL145" s="162">
        <f t="shared" si="26"/>
        <v>0.1</v>
      </c>
      <c r="CM145" s="161">
        <f t="shared" si="26"/>
        <v>0.1</v>
      </c>
      <c r="CN145" s="161">
        <f t="shared" si="26"/>
        <v>0.1</v>
      </c>
      <c r="CO145" s="161">
        <f t="shared" si="15"/>
        <v>0.1</v>
      </c>
      <c r="CP145" s="161">
        <v>0.09</v>
      </c>
      <c r="CQ145" s="162">
        <f t="shared" si="16"/>
        <v>0.09</v>
      </c>
      <c r="CR145" s="161">
        <f t="shared" si="16"/>
        <v>0.09</v>
      </c>
      <c r="CS145" s="161">
        <f t="shared" si="17"/>
        <v>0.09</v>
      </c>
      <c r="CT145" s="161">
        <f t="shared" si="17"/>
        <v>0.09</v>
      </c>
      <c r="CU145" s="161">
        <f t="shared" si="17"/>
        <v>0.09</v>
      </c>
      <c r="CV145" s="161">
        <f t="shared" si="17"/>
        <v>0.09</v>
      </c>
      <c r="CW145" s="163">
        <f t="shared" si="17"/>
        <v>0.09</v>
      </c>
    </row>
    <row r="146" spans="1:101" ht="12.75">
      <c r="A146" s="2">
        <v>0.16</v>
      </c>
      <c r="B146" s="160">
        <v>1.58</v>
      </c>
      <c r="C146" s="161">
        <v>1.2</v>
      </c>
      <c r="D146" s="161">
        <v>1.01</v>
      </c>
      <c r="E146" s="162">
        <v>0.88</v>
      </c>
      <c r="F146" s="161">
        <v>0.79</v>
      </c>
      <c r="G146" s="161">
        <v>0.71</v>
      </c>
      <c r="H146" s="161">
        <v>0.65</v>
      </c>
      <c r="I146" s="161">
        <v>0.6</v>
      </c>
      <c r="J146" s="162">
        <v>0.56</v>
      </c>
      <c r="K146" s="161">
        <f t="shared" si="18"/>
        <v>0.53</v>
      </c>
      <c r="L146" s="161">
        <f t="shared" si="2"/>
        <v>0.51</v>
      </c>
      <c r="M146" s="161">
        <f t="shared" si="2"/>
        <v>0.49</v>
      </c>
      <c r="N146" s="161">
        <f t="shared" si="2"/>
        <v>0.47</v>
      </c>
      <c r="O146" s="162">
        <v>0.45</v>
      </c>
      <c r="P146" s="161">
        <f t="shared" si="27"/>
        <v>0.43</v>
      </c>
      <c r="Q146" s="161">
        <v>0.41</v>
      </c>
      <c r="R146" s="161">
        <v>0.39</v>
      </c>
      <c r="S146" s="161">
        <f t="shared" si="27"/>
        <v>0.37</v>
      </c>
      <c r="T146" s="162">
        <f>T145-0.01</f>
        <v>0.35</v>
      </c>
      <c r="U146" s="161">
        <f>U145-0.01</f>
        <v>0.33</v>
      </c>
      <c r="V146" s="161">
        <f>V145-0.01</f>
        <v>0.32</v>
      </c>
      <c r="W146" s="161">
        <v>0.32</v>
      </c>
      <c r="X146" s="161">
        <v>0.31</v>
      </c>
      <c r="Y146" s="162">
        <v>0.3</v>
      </c>
      <c r="Z146" s="161">
        <f t="shared" si="19"/>
        <v>0.29</v>
      </c>
      <c r="AA146" s="161">
        <f t="shared" si="19"/>
        <v>0.28</v>
      </c>
      <c r="AB146" s="161">
        <v>0.27</v>
      </c>
      <c r="AC146" s="161">
        <v>0.26</v>
      </c>
      <c r="AD146" s="162">
        <f t="shared" si="3"/>
        <v>0.26</v>
      </c>
      <c r="AE146" s="161">
        <f t="shared" si="3"/>
        <v>0.25</v>
      </c>
      <c r="AF146" s="161">
        <v>0.24</v>
      </c>
      <c r="AG146" s="161">
        <f t="shared" si="4"/>
        <v>0.24</v>
      </c>
      <c r="AH146" s="161">
        <v>0.23</v>
      </c>
      <c r="AI146" s="162">
        <f t="shared" si="5"/>
        <v>0.23</v>
      </c>
      <c r="AJ146" s="161">
        <v>0.22</v>
      </c>
      <c r="AK146" s="161">
        <f t="shared" si="6"/>
        <v>0.22</v>
      </c>
      <c r="AL146" s="161">
        <v>0.21</v>
      </c>
      <c r="AM146" s="161">
        <f t="shared" si="7"/>
        <v>0.21</v>
      </c>
      <c r="AN146" s="162">
        <v>0.2</v>
      </c>
      <c r="AO146" s="161">
        <f t="shared" si="8"/>
        <v>0.2</v>
      </c>
      <c r="AP146" s="161">
        <v>0.19</v>
      </c>
      <c r="AQ146" s="161">
        <f t="shared" si="9"/>
        <v>0.19</v>
      </c>
      <c r="AR146" s="161">
        <f t="shared" si="9"/>
        <v>0.19</v>
      </c>
      <c r="AS146" s="162">
        <v>0.18</v>
      </c>
      <c r="AT146" s="161">
        <f t="shared" si="9"/>
        <v>0.18</v>
      </c>
      <c r="AU146" s="161">
        <f t="shared" si="9"/>
        <v>0.18</v>
      </c>
      <c r="AV146" s="161">
        <f t="shared" si="9"/>
        <v>0.17</v>
      </c>
      <c r="AW146" s="161">
        <f t="shared" si="10"/>
        <v>0.17</v>
      </c>
      <c r="AX146" s="162">
        <v>0.16</v>
      </c>
      <c r="AY146" s="161">
        <f t="shared" si="10"/>
        <v>0.16</v>
      </c>
      <c r="AZ146" s="161">
        <f t="shared" si="10"/>
        <v>0.16</v>
      </c>
      <c r="BA146" s="161">
        <f t="shared" si="10"/>
        <v>0.16</v>
      </c>
      <c r="BB146" s="161">
        <f t="shared" si="11"/>
        <v>0.16</v>
      </c>
      <c r="BC146" s="162">
        <v>0.15</v>
      </c>
      <c r="BD146" s="161">
        <f t="shared" si="11"/>
        <v>0.15</v>
      </c>
      <c r="BE146" s="161">
        <f t="shared" si="11"/>
        <v>0.15</v>
      </c>
      <c r="BF146" s="161">
        <f t="shared" si="11"/>
        <v>0.15</v>
      </c>
      <c r="BG146" s="161">
        <f>BG145</f>
        <v>0.15</v>
      </c>
      <c r="BH146" s="162">
        <f>BH145</f>
        <v>0.15</v>
      </c>
      <c r="BI146" s="161">
        <v>0.14</v>
      </c>
      <c r="BJ146" s="161">
        <f t="shared" si="35"/>
        <v>0.14</v>
      </c>
      <c r="BK146" s="161">
        <f t="shared" si="28"/>
        <v>0.14</v>
      </c>
      <c r="BL146" s="161">
        <f>BL145</f>
        <v>0.14</v>
      </c>
      <c r="BM146" s="162">
        <f>BM145</f>
        <v>0.14</v>
      </c>
      <c r="BN146" s="161">
        <v>0.13</v>
      </c>
      <c r="BO146" s="161">
        <f t="shared" si="36"/>
        <v>0.13</v>
      </c>
      <c r="BP146" s="161">
        <f t="shared" si="29"/>
        <v>0.13</v>
      </c>
      <c r="BQ146" s="161">
        <f>BQ145</f>
        <v>0.13</v>
      </c>
      <c r="BR146" s="162">
        <f>BR145</f>
        <v>0.13</v>
      </c>
      <c r="BS146" s="161">
        <v>0.12</v>
      </c>
      <c r="BT146" s="161">
        <f t="shared" si="13"/>
        <v>0.12</v>
      </c>
      <c r="BU146" s="161">
        <f t="shared" si="13"/>
        <v>0.12</v>
      </c>
      <c r="BV146" s="161">
        <f t="shared" si="13"/>
        <v>0.12</v>
      </c>
      <c r="BW146" s="162">
        <f t="shared" si="13"/>
        <v>0.12</v>
      </c>
      <c r="BX146" s="161">
        <f t="shared" si="23"/>
        <v>0.12</v>
      </c>
      <c r="BY146" s="161">
        <f>BY145</f>
        <v>0.12</v>
      </c>
      <c r="BZ146" s="161">
        <f>BZ145</f>
        <v>0.12</v>
      </c>
      <c r="CA146" s="161">
        <f>CA145</f>
        <v>0.12</v>
      </c>
      <c r="CB146" s="162">
        <f>CB145</f>
        <v>0.12</v>
      </c>
      <c r="CC146" s="161">
        <v>0.11</v>
      </c>
      <c r="CD146" s="161">
        <f aca="true" t="shared" si="38" ref="CD146:CD153">CD145</f>
        <v>0.11</v>
      </c>
      <c r="CE146" s="161">
        <f t="shared" si="30"/>
        <v>0.11</v>
      </c>
      <c r="CF146" s="161">
        <f t="shared" si="37"/>
        <v>0.11</v>
      </c>
      <c r="CG146" s="162">
        <f t="shared" si="37"/>
        <v>0.11</v>
      </c>
      <c r="CH146" s="161">
        <f t="shared" si="37"/>
        <v>0.11</v>
      </c>
      <c r="CI146" s="161">
        <f aca="true" t="shared" si="39" ref="CI146:CI157">CI145</f>
        <v>0.1</v>
      </c>
      <c r="CJ146" s="161">
        <f t="shared" si="31"/>
        <v>0.1</v>
      </c>
      <c r="CK146" s="161">
        <f t="shared" si="26"/>
        <v>0.1</v>
      </c>
      <c r="CL146" s="162">
        <f t="shared" si="26"/>
        <v>0.1</v>
      </c>
      <c r="CM146" s="161">
        <f t="shared" si="26"/>
        <v>0.1</v>
      </c>
      <c r="CN146" s="161">
        <f t="shared" si="26"/>
        <v>0.1</v>
      </c>
      <c r="CO146" s="161">
        <f t="shared" si="15"/>
        <v>0.1</v>
      </c>
      <c r="CP146" s="161">
        <f t="shared" si="15"/>
        <v>0.09</v>
      </c>
      <c r="CQ146" s="162">
        <f t="shared" si="16"/>
        <v>0.09</v>
      </c>
      <c r="CR146" s="161">
        <f t="shared" si="16"/>
        <v>0.09</v>
      </c>
      <c r="CS146" s="161">
        <f t="shared" si="17"/>
        <v>0.09</v>
      </c>
      <c r="CT146" s="161">
        <f t="shared" si="17"/>
        <v>0.09</v>
      </c>
      <c r="CU146" s="161">
        <f t="shared" si="17"/>
        <v>0.09</v>
      </c>
      <c r="CV146" s="161">
        <f t="shared" si="17"/>
        <v>0.09</v>
      </c>
      <c r="CW146" s="163">
        <f t="shared" si="17"/>
        <v>0.09</v>
      </c>
    </row>
    <row r="147" spans="1:101" ht="12.75">
      <c r="A147" s="2">
        <v>0.17</v>
      </c>
      <c r="B147" s="160">
        <v>1.58</v>
      </c>
      <c r="C147" s="161">
        <v>1.19</v>
      </c>
      <c r="D147" s="161">
        <v>1</v>
      </c>
      <c r="E147" s="162">
        <v>0.87</v>
      </c>
      <c r="F147" s="161">
        <v>0.78</v>
      </c>
      <c r="G147" s="161">
        <v>0.7</v>
      </c>
      <c r="H147" s="161">
        <v>0.65</v>
      </c>
      <c r="I147" s="161">
        <v>0.6</v>
      </c>
      <c r="J147" s="162">
        <v>0.56</v>
      </c>
      <c r="K147" s="161">
        <v>0.53</v>
      </c>
      <c r="L147" s="161">
        <v>0.51</v>
      </c>
      <c r="M147" s="161">
        <v>0.49</v>
      </c>
      <c r="N147" s="161">
        <v>0.47</v>
      </c>
      <c r="O147" s="162">
        <v>0.45</v>
      </c>
      <c r="P147" s="161">
        <v>0.43</v>
      </c>
      <c r="Q147" s="161">
        <v>0.41</v>
      </c>
      <c r="R147" s="161">
        <v>0.39</v>
      </c>
      <c r="S147" s="161">
        <v>0.37</v>
      </c>
      <c r="T147" s="162">
        <v>0.35</v>
      </c>
      <c r="U147" s="161">
        <v>0.33</v>
      </c>
      <c r="V147" s="161">
        <v>0.32</v>
      </c>
      <c r="W147" s="161">
        <f>W146-0.01</f>
        <v>0.31</v>
      </c>
      <c r="X147" s="161">
        <f>X146-0.01</f>
        <v>0.3</v>
      </c>
      <c r="Y147" s="162">
        <v>0.3</v>
      </c>
      <c r="Z147" s="161">
        <f t="shared" si="19"/>
        <v>0.29</v>
      </c>
      <c r="AA147" s="161">
        <f t="shared" si="19"/>
        <v>0.28</v>
      </c>
      <c r="AB147" s="161">
        <f t="shared" si="19"/>
        <v>0.27</v>
      </c>
      <c r="AC147" s="161">
        <f t="shared" si="3"/>
        <v>0.26</v>
      </c>
      <c r="AD147" s="162">
        <v>0.25</v>
      </c>
      <c r="AE147" s="161">
        <f t="shared" si="3"/>
        <v>0.25</v>
      </c>
      <c r="AF147" s="161">
        <f t="shared" si="3"/>
        <v>0.24</v>
      </c>
      <c r="AG147" s="161">
        <f t="shared" si="4"/>
        <v>0.24</v>
      </c>
      <c r="AH147" s="161">
        <f t="shared" si="4"/>
        <v>0.23</v>
      </c>
      <c r="AI147" s="162">
        <f t="shared" si="5"/>
        <v>0.23</v>
      </c>
      <c r="AJ147" s="161">
        <f t="shared" si="5"/>
        <v>0.22</v>
      </c>
      <c r="AK147" s="161">
        <f t="shared" si="6"/>
        <v>0.22</v>
      </c>
      <c r="AL147" s="161">
        <f t="shared" si="6"/>
        <v>0.21</v>
      </c>
      <c r="AM147" s="161">
        <f t="shared" si="7"/>
        <v>0.21</v>
      </c>
      <c r="AN147" s="162">
        <f t="shared" si="7"/>
        <v>0.2</v>
      </c>
      <c r="AO147" s="161">
        <f t="shared" si="8"/>
        <v>0.2</v>
      </c>
      <c r="AP147" s="161">
        <f t="shared" si="8"/>
        <v>0.19</v>
      </c>
      <c r="AQ147" s="161">
        <f t="shared" si="9"/>
        <v>0.19</v>
      </c>
      <c r="AR147" s="161">
        <f t="shared" si="9"/>
        <v>0.19</v>
      </c>
      <c r="AS147" s="162">
        <f t="shared" si="9"/>
        <v>0.18</v>
      </c>
      <c r="AT147" s="161">
        <f t="shared" si="9"/>
        <v>0.18</v>
      </c>
      <c r="AU147" s="161">
        <v>0.17</v>
      </c>
      <c r="AV147" s="161">
        <f t="shared" si="9"/>
        <v>0.17</v>
      </c>
      <c r="AW147" s="161">
        <f t="shared" si="10"/>
        <v>0.17</v>
      </c>
      <c r="AX147" s="162">
        <f t="shared" si="10"/>
        <v>0.16</v>
      </c>
      <c r="AY147" s="161">
        <f t="shared" si="10"/>
        <v>0.16</v>
      </c>
      <c r="AZ147" s="161">
        <f t="shared" si="10"/>
        <v>0.16</v>
      </c>
      <c r="BA147" s="161">
        <f t="shared" si="10"/>
        <v>0.16</v>
      </c>
      <c r="BB147" s="161">
        <v>0.15</v>
      </c>
      <c r="BC147" s="162">
        <f t="shared" si="11"/>
        <v>0.15</v>
      </c>
      <c r="BD147" s="161">
        <f t="shared" si="11"/>
        <v>0.15</v>
      </c>
      <c r="BE147" s="161">
        <f t="shared" si="11"/>
        <v>0.15</v>
      </c>
      <c r="BF147" s="161">
        <f t="shared" si="11"/>
        <v>0.15</v>
      </c>
      <c r="BG147" s="161">
        <f>BG146</f>
        <v>0.15</v>
      </c>
      <c r="BH147" s="162">
        <v>0.14</v>
      </c>
      <c r="BI147" s="161">
        <f aca="true" t="shared" si="40" ref="BI147:BI155">BI146</f>
        <v>0.14</v>
      </c>
      <c r="BJ147" s="161">
        <f t="shared" si="35"/>
        <v>0.14</v>
      </c>
      <c r="BK147" s="161">
        <f t="shared" si="28"/>
        <v>0.14</v>
      </c>
      <c r="BL147" s="161">
        <f>BL146</f>
        <v>0.14</v>
      </c>
      <c r="BM147" s="162">
        <f>BM146</f>
        <v>0.14</v>
      </c>
      <c r="BN147" s="161">
        <f aca="true" t="shared" si="41" ref="BN147:BN155">BN146</f>
        <v>0.13</v>
      </c>
      <c r="BO147" s="161">
        <f t="shared" si="36"/>
        <v>0.13</v>
      </c>
      <c r="BP147" s="161">
        <f t="shared" si="29"/>
        <v>0.13</v>
      </c>
      <c r="BQ147" s="161">
        <f>BQ146</f>
        <v>0.13</v>
      </c>
      <c r="BR147" s="162">
        <f>BR146</f>
        <v>0.13</v>
      </c>
      <c r="BS147" s="161">
        <f aca="true" t="shared" si="42" ref="BS147:BS155">BS146</f>
        <v>0.12</v>
      </c>
      <c r="BT147" s="161">
        <f t="shared" si="13"/>
        <v>0.12</v>
      </c>
      <c r="BU147" s="161">
        <f t="shared" si="13"/>
        <v>0.12</v>
      </c>
      <c r="BV147" s="161">
        <f t="shared" si="13"/>
        <v>0.12</v>
      </c>
      <c r="BW147" s="162">
        <f t="shared" si="13"/>
        <v>0.12</v>
      </c>
      <c r="BX147" s="161">
        <f t="shared" si="23"/>
        <v>0.12</v>
      </c>
      <c r="BY147" s="161">
        <f>BY146</f>
        <v>0.12</v>
      </c>
      <c r="BZ147" s="161">
        <f>BZ146</f>
        <v>0.12</v>
      </c>
      <c r="CA147" s="161">
        <f>CA146</f>
        <v>0.12</v>
      </c>
      <c r="CB147" s="162">
        <v>0.11</v>
      </c>
      <c r="CC147" s="161">
        <f aca="true" t="shared" si="43" ref="CC147:CC155">CC146</f>
        <v>0.11</v>
      </c>
      <c r="CD147" s="161">
        <f t="shared" si="38"/>
        <v>0.11</v>
      </c>
      <c r="CE147" s="161">
        <f t="shared" si="30"/>
        <v>0.11</v>
      </c>
      <c r="CF147" s="161">
        <f>CF146</f>
        <v>0.11</v>
      </c>
      <c r="CG147" s="162">
        <f>CG146</f>
        <v>0.11</v>
      </c>
      <c r="CH147" s="161">
        <v>0.1</v>
      </c>
      <c r="CI147" s="161">
        <f t="shared" si="39"/>
        <v>0.1</v>
      </c>
      <c r="CJ147" s="161">
        <f t="shared" si="31"/>
        <v>0.1</v>
      </c>
      <c r="CK147" s="161">
        <f t="shared" si="26"/>
        <v>0.1</v>
      </c>
      <c r="CL147" s="162">
        <f t="shared" si="26"/>
        <v>0.1</v>
      </c>
      <c r="CM147" s="161">
        <f t="shared" si="26"/>
        <v>0.1</v>
      </c>
      <c r="CN147" s="161">
        <f t="shared" si="26"/>
        <v>0.1</v>
      </c>
      <c r="CO147" s="161">
        <v>0.09</v>
      </c>
      <c r="CP147" s="161">
        <f t="shared" si="15"/>
        <v>0.09</v>
      </c>
      <c r="CQ147" s="162">
        <f t="shared" si="16"/>
        <v>0.09</v>
      </c>
      <c r="CR147" s="161">
        <f t="shared" si="16"/>
        <v>0.09</v>
      </c>
      <c r="CS147" s="161">
        <f t="shared" si="17"/>
        <v>0.09</v>
      </c>
      <c r="CT147" s="161">
        <f t="shared" si="17"/>
        <v>0.09</v>
      </c>
      <c r="CU147" s="161">
        <f t="shared" si="17"/>
        <v>0.09</v>
      </c>
      <c r="CV147" s="161">
        <f t="shared" si="17"/>
        <v>0.09</v>
      </c>
      <c r="CW147" s="163">
        <f t="shared" si="17"/>
        <v>0.09</v>
      </c>
    </row>
    <row r="148" spans="1:101" ht="12.75">
      <c r="A148" s="2">
        <v>0.18</v>
      </c>
      <c r="B148" s="160">
        <v>1.58</v>
      </c>
      <c r="C148" s="161">
        <v>1.18</v>
      </c>
      <c r="D148" s="161">
        <v>1</v>
      </c>
      <c r="E148" s="162">
        <v>0.86</v>
      </c>
      <c r="F148" s="161">
        <v>0.77</v>
      </c>
      <c r="G148" s="161">
        <v>0.7</v>
      </c>
      <c r="H148" s="161">
        <v>0.64</v>
      </c>
      <c r="I148" s="161">
        <v>0.59</v>
      </c>
      <c r="J148" s="162">
        <v>0.55</v>
      </c>
      <c r="K148" s="161">
        <f t="shared" si="18"/>
        <v>0.52</v>
      </c>
      <c r="L148" s="161">
        <f t="shared" si="2"/>
        <v>0.5</v>
      </c>
      <c r="M148" s="161">
        <f t="shared" si="2"/>
        <v>0.48</v>
      </c>
      <c r="N148" s="161">
        <f t="shared" si="2"/>
        <v>0.45999999999999996</v>
      </c>
      <c r="O148" s="162">
        <v>0.44</v>
      </c>
      <c r="P148" s="161">
        <f t="shared" si="27"/>
        <v>0.42</v>
      </c>
      <c r="Q148" s="161">
        <f t="shared" si="27"/>
        <v>0.39999999999999997</v>
      </c>
      <c r="R148" s="161">
        <f t="shared" si="27"/>
        <v>0.38</v>
      </c>
      <c r="S148" s="161">
        <f t="shared" si="27"/>
        <v>0.36</v>
      </c>
      <c r="T148" s="162">
        <v>0.35</v>
      </c>
      <c r="U148" s="161">
        <v>0.33</v>
      </c>
      <c r="V148" s="161">
        <v>0.32</v>
      </c>
      <c r="W148" s="161">
        <v>0.31</v>
      </c>
      <c r="X148" s="161">
        <v>0.3</v>
      </c>
      <c r="Y148" s="162">
        <f>Y147-0.01</f>
        <v>0.29</v>
      </c>
      <c r="Z148" s="161">
        <f t="shared" si="19"/>
        <v>0.29</v>
      </c>
      <c r="AA148" s="161">
        <f t="shared" si="19"/>
        <v>0.28</v>
      </c>
      <c r="AB148" s="161">
        <f t="shared" si="19"/>
        <v>0.27</v>
      </c>
      <c r="AC148" s="161">
        <f t="shared" si="3"/>
        <v>0.26</v>
      </c>
      <c r="AD148" s="162">
        <f t="shared" si="3"/>
        <v>0.25</v>
      </c>
      <c r="AE148" s="161">
        <v>0.24</v>
      </c>
      <c r="AF148" s="161">
        <f t="shared" si="3"/>
        <v>0.24</v>
      </c>
      <c r="AG148" s="161">
        <v>0.23</v>
      </c>
      <c r="AH148" s="161">
        <f t="shared" si="4"/>
        <v>0.23</v>
      </c>
      <c r="AI148" s="162">
        <v>0.22</v>
      </c>
      <c r="AJ148" s="161">
        <f t="shared" si="5"/>
        <v>0.22</v>
      </c>
      <c r="AK148" s="161">
        <v>0.21</v>
      </c>
      <c r="AL148" s="161">
        <f t="shared" si="6"/>
        <v>0.21</v>
      </c>
      <c r="AM148" s="161">
        <v>0.2</v>
      </c>
      <c r="AN148" s="162">
        <f t="shared" si="7"/>
        <v>0.2</v>
      </c>
      <c r="AO148" s="161">
        <v>0.19</v>
      </c>
      <c r="AP148" s="161">
        <f t="shared" si="8"/>
        <v>0.19</v>
      </c>
      <c r="AQ148" s="161">
        <f t="shared" si="9"/>
        <v>0.19</v>
      </c>
      <c r="AR148" s="161">
        <v>0.18</v>
      </c>
      <c r="AS148" s="162">
        <f t="shared" si="9"/>
        <v>0.18</v>
      </c>
      <c r="AT148" s="161">
        <f t="shared" si="9"/>
        <v>0.18</v>
      </c>
      <c r="AU148" s="161">
        <f t="shared" si="9"/>
        <v>0.17</v>
      </c>
      <c r="AV148" s="161">
        <f t="shared" si="9"/>
        <v>0.17</v>
      </c>
      <c r="AW148" s="161">
        <f t="shared" si="10"/>
        <v>0.17</v>
      </c>
      <c r="AX148" s="162">
        <f t="shared" si="10"/>
        <v>0.16</v>
      </c>
      <c r="AY148" s="161">
        <f t="shared" si="10"/>
        <v>0.16</v>
      </c>
      <c r="AZ148" s="161">
        <f t="shared" si="10"/>
        <v>0.16</v>
      </c>
      <c r="BA148" s="161">
        <v>0.15</v>
      </c>
      <c r="BB148" s="161">
        <f t="shared" si="11"/>
        <v>0.15</v>
      </c>
      <c r="BC148" s="162">
        <f t="shared" si="11"/>
        <v>0.15</v>
      </c>
      <c r="BD148" s="161">
        <f t="shared" si="11"/>
        <v>0.15</v>
      </c>
      <c r="BE148" s="161">
        <f t="shared" si="11"/>
        <v>0.15</v>
      </c>
      <c r="BF148" s="161">
        <f t="shared" si="11"/>
        <v>0.15</v>
      </c>
      <c r="BG148" s="161">
        <f>BG147</f>
        <v>0.15</v>
      </c>
      <c r="BH148" s="162">
        <f aca="true" t="shared" si="44" ref="BH148:BH156">BH147</f>
        <v>0.14</v>
      </c>
      <c r="BI148" s="161">
        <f t="shared" si="40"/>
        <v>0.14</v>
      </c>
      <c r="BJ148" s="161">
        <f t="shared" si="35"/>
        <v>0.14</v>
      </c>
      <c r="BK148" s="161">
        <f t="shared" si="28"/>
        <v>0.14</v>
      </c>
      <c r="BL148" s="161">
        <f>BL147</f>
        <v>0.14</v>
      </c>
      <c r="BM148" s="162">
        <v>0.13</v>
      </c>
      <c r="BN148" s="161">
        <f t="shared" si="41"/>
        <v>0.13</v>
      </c>
      <c r="BO148" s="161">
        <f t="shared" si="36"/>
        <v>0.13</v>
      </c>
      <c r="BP148" s="161">
        <f t="shared" si="29"/>
        <v>0.13</v>
      </c>
      <c r="BQ148" s="161">
        <f>BQ147</f>
        <v>0.13</v>
      </c>
      <c r="BR148" s="162">
        <v>0.12</v>
      </c>
      <c r="BS148" s="161">
        <f t="shared" si="42"/>
        <v>0.12</v>
      </c>
      <c r="BT148" s="161">
        <f t="shared" si="13"/>
        <v>0.12</v>
      </c>
      <c r="BU148" s="161">
        <f t="shared" si="13"/>
        <v>0.12</v>
      </c>
      <c r="BV148" s="161">
        <f t="shared" si="13"/>
        <v>0.12</v>
      </c>
      <c r="BW148" s="162">
        <f t="shared" si="13"/>
        <v>0.12</v>
      </c>
      <c r="BX148" s="161">
        <f t="shared" si="23"/>
        <v>0.12</v>
      </c>
      <c r="BY148" s="161">
        <f>BY147</f>
        <v>0.12</v>
      </c>
      <c r="BZ148" s="161">
        <f>BZ147</f>
        <v>0.12</v>
      </c>
      <c r="CA148" s="161">
        <v>0.11</v>
      </c>
      <c r="CB148" s="162">
        <f aca="true" t="shared" si="45" ref="CB148:CB156">CB147</f>
        <v>0.11</v>
      </c>
      <c r="CC148" s="161">
        <f t="shared" si="43"/>
        <v>0.11</v>
      </c>
      <c r="CD148" s="161">
        <f t="shared" si="38"/>
        <v>0.11</v>
      </c>
      <c r="CE148" s="161">
        <f t="shared" si="30"/>
        <v>0.11</v>
      </c>
      <c r="CF148" s="161">
        <f>CF147</f>
        <v>0.11</v>
      </c>
      <c r="CG148" s="162">
        <f>CG147</f>
        <v>0.11</v>
      </c>
      <c r="CH148" s="161">
        <f aca="true" t="shared" si="46" ref="CH148:CH157">CH147</f>
        <v>0.1</v>
      </c>
      <c r="CI148" s="161">
        <f t="shared" si="39"/>
        <v>0.1</v>
      </c>
      <c r="CJ148" s="161">
        <f t="shared" si="31"/>
        <v>0.1</v>
      </c>
      <c r="CK148" s="161">
        <f t="shared" si="26"/>
        <v>0.1</v>
      </c>
      <c r="CL148" s="162">
        <f t="shared" si="26"/>
        <v>0.1</v>
      </c>
      <c r="CM148" s="161">
        <f t="shared" si="26"/>
        <v>0.1</v>
      </c>
      <c r="CN148" s="161">
        <f t="shared" si="26"/>
        <v>0.1</v>
      </c>
      <c r="CO148" s="161">
        <f t="shared" si="15"/>
        <v>0.09</v>
      </c>
      <c r="CP148" s="161">
        <f t="shared" si="15"/>
        <v>0.09</v>
      </c>
      <c r="CQ148" s="162">
        <f t="shared" si="16"/>
        <v>0.09</v>
      </c>
      <c r="CR148" s="161">
        <f t="shared" si="16"/>
        <v>0.09</v>
      </c>
      <c r="CS148" s="161">
        <f t="shared" si="17"/>
        <v>0.09</v>
      </c>
      <c r="CT148" s="161">
        <f t="shared" si="17"/>
        <v>0.09</v>
      </c>
      <c r="CU148" s="161">
        <f t="shared" si="17"/>
        <v>0.09</v>
      </c>
      <c r="CV148" s="161">
        <f t="shared" si="17"/>
        <v>0.09</v>
      </c>
      <c r="CW148" s="163">
        <f t="shared" si="17"/>
        <v>0.09</v>
      </c>
    </row>
    <row r="149" spans="1:101" ht="13.5" thickBot="1">
      <c r="A149" s="2">
        <v>0.19</v>
      </c>
      <c r="B149" s="164">
        <v>1.58</v>
      </c>
      <c r="C149" s="165">
        <v>1.17</v>
      </c>
      <c r="D149" s="165">
        <v>0.99</v>
      </c>
      <c r="E149" s="166">
        <v>0.85</v>
      </c>
      <c r="F149" s="165">
        <v>0.76</v>
      </c>
      <c r="G149" s="165">
        <v>0.69</v>
      </c>
      <c r="H149" s="165">
        <v>0.64</v>
      </c>
      <c r="I149" s="165">
        <v>0.59</v>
      </c>
      <c r="J149" s="166">
        <v>0.55</v>
      </c>
      <c r="K149" s="167">
        <v>0.52</v>
      </c>
      <c r="L149" s="165">
        <v>0.5</v>
      </c>
      <c r="M149" s="165">
        <v>0.48</v>
      </c>
      <c r="N149" s="165">
        <v>0.46</v>
      </c>
      <c r="O149" s="166">
        <v>0.44</v>
      </c>
      <c r="P149" s="167">
        <v>0.42</v>
      </c>
      <c r="Q149" s="165">
        <v>0.4</v>
      </c>
      <c r="R149" s="165">
        <v>0.38</v>
      </c>
      <c r="S149" s="165">
        <v>0.36</v>
      </c>
      <c r="T149" s="166">
        <f>T148-0.01</f>
        <v>0.33999999999999997</v>
      </c>
      <c r="U149" s="165">
        <f>U148-0.01</f>
        <v>0.32</v>
      </c>
      <c r="V149" s="165">
        <f>V148-0.01</f>
        <v>0.31</v>
      </c>
      <c r="W149" s="165">
        <v>0.31</v>
      </c>
      <c r="X149" s="165">
        <v>0.3</v>
      </c>
      <c r="Y149" s="166">
        <v>0.29</v>
      </c>
      <c r="Z149" s="167">
        <v>0.28</v>
      </c>
      <c r="AA149" s="165">
        <v>0.27</v>
      </c>
      <c r="AB149" s="165">
        <f t="shared" si="19"/>
        <v>0.27</v>
      </c>
      <c r="AC149" s="165">
        <f t="shared" si="3"/>
        <v>0.26</v>
      </c>
      <c r="AD149" s="166">
        <f t="shared" si="3"/>
        <v>0.25</v>
      </c>
      <c r="AE149" s="165">
        <f t="shared" si="3"/>
        <v>0.24</v>
      </c>
      <c r="AF149" s="165">
        <f t="shared" si="3"/>
        <v>0.24</v>
      </c>
      <c r="AG149" s="165">
        <f t="shared" si="4"/>
        <v>0.23</v>
      </c>
      <c r="AH149" s="165">
        <f t="shared" si="4"/>
        <v>0.23</v>
      </c>
      <c r="AI149" s="166">
        <f t="shared" si="5"/>
        <v>0.22</v>
      </c>
      <c r="AJ149" s="165">
        <f t="shared" si="5"/>
        <v>0.22</v>
      </c>
      <c r="AK149" s="165">
        <f t="shared" si="6"/>
        <v>0.21</v>
      </c>
      <c r="AL149" s="165">
        <f t="shared" si="6"/>
        <v>0.21</v>
      </c>
      <c r="AM149" s="165">
        <f t="shared" si="7"/>
        <v>0.2</v>
      </c>
      <c r="AN149" s="166">
        <f t="shared" si="7"/>
        <v>0.2</v>
      </c>
      <c r="AO149" s="165">
        <f t="shared" si="8"/>
        <v>0.19</v>
      </c>
      <c r="AP149" s="165">
        <f t="shared" si="8"/>
        <v>0.19</v>
      </c>
      <c r="AQ149" s="165">
        <v>0.18</v>
      </c>
      <c r="AR149" s="165">
        <f t="shared" si="9"/>
        <v>0.18</v>
      </c>
      <c r="AS149" s="166">
        <f t="shared" si="9"/>
        <v>0.18</v>
      </c>
      <c r="AT149" s="165">
        <v>0.17</v>
      </c>
      <c r="AU149" s="165">
        <f t="shared" si="9"/>
        <v>0.17</v>
      </c>
      <c r="AV149" s="165">
        <f t="shared" si="9"/>
        <v>0.17</v>
      </c>
      <c r="AW149" s="165">
        <v>0.16</v>
      </c>
      <c r="AX149" s="166">
        <f t="shared" si="10"/>
        <v>0.16</v>
      </c>
      <c r="AY149" s="165">
        <f t="shared" si="10"/>
        <v>0.16</v>
      </c>
      <c r="AZ149" s="165">
        <v>0.15</v>
      </c>
      <c r="BA149" s="165">
        <f t="shared" si="10"/>
        <v>0.15</v>
      </c>
      <c r="BB149" s="165">
        <f t="shared" si="11"/>
        <v>0.15</v>
      </c>
      <c r="BC149" s="166">
        <f t="shared" si="11"/>
        <v>0.15</v>
      </c>
      <c r="BD149" s="165">
        <f t="shared" si="11"/>
        <v>0.15</v>
      </c>
      <c r="BE149" s="165">
        <f t="shared" si="11"/>
        <v>0.15</v>
      </c>
      <c r="BF149" s="165">
        <f t="shared" si="11"/>
        <v>0.15</v>
      </c>
      <c r="BG149" s="165">
        <v>0.14</v>
      </c>
      <c r="BH149" s="166">
        <f t="shared" si="44"/>
        <v>0.14</v>
      </c>
      <c r="BI149" s="165">
        <f t="shared" si="40"/>
        <v>0.14</v>
      </c>
      <c r="BJ149" s="165">
        <f t="shared" si="35"/>
        <v>0.14</v>
      </c>
      <c r="BK149" s="165">
        <f t="shared" si="28"/>
        <v>0.14</v>
      </c>
      <c r="BL149" s="165">
        <f>BL148</f>
        <v>0.14</v>
      </c>
      <c r="BM149" s="166">
        <f>BM148</f>
        <v>0.13</v>
      </c>
      <c r="BN149" s="165">
        <f t="shared" si="41"/>
        <v>0.13</v>
      </c>
      <c r="BO149" s="165">
        <f t="shared" si="36"/>
        <v>0.13</v>
      </c>
      <c r="BP149" s="165">
        <f t="shared" si="29"/>
        <v>0.13</v>
      </c>
      <c r="BQ149" s="165">
        <f>BQ148</f>
        <v>0.13</v>
      </c>
      <c r="BR149" s="166">
        <f aca="true" t="shared" si="47" ref="BR149:BR157">BR148</f>
        <v>0.12</v>
      </c>
      <c r="BS149" s="165">
        <f t="shared" si="42"/>
        <v>0.12</v>
      </c>
      <c r="BT149" s="165">
        <f t="shared" si="13"/>
        <v>0.12</v>
      </c>
      <c r="BU149" s="165">
        <f t="shared" si="13"/>
        <v>0.12</v>
      </c>
      <c r="BV149" s="165">
        <f t="shared" si="13"/>
        <v>0.12</v>
      </c>
      <c r="BW149" s="166">
        <f t="shared" si="13"/>
        <v>0.12</v>
      </c>
      <c r="BX149" s="165">
        <f t="shared" si="23"/>
        <v>0.12</v>
      </c>
      <c r="BY149" s="165">
        <f>BY148</f>
        <v>0.12</v>
      </c>
      <c r="BZ149" s="165">
        <v>0.11</v>
      </c>
      <c r="CA149" s="165">
        <f aca="true" t="shared" si="48" ref="CA149:CA157">CA148</f>
        <v>0.11</v>
      </c>
      <c r="CB149" s="166">
        <f t="shared" si="45"/>
        <v>0.11</v>
      </c>
      <c r="CC149" s="165">
        <f t="shared" si="43"/>
        <v>0.11</v>
      </c>
      <c r="CD149" s="165">
        <f t="shared" si="38"/>
        <v>0.11</v>
      </c>
      <c r="CE149" s="165">
        <f t="shared" si="30"/>
        <v>0.11</v>
      </c>
      <c r="CF149" s="165">
        <f>CF148</f>
        <v>0.11</v>
      </c>
      <c r="CG149" s="166">
        <v>0.1</v>
      </c>
      <c r="CH149" s="165">
        <f t="shared" si="46"/>
        <v>0.1</v>
      </c>
      <c r="CI149" s="165">
        <f t="shared" si="39"/>
        <v>0.1</v>
      </c>
      <c r="CJ149" s="165">
        <f t="shared" si="31"/>
        <v>0.1</v>
      </c>
      <c r="CK149" s="165">
        <f aca="true" t="shared" si="49" ref="CK149:CM150">CK148</f>
        <v>0.1</v>
      </c>
      <c r="CL149" s="166">
        <f t="shared" si="49"/>
        <v>0.1</v>
      </c>
      <c r="CM149" s="165">
        <f t="shared" si="49"/>
        <v>0.1</v>
      </c>
      <c r="CN149" s="165">
        <v>0.09</v>
      </c>
      <c r="CO149" s="165">
        <f t="shared" si="15"/>
        <v>0.09</v>
      </c>
      <c r="CP149" s="165">
        <f t="shared" si="15"/>
        <v>0.09</v>
      </c>
      <c r="CQ149" s="166">
        <f t="shared" si="16"/>
        <v>0.09</v>
      </c>
      <c r="CR149" s="165">
        <f t="shared" si="16"/>
        <v>0.09</v>
      </c>
      <c r="CS149" s="165">
        <f t="shared" si="17"/>
        <v>0.09</v>
      </c>
      <c r="CT149" s="165">
        <f t="shared" si="17"/>
        <v>0.09</v>
      </c>
      <c r="CU149" s="165">
        <f t="shared" si="17"/>
        <v>0.09</v>
      </c>
      <c r="CV149" s="165">
        <f t="shared" si="17"/>
        <v>0.09</v>
      </c>
      <c r="CW149" s="168">
        <f t="shared" si="17"/>
        <v>0.09</v>
      </c>
    </row>
    <row r="150" spans="1:101" ht="12.75">
      <c r="A150" s="2">
        <v>0.2</v>
      </c>
      <c r="B150" s="160">
        <v>1.58</v>
      </c>
      <c r="C150" s="161">
        <v>1.17</v>
      </c>
      <c r="D150" s="161">
        <v>0.98</v>
      </c>
      <c r="E150" s="162">
        <v>0.85</v>
      </c>
      <c r="F150" s="161">
        <v>0.76</v>
      </c>
      <c r="G150" s="161">
        <v>0.68</v>
      </c>
      <c r="H150" s="161">
        <v>0.63</v>
      </c>
      <c r="I150" s="161">
        <v>0.58</v>
      </c>
      <c r="J150" s="162">
        <v>0.54</v>
      </c>
      <c r="K150" s="161">
        <f t="shared" si="18"/>
        <v>0.51</v>
      </c>
      <c r="L150" s="161">
        <f t="shared" si="2"/>
        <v>0.49</v>
      </c>
      <c r="M150" s="161">
        <f t="shared" si="2"/>
        <v>0.47</v>
      </c>
      <c r="N150" s="161">
        <f t="shared" si="2"/>
        <v>0.45</v>
      </c>
      <c r="O150" s="162">
        <v>0.43</v>
      </c>
      <c r="P150" s="161">
        <v>0.42</v>
      </c>
      <c r="Q150" s="161">
        <v>0.4</v>
      </c>
      <c r="R150" s="161">
        <v>0.38</v>
      </c>
      <c r="S150" s="161">
        <v>0.36</v>
      </c>
      <c r="T150" s="162">
        <v>0.34</v>
      </c>
      <c r="U150" s="161">
        <v>0.32</v>
      </c>
      <c r="V150" s="161">
        <v>0.31</v>
      </c>
      <c r="W150" s="161">
        <f>W149-0.01</f>
        <v>0.3</v>
      </c>
      <c r="X150" s="161">
        <v>0.3</v>
      </c>
      <c r="Y150" s="162">
        <v>0.29</v>
      </c>
      <c r="Z150" s="161">
        <f t="shared" si="19"/>
        <v>0.28</v>
      </c>
      <c r="AA150" s="161">
        <f t="shared" si="19"/>
        <v>0.27</v>
      </c>
      <c r="AB150" s="161">
        <v>0.26</v>
      </c>
      <c r="AC150" s="161">
        <f t="shared" si="3"/>
        <v>0.26</v>
      </c>
      <c r="AD150" s="162">
        <f t="shared" si="3"/>
        <v>0.25</v>
      </c>
      <c r="AE150" s="161">
        <f t="shared" si="3"/>
        <v>0.24</v>
      </c>
      <c r="AF150" s="161">
        <f t="shared" si="3"/>
        <v>0.24</v>
      </c>
      <c r="AG150" s="161">
        <f t="shared" si="4"/>
        <v>0.23</v>
      </c>
      <c r="AH150" s="161">
        <f t="shared" si="4"/>
        <v>0.23</v>
      </c>
      <c r="AI150" s="162">
        <f t="shared" si="5"/>
        <v>0.22</v>
      </c>
      <c r="AJ150" s="161">
        <f t="shared" si="5"/>
        <v>0.22</v>
      </c>
      <c r="AK150" s="161">
        <f t="shared" si="6"/>
        <v>0.21</v>
      </c>
      <c r="AL150" s="161">
        <f t="shared" si="6"/>
        <v>0.21</v>
      </c>
      <c r="AM150" s="161">
        <f t="shared" si="7"/>
        <v>0.2</v>
      </c>
      <c r="AN150" s="162">
        <f t="shared" si="7"/>
        <v>0.2</v>
      </c>
      <c r="AO150" s="161">
        <f t="shared" si="8"/>
        <v>0.19</v>
      </c>
      <c r="AP150" s="161">
        <f t="shared" si="8"/>
        <v>0.19</v>
      </c>
      <c r="AQ150" s="161">
        <f t="shared" si="9"/>
        <v>0.18</v>
      </c>
      <c r="AR150" s="161">
        <f t="shared" si="9"/>
        <v>0.18</v>
      </c>
      <c r="AS150" s="162">
        <f t="shared" si="9"/>
        <v>0.18</v>
      </c>
      <c r="AT150" s="161">
        <f t="shared" si="9"/>
        <v>0.17</v>
      </c>
      <c r="AU150" s="161">
        <f t="shared" si="9"/>
        <v>0.17</v>
      </c>
      <c r="AV150" s="161">
        <f t="shared" si="9"/>
        <v>0.17</v>
      </c>
      <c r="AW150" s="161">
        <f t="shared" si="10"/>
        <v>0.16</v>
      </c>
      <c r="AX150" s="162">
        <f t="shared" si="10"/>
        <v>0.16</v>
      </c>
      <c r="AY150" s="161">
        <v>0.15</v>
      </c>
      <c r="AZ150" s="161">
        <f t="shared" si="10"/>
        <v>0.15</v>
      </c>
      <c r="BA150" s="161">
        <f t="shared" si="10"/>
        <v>0.15</v>
      </c>
      <c r="BB150" s="161">
        <f t="shared" si="11"/>
        <v>0.15</v>
      </c>
      <c r="BC150" s="162">
        <f t="shared" si="11"/>
        <v>0.15</v>
      </c>
      <c r="BD150" s="161">
        <f t="shared" si="11"/>
        <v>0.15</v>
      </c>
      <c r="BE150" s="161">
        <f t="shared" si="11"/>
        <v>0.15</v>
      </c>
      <c r="BF150" s="161">
        <v>0.14</v>
      </c>
      <c r="BG150" s="161">
        <f aca="true" t="shared" si="50" ref="BG150:BG157">BG149</f>
        <v>0.14</v>
      </c>
      <c r="BH150" s="162">
        <f t="shared" si="44"/>
        <v>0.14</v>
      </c>
      <c r="BI150" s="161">
        <f t="shared" si="40"/>
        <v>0.14</v>
      </c>
      <c r="BJ150" s="161">
        <f t="shared" si="35"/>
        <v>0.14</v>
      </c>
      <c r="BK150" s="161">
        <f t="shared" si="28"/>
        <v>0.14</v>
      </c>
      <c r="BL150" s="161">
        <v>0.13</v>
      </c>
      <c r="BM150" s="162">
        <f>BM149</f>
        <v>0.13</v>
      </c>
      <c r="BN150" s="161">
        <f t="shared" si="41"/>
        <v>0.13</v>
      </c>
      <c r="BO150" s="161">
        <f t="shared" si="36"/>
        <v>0.13</v>
      </c>
      <c r="BP150" s="161">
        <f t="shared" si="29"/>
        <v>0.13</v>
      </c>
      <c r="BQ150" s="161">
        <v>0.12</v>
      </c>
      <c r="BR150" s="162">
        <f t="shared" si="47"/>
        <v>0.12</v>
      </c>
      <c r="BS150" s="161">
        <f t="shared" si="42"/>
        <v>0.12</v>
      </c>
      <c r="BT150" s="161">
        <f t="shared" si="13"/>
        <v>0.12</v>
      </c>
      <c r="BU150" s="161">
        <f t="shared" si="13"/>
        <v>0.12</v>
      </c>
      <c r="BV150" s="161">
        <f t="shared" si="13"/>
        <v>0.12</v>
      </c>
      <c r="BW150" s="162">
        <f t="shared" si="13"/>
        <v>0.12</v>
      </c>
      <c r="BX150" s="161">
        <f t="shared" si="23"/>
        <v>0.12</v>
      </c>
      <c r="BY150" s="161">
        <v>0.11</v>
      </c>
      <c r="BZ150" s="161">
        <f aca="true" t="shared" si="51" ref="BZ150:BZ158">BZ149</f>
        <v>0.11</v>
      </c>
      <c r="CA150" s="161">
        <f t="shared" si="48"/>
        <v>0.11</v>
      </c>
      <c r="CB150" s="162">
        <f t="shared" si="45"/>
        <v>0.11</v>
      </c>
      <c r="CC150" s="161">
        <f t="shared" si="43"/>
        <v>0.11</v>
      </c>
      <c r="CD150" s="161">
        <f t="shared" si="38"/>
        <v>0.11</v>
      </c>
      <c r="CE150" s="161">
        <f t="shared" si="30"/>
        <v>0.11</v>
      </c>
      <c r="CF150" s="161">
        <f>CF149</f>
        <v>0.11</v>
      </c>
      <c r="CG150" s="162">
        <f aca="true" t="shared" si="52" ref="CG150:CG157">CG149</f>
        <v>0.1</v>
      </c>
      <c r="CH150" s="161">
        <f t="shared" si="46"/>
        <v>0.1</v>
      </c>
      <c r="CI150" s="161">
        <f t="shared" si="39"/>
        <v>0.1</v>
      </c>
      <c r="CJ150" s="161">
        <f t="shared" si="31"/>
        <v>0.1</v>
      </c>
      <c r="CK150" s="161">
        <f t="shared" si="49"/>
        <v>0.1</v>
      </c>
      <c r="CL150" s="162">
        <f t="shared" si="49"/>
        <v>0.1</v>
      </c>
      <c r="CM150" s="161">
        <f t="shared" si="49"/>
        <v>0.1</v>
      </c>
      <c r="CN150" s="161">
        <f aca="true" t="shared" si="53" ref="CN150:CN157">CN149</f>
        <v>0.09</v>
      </c>
      <c r="CO150" s="161">
        <f t="shared" si="15"/>
        <v>0.09</v>
      </c>
      <c r="CP150" s="161">
        <f t="shared" si="15"/>
        <v>0.09</v>
      </c>
      <c r="CQ150" s="162">
        <f t="shared" si="16"/>
        <v>0.09</v>
      </c>
      <c r="CR150" s="161">
        <f t="shared" si="16"/>
        <v>0.09</v>
      </c>
      <c r="CS150" s="161">
        <f t="shared" si="17"/>
        <v>0.09</v>
      </c>
      <c r="CT150" s="161">
        <f t="shared" si="17"/>
        <v>0.09</v>
      </c>
      <c r="CU150" s="161">
        <f t="shared" si="17"/>
        <v>0.09</v>
      </c>
      <c r="CV150" s="161">
        <f t="shared" si="17"/>
        <v>0.09</v>
      </c>
      <c r="CW150" s="163">
        <f t="shared" si="17"/>
        <v>0.09</v>
      </c>
    </row>
    <row r="151" spans="1:101" ht="12.75">
      <c r="A151" s="2">
        <v>0.21</v>
      </c>
      <c r="B151" s="160">
        <v>1.58</v>
      </c>
      <c r="C151" s="161">
        <v>1.16</v>
      </c>
      <c r="D151" s="161">
        <v>0.97</v>
      </c>
      <c r="E151" s="162">
        <v>0.84</v>
      </c>
      <c r="F151" s="161">
        <v>0.75</v>
      </c>
      <c r="G151" s="161">
        <v>0.68</v>
      </c>
      <c r="H151" s="161">
        <v>0.62</v>
      </c>
      <c r="I151" s="161">
        <v>0.57</v>
      </c>
      <c r="J151" s="162">
        <v>0.54</v>
      </c>
      <c r="K151" s="161">
        <v>0.51</v>
      </c>
      <c r="L151" s="161">
        <v>0.49</v>
      </c>
      <c r="M151" s="161">
        <v>0.47</v>
      </c>
      <c r="N151" s="161">
        <v>0.45</v>
      </c>
      <c r="O151" s="162">
        <v>0.43</v>
      </c>
      <c r="P151" s="161">
        <f t="shared" si="27"/>
        <v>0.41</v>
      </c>
      <c r="Q151" s="161">
        <f t="shared" si="27"/>
        <v>0.39</v>
      </c>
      <c r="R151" s="161">
        <f t="shared" si="27"/>
        <v>0.37</v>
      </c>
      <c r="S151" s="161">
        <f t="shared" si="27"/>
        <v>0.35</v>
      </c>
      <c r="T151" s="162">
        <v>0.34</v>
      </c>
      <c r="U151" s="161">
        <v>0.32</v>
      </c>
      <c r="V151" s="161">
        <v>0.31</v>
      </c>
      <c r="W151" s="161">
        <v>0.3</v>
      </c>
      <c r="X151" s="161">
        <f>X150-0.01</f>
        <v>0.29</v>
      </c>
      <c r="Y151" s="162">
        <v>0.29</v>
      </c>
      <c r="Z151" s="161">
        <f t="shared" si="19"/>
        <v>0.28</v>
      </c>
      <c r="AA151" s="161">
        <f t="shared" si="19"/>
        <v>0.27</v>
      </c>
      <c r="AB151" s="161">
        <f t="shared" si="19"/>
        <v>0.26</v>
      </c>
      <c r="AC151" s="161">
        <v>0.25</v>
      </c>
      <c r="AD151" s="162">
        <f t="shared" si="3"/>
        <v>0.25</v>
      </c>
      <c r="AE151" s="161">
        <f t="shared" si="3"/>
        <v>0.24</v>
      </c>
      <c r="AF151" s="161">
        <v>0.23</v>
      </c>
      <c r="AG151" s="161">
        <f t="shared" si="4"/>
        <v>0.23</v>
      </c>
      <c r="AH151" s="161">
        <v>0.22</v>
      </c>
      <c r="AI151" s="162">
        <f t="shared" si="5"/>
        <v>0.22</v>
      </c>
      <c r="AJ151" s="161">
        <v>0.21</v>
      </c>
      <c r="AK151" s="161">
        <f t="shared" si="6"/>
        <v>0.21</v>
      </c>
      <c r="AL151" s="161">
        <v>0.2</v>
      </c>
      <c r="AM151" s="161">
        <f t="shared" si="7"/>
        <v>0.2</v>
      </c>
      <c r="AN151" s="162">
        <v>0.19</v>
      </c>
      <c r="AO151" s="161">
        <f t="shared" si="8"/>
        <v>0.19</v>
      </c>
      <c r="AP151" s="161">
        <v>0.18</v>
      </c>
      <c r="AQ151" s="161">
        <f t="shared" si="9"/>
        <v>0.18</v>
      </c>
      <c r="AR151" s="161">
        <f t="shared" si="9"/>
        <v>0.18</v>
      </c>
      <c r="AS151" s="162">
        <v>0.17</v>
      </c>
      <c r="AT151" s="161">
        <f t="shared" si="9"/>
        <v>0.17</v>
      </c>
      <c r="AU151" s="161">
        <f t="shared" si="9"/>
        <v>0.17</v>
      </c>
      <c r="AV151" s="161">
        <v>0.16</v>
      </c>
      <c r="AW151" s="161">
        <f t="shared" si="10"/>
        <v>0.16</v>
      </c>
      <c r="AX151" s="162">
        <f t="shared" si="10"/>
        <v>0.16</v>
      </c>
      <c r="AY151" s="161">
        <f t="shared" si="10"/>
        <v>0.15</v>
      </c>
      <c r="AZ151" s="161">
        <f t="shared" si="10"/>
        <v>0.15</v>
      </c>
      <c r="BA151" s="161">
        <f t="shared" si="10"/>
        <v>0.15</v>
      </c>
      <c r="BB151" s="161">
        <f t="shared" si="11"/>
        <v>0.15</v>
      </c>
      <c r="BC151" s="162">
        <f t="shared" si="11"/>
        <v>0.15</v>
      </c>
      <c r="BD151" s="161">
        <f t="shared" si="11"/>
        <v>0.15</v>
      </c>
      <c r="BE151" s="161">
        <v>0.14</v>
      </c>
      <c r="BF151" s="161">
        <f t="shared" si="11"/>
        <v>0.14</v>
      </c>
      <c r="BG151" s="161">
        <f t="shared" si="50"/>
        <v>0.14</v>
      </c>
      <c r="BH151" s="162">
        <f t="shared" si="44"/>
        <v>0.14</v>
      </c>
      <c r="BI151" s="161">
        <f t="shared" si="40"/>
        <v>0.14</v>
      </c>
      <c r="BJ151" s="161">
        <f t="shared" si="35"/>
        <v>0.14</v>
      </c>
      <c r="BK151" s="161">
        <f t="shared" si="28"/>
        <v>0.14</v>
      </c>
      <c r="BL151" s="161">
        <f>BL150</f>
        <v>0.13</v>
      </c>
      <c r="BM151" s="162">
        <f>BM150</f>
        <v>0.13</v>
      </c>
      <c r="BN151" s="161">
        <f t="shared" si="41"/>
        <v>0.13</v>
      </c>
      <c r="BO151" s="161">
        <f t="shared" si="36"/>
        <v>0.13</v>
      </c>
      <c r="BP151" s="161">
        <f t="shared" si="29"/>
        <v>0.13</v>
      </c>
      <c r="BQ151" s="161">
        <f aca="true" t="shared" si="54" ref="BQ151:BQ159">BQ150</f>
        <v>0.12</v>
      </c>
      <c r="BR151" s="162">
        <f t="shared" si="47"/>
        <v>0.12</v>
      </c>
      <c r="BS151" s="161">
        <f t="shared" si="42"/>
        <v>0.12</v>
      </c>
      <c r="BT151" s="161">
        <f t="shared" si="13"/>
        <v>0.12</v>
      </c>
      <c r="BU151" s="161">
        <f t="shared" si="13"/>
        <v>0.12</v>
      </c>
      <c r="BV151" s="161">
        <f t="shared" si="13"/>
        <v>0.12</v>
      </c>
      <c r="BW151" s="162">
        <f t="shared" si="13"/>
        <v>0.12</v>
      </c>
      <c r="BX151" s="161">
        <v>0.11</v>
      </c>
      <c r="BY151" s="161">
        <f aca="true" t="shared" si="55" ref="BY151:BY158">BY150</f>
        <v>0.11</v>
      </c>
      <c r="BZ151" s="161">
        <f t="shared" si="51"/>
        <v>0.11</v>
      </c>
      <c r="CA151" s="161">
        <f t="shared" si="48"/>
        <v>0.11</v>
      </c>
      <c r="CB151" s="162">
        <f t="shared" si="45"/>
        <v>0.11</v>
      </c>
      <c r="CC151" s="161">
        <f t="shared" si="43"/>
        <v>0.11</v>
      </c>
      <c r="CD151" s="161">
        <f t="shared" si="38"/>
        <v>0.11</v>
      </c>
      <c r="CE151" s="161">
        <f t="shared" si="30"/>
        <v>0.11</v>
      </c>
      <c r="CF151" s="161">
        <v>0.1</v>
      </c>
      <c r="CG151" s="162">
        <f t="shared" si="52"/>
        <v>0.1</v>
      </c>
      <c r="CH151" s="161">
        <f t="shared" si="46"/>
        <v>0.1</v>
      </c>
      <c r="CI151" s="161">
        <f t="shared" si="39"/>
        <v>0.1</v>
      </c>
      <c r="CJ151" s="161">
        <f t="shared" si="31"/>
        <v>0.1</v>
      </c>
      <c r="CK151" s="161">
        <f>CK150</f>
        <v>0.1</v>
      </c>
      <c r="CL151" s="162">
        <f>CL150</f>
        <v>0.1</v>
      </c>
      <c r="CM151" s="161">
        <v>0.09</v>
      </c>
      <c r="CN151" s="161">
        <f t="shared" si="53"/>
        <v>0.09</v>
      </c>
      <c r="CO151" s="161">
        <f t="shared" si="15"/>
        <v>0.09</v>
      </c>
      <c r="CP151" s="161">
        <f t="shared" si="15"/>
        <v>0.09</v>
      </c>
      <c r="CQ151" s="162">
        <f t="shared" si="16"/>
        <v>0.09</v>
      </c>
      <c r="CR151" s="161">
        <f t="shared" si="16"/>
        <v>0.09</v>
      </c>
      <c r="CS151" s="161">
        <f t="shared" si="17"/>
        <v>0.09</v>
      </c>
      <c r="CT151" s="161">
        <f t="shared" si="17"/>
        <v>0.09</v>
      </c>
      <c r="CU151" s="161">
        <f t="shared" si="17"/>
        <v>0.09</v>
      </c>
      <c r="CV151" s="161">
        <f t="shared" si="17"/>
        <v>0.09</v>
      </c>
      <c r="CW151" s="163">
        <v>0.08</v>
      </c>
    </row>
    <row r="152" spans="1:101" ht="12.75">
      <c r="A152" s="2">
        <v>0.22</v>
      </c>
      <c r="B152" s="160">
        <v>1.58</v>
      </c>
      <c r="C152" s="161">
        <v>1.15</v>
      </c>
      <c r="D152" s="161">
        <v>0.96</v>
      </c>
      <c r="E152" s="162">
        <v>0.83</v>
      </c>
      <c r="F152" s="161">
        <v>0.74</v>
      </c>
      <c r="G152" s="161">
        <v>0.67</v>
      </c>
      <c r="H152" s="161">
        <v>0.62</v>
      </c>
      <c r="I152" s="161">
        <v>0.57</v>
      </c>
      <c r="J152" s="162">
        <v>0.53</v>
      </c>
      <c r="K152" s="161">
        <f t="shared" si="18"/>
        <v>0.5</v>
      </c>
      <c r="L152" s="161">
        <f t="shared" si="2"/>
        <v>0.48</v>
      </c>
      <c r="M152" s="161">
        <f t="shared" si="2"/>
        <v>0.45999999999999996</v>
      </c>
      <c r="N152" s="161">
        <f t="shared" si="2"/>
        <v>0.44</v>
      </c>
      <c r="O152" s="162">
        <v>0.43</v>
      </c>
      <c r="P152" s="161">
        <v>0.41</v>
      </c>
      <c r="Q152" s="161">
        <v>0.39</v>
      </c>
      <c r="R152" s="161">
        <v>0.37</v>
      </c>
      <c r="S152" s="161">
        <v>0.35</v>
      </c>
      <c r="T152" s="162">
        <f>T151-0.01</f>
        <v>0.33</v>
      </c>
      <c r="U152" s="161">
        <f>U151-0.01</f>
        <v>0.31</v>
      </c>
      <c r="V152" s="161">
        <v>0.31</v>
      </c>
      <c r="W152" s="161">
        <v>0.3</v>
      </c>
      <c r="X152" s="161">
        <v>0.29</v>
      </c>
      <c r="Y152" s="162">
        <f>Y151-0.01</f>
        <v>0.27999999999999997</v>
      </c>
      <c r="Z152" s="161">
        <f t="shared" si="19"/>
        <v>0.28</v>
      </c>
      <c r="AA152" s="161">
        <f t="shared" si="19"/>
        <v>0.27</v>
      </c>
      <c r="AB152" s="161">
        <f t="shared" si="19"/>
        <v>0.26</v>
      </c>
      <c r="AC152" s="161">
        <f t="shared" si="3"/>
        <v>0.25</v>
      </c>
      <c r="AD152" s="162">
        <v>0.24</v>
      </c>
      <c r="AE152" s="161">
        <f t="shared" si="3"/>
        <v>0.24</v>
      </c>
      <c r="AF152" s="161">
        <f t="shared" si="3"/>
        <v>0.23</v>
      </c>
      <c r="AG152" s="161">
        <f t="shared" si="4"/>
        <v>0.23</v>
      </c>
      <c r="AH152" s="161">
        <f t="shared" si="4"/>
        <v>0.22</v>
      </c>
      <c r="AI152" s="162">
        <f t="shared" si="5"/>
        <v>0.22</v>
      </c>
      <c r="AJ152" s="161">
        <f t="shared" si="5"/>
        <v>0.21</v>
      </c>
      <c r="AK152" s="161">
        <f t="shared" si="6"/>
        <v>0.21</v>
      </c>
      <c r="AL152" s="161">
        <f t="shared" si="6"/>
        <v>0.2</v>
      </c>
      <c r="AM152" s="161">
        <f t="shared" si="7"/>
        <v>0.2</v>
      </c>
      <c r="AN152" s="162">
        <f t="shared" si="7"/>
        <v>0.19</v>
      </c>
      <c r="AO152" s="161">
        <f t="shared" si="8"/>
        <v>0.19</v>
      </c>
      <c r="AP152" s="161">
        <f t="shared" si="8"/>
        <v>0.18</v>
      </c>
      <c r="AQ152" s="161">
        <f t="shared" si="9"/>
        <v>0.18</v>
      </c>
      <c r="AR152" s="161">
        <f t="shared" si="9"/>
        <v>0.18</v>
      </c>
      <c r="AS152" s="162">
        <f t="shared" si="9"/>
        <v>0.17</v>
      </c>
      <c r="AT152" s="161">
        <f t="shared" si="9"/>
        <v>0.17</v>
      </c>
      <c r="AU152" s="161">
        <f t="shared" si="9"/>
        <v>0.17</v>
      </c>
      <c r="AV152" s="161">
        <f t="shared" si="9"/>
        <v>0.16</v>
      </c>
      <c r="AW152" s="161">
        <f t="shared" si="10"/>
        <v>0.16</v>
      </c>
      <c r="AX152" s="162">
        <f t="shared" si="10"/>
        <v>0.16</v>
      </c>
      <c r="AY152" s="161">
        <f t="shared" si="10"/>
        <v>0.15</v>
      </c>
      <c r="AZ152" s="161">
        <f t="shared" si="10"/>
        <v>0.15</v>
      </c>
      <c r="BA152" s="161">
        <f t="shared" si="10"/>
        <v>0.15</v>
      </c>
      <c r="BB152" s="161">
        <f t="shared" si="11"/>
        <v>0.15</v>
      </c>
      <c r="BC152" s="162">
        <f t="shared" si="11"/>
        <v>0.15</v>
      </c>
      <c r="BD152" s="161">
        <f t="shared" si="11"/>
        <v>0.15</v>
      </c>
      <c r="BE152" s="161">
        <f t="shared" si="11"/>
        <v>0.14</v>
      </c>
      <c r="BF152" s="161">
        <f t="shared" si="11"/>
        <v>0.14</v>
      </c>
      <c r="BG152" s="161">
        <f t="shared" si="50"/>
        <v>0.14</v>
      </c>
      <c r="BH152" s="162">
        <f t="shared" si="44"/>
        <v>0.14</v>
      </c>
      <c r="BI152" s="161">
        <f t="shared" si="40"/>
        <v>0.14</v>
      </c>
      <c r="BJ152" s="161">
        <f t="shared" si="35"/>
        <v>0.14</v>
      </c>
      <c r="BK152" s="161">
        <v>0.13</v>
      </c>
      <c r="BL152" s="161">
        <f>BL151</f>
        <v>0.13</v>
      </c>
      <c r="BM152" s="162">
        <f>BM151</f>
        <v>0.13</v>
      </c>
      <c r="BN152" s="161">
        <f t="shared" si="41"/>
        <v>0.13</v>
      </c>
      <c r="BO152" s="161">
        <f t="shared" si="36"/>
        <v>0.13</v>
      </c>
      <c r="BP152" s="161">
        <v>0.12</v>
      </c>
      <c r="BQ152" s="161">
        <f t="shared" si="54"/>
        <v>0.12</v>
      </c>
      <c r="BR152" s="162">
        <f t="shared" si="47"/>
        <v>0.12</v>
      </c>
      <c r="BS152" s="161">
        <f t="shared" si="42"/>
        <v>0.12</v>
      </c>
      <c r="BT152" s="161">
        <f t="shared" si="13"/>
        <v>0.12</v>
      </c>
      <c r="BU152" s="161">
        <f t="shared" si="13"/>
        <v>0.12</v>
      </c>
      <c r="BV152" s="161">
        <f t="shared" si="13"/>
        <v>0.12</v>
      </c>
      <c r="BW152" s="162">
        <v>0.11</v>
      </c>
      <c r="BX152" s="161">
        <f t="shared" si="23"/>
        <v>0.11</v>
      </c>
      <c r="BY152" s="161">
        <f t="shared" si="55"/>
        <v>0.11</v>
      </c>
      <c r="BZ152" s="161">
        <f t="shared" si="51"/>
        <v>0.11</v>
      </c>
      <c r="CA152" s="161">
        <f t="shared" si="48"/>
        <v>0.11</v>
      </c>
      <c r="CB152" s="162">
        <f t="shared" si="45"/>
        <v>0.11</v>
      </c>
      <c r="CC152" s="161">
        <f t="shared" si="43"/>
        <v>0.11</v>
      </c>
      <c r="CD152" s="161">
        <f t="shared" si="38"/>
        <v>0.11</v>
      </c>
      <c r="CE152" s="161">
        <f t="shared" si="30"/>
        <v>0.11</v>
      </c>
      <c r="CF152" s="161">
        <f aca="true" t="shared" si="56" ref="CF152:CF157">CF151</f>
        <v>0.1</v>
      </c>
      <c r="CG152" s="162">
        <f t="shared" si="52"/>
        <v>0.1</v>
      </c>
      <c r="CH152" s="161">
        <f t="shared" si="46"/>
        <v>0.1</v>
      </c>
      <c r="CI152" s="161">
        <f t="shared" si="39"/>
        <v>0.1</v>
      </c>
      <c r="CJ152" s="161">
        <f t="shared" si="31"/>
        <v>0.1</v>
      </c>
      <c r="CK152" s="161">
        <f>CK151</f>
        <v>0.1</v>
      </c>
      <c r="CL152" s="162">
        <f>CL151</f>
        <v>0.1</v>
      </c>
      <c r="CM152" s="161">
        <f aca="true" t="shared" si="57" ref="CM152:CM157">CM151</f>
        <v>0.09</v>
      </c>
      <c r="CN152" s="161">
        <f t="shared" si="53"/>
        <v>0.09</v>
      </c>
      <c r="CO152" s="161">
        <f t="shared" si="15"/>
        <v>0.09</v>
      </c>
      <c r="CP152" s="161">
        <f t="shared" si="15"/>
        <v>0.09</v>
      </c>
      <c r="CQ152" s="162">
        <f t="shared" si="16"/>
        <v>0.09</v>
      </c>
      <c r="CR152" s="161">
        <f t="shared" si="16"/>
        <v>0.09</v>
      </c>
      <c r="CS152" s="161">
        <f t="shared" si="17"/>
        <v>0.09</v>
      </c>
      <c r="CT152" s="161">
        <f t="shared" si="17"/>
        <v>0.09</v>
      </c>
      <c r="CU152" s="161">
        <f t="shared" si="17"/>
        <v>0.09</v>
      </c>
      <c r="CV152" s="161">
        <f t="shared" si="17"/>
        <v>0.09</v>
      </c>
      <c r="CW152" s="163">
        <f t="shared" si="17"/>
        <v>0.08</v>
      </c>
    </row>
    <row r="153" spans="1:101" ht="12.75">
      <c r="A153" s="2">
        <v>0.23</v>
      </c>
      <c r="B153" s="160">
        <v>1.58</v>
      </c>
      <c r="C153" s="161">
        <v>1.14</v>
      </c>
      <c r="D153" s="161">
        <v>0.96</v>
      </c>
      <c r="E153" s="162">
        <v>0.82</v>
      </c>
      <c r="F153" s="161">
        <v>0.73</v>
      </c>
      <c r="G153" s="161">
        <v>0.67</v>
      </c>
      <c r="H153" s="161">
        <v>0.61</v>
      </c>
      <c r="I153" s="161">
        <v>0.56</v>
      </c>
      <c r="J153" s="162">
        <v>0.53</v>
      </c>
      <c r="K153" s="161">
        <v>0.5</v>
      </c>
      <c r="L153" s="161">
        <v>0.48</v>
      </c>
      <c r="M153" s="161">
        <v>0.46</v>
      </c>
      <c r="N153" s="161">
        <v>0.44</v>
      </c>
      <c r="O153" s="162">
        <v>0.42</v>
      </c>
      <c r="P153" s="161">
        <f t="shared" si="27"/>
        <v>0.39999999999999997</v>
      </c>
      <c r="Q153" s="161">
        <f t="shared" si="27"/>
        <v>0.38</v>
      </c>
      <c r="R153" s="161">
        <v>0.37</v>
      </c>
      <c r="S153" s="161">
        <v>0.35</v>
      </c>
      <c r="T153" s="162">
        <v>0.33</v>
      </c>
      <c r="U153" s="161">
        <v>0.31</v>
      </c>
      <c r="V153" s="161">
        <f>V152-0.01</f>
        <v>0.3</v>
      </c>
      <c r="W153" s="161">
        <v>0.3</v>
      </c>
      <c r="X153" s="161">
        <v>0.29</v>
      </c>
      <c r="Y153" s="162">
        <v>0.28</v>
      </c>
      <c r="Z153" s="161">
        <v>0.27</v>
      </c>
      <c r="AA153" s="161">
        <v>0.26</v>
      </c>
      <c r="AB153" s="161">
        <f t="shared" si="19"/>
        <v>0.26</v>
      </c>
      <c r="AC153" s="161">
        <f t="shared" si="3"/>
        <v>0.25</v>
      </c>
      <c r="AD153" s="162">
        <f t="shared" si="3"/>
        <v>0.24</v>
      </c>
      <c r="AE153" s="161">
        <v>0.23</v>
      </c>
      <c r="AF153" s="161">
        <f t="shared" si="3"/>
        <v>0.23</v>
      </c>
      <c r="AG153" s="161">
        <v>0.22</v>
      </c>
      <c r="AH153" s="161">
        <f t="shared" si="4"/>
        <v>0.22</v>
      </c>
      <c r="AI153" s="162">
        <v>0.21</v>
      </c>
      <c r="AJ153" s="161">
        <f t="shared" si="5"/>
        <v>0.21</v>
      </c>
      <c r="AK153" s="161">
        <v>0.2</v>
      </c>
      <c r="AL153" s="161">
        <f t="shared" si="6"/>
        <v>0.2</v>
      </c>
      <c r="AM153" s="161">
        <v>0.19</v>
      </c>
      <c r="AN153" s="162">
        <f t="shared" si="7"/>
        <v>0.19</v>
      </c>
      <c r="AO153" s="161">
        <v>0.18</v>
      </c>
      <c r="AP153" s="161">
        <f t="shared" si="8"/>
        <v>0.18</v>
      </c>
      <c r="AQ153" s="161">
        <f t="shared" si="9"/>
        <v>0.18</v>
      </c>
      <c r="AR153" s="161">
        <v>0.17</v>
      </c>
      <c r="AS153" s="162">
        <f t="shared" si="9"/>
        <v>0.17</v>
      </c>
      <c r="AT153" s="161">
        <f t="shared" si="9"/>
        <v>0.17</v>
      </c>
      <c r="AU153" s="161">
        <v>0.16</v>
      </c>
      <c r="AV153" s="161">
        <f t="shared" si="9"/>
        <v>0.16</v>
      </c>
      <c r="AW153" s="161">
        <f t="shared" si="10"/>
        <v>0.16</v>
      </c>
      <c r="AX153" s="162">
        <v>0.15</v>
      </c>
      <c r="AY153" s="161">
        <f t="shared" si="10"/>
        <v>0.15</v>
      </c>
      <c r="AZ153" s="161">
        <f t="shared" si="10"/>
        <v>0.15</v>
      </c>
      <c r="BA153" s="161">
        <f t="shared" si="10"/>
        <v>0.15</v>
      </c>
      <c r="BB153" s="161">
        <f t="shared" si="11"/>
        <v>0.15</v>
      </c>
      <c r="BC153" s="162">
        <f t="shared" si="11"/>
        <v>0.15</v>
      </c>
      <c r="BD153" s="161">
        <v>0.14</v>
      </c>
      <c r="BE153" s="161">
        <f t="shared" si="11"/>
        <v>0.14</v>
      </c>
      <c r="BF153" s="161">
        <f t="shared" si="11"/>
        <v>0.14</v>
      </c>
      <c r="BG153" s="161">
        <f t="shared" si="50"/>
        <v>0.14</v>
      </c>
      <c r="BH153" s="162">
        <f t="shared" si="44"/>
        <v>0.14</v>
      </c>
      <c r="BI153" s="161">
        <f t="shared" si="40"/>
        <v>0.14</v>
      </c>
      <c r="BJ153" s="161">
        <f t="shared" si="35"/>
        <v>0.14</v>
      </c>
      <c r="BK153" s="161">
        <f>BK152</f>
        <v>0.13</v>
      </c>
      <c r="BL153" s="161">
        <f>BL152</f>
        <v>0.13</v>
      </c>
      <c r="BM153" s="162">
        <v>0.13</v>
      </c>
      <c r="BN153" s="161">
        <f t="shared" si="41"/>
        <v>0.13</v>
      </c>
      <c r="BO153" s="161">
        <f t="shared" si="36"/>
        <v>0.13</v>
      </c>
      <c r="BP153" s="161">
        <f aca="true" t="shared" si="58" ref="BP153:BP161">BP152</f>
        <v>0.12</v>
      </c>
      <c r="BQ153" s="161">
        <f t="shared" si="54"/>
        <v>0.12</v>
      </c>
      <c r="BR153" s="162">
        <f t="shared" si="47"/>
        <v>0.12</v>
      </c>
      <c r="BS153" s="161">
        <f t="shared" si="42"/>
        <v>0.12</v>
      </c>
      <c r="BT153" s="161">
        <f t="shared" si="13"/>
        <v>0.12</v>
      </c>
      <c r="BU153" s="161">
        <f t="shared" si="13"/>
        <v>0.12</v>
      </c>
      <c r="BV153" s="161">
        <v>0.11</v>
      </c>
      <c r="BW153" s="162">
        <f t="shared" si="13"/>
        <v>0.11</v>
      </c>
      <c r="BX153" s="161">
        <f t="shared" si="23"/>
        <v>0.11</v>
      </c>
      <c r="BY153" s="161">
        <f t="shared" si="55"/>
        <v>0.11</v>
      </c>
      <c r="BZ153" s="161">
        <f t="shared" si="51"/>
        <v>0.11</v>
      </c>
      <c r="CA153" s="161">
        <f t="shared" si="48"/>
        <v>0.11</v>
      </c>
      <c r="CB153" s="162">
        <f t="shared" si="45"/>
        <v>0.11</v>
      </c>
      <c r="CC153" s="161">
        <f t="shared" si="43"/>
        <v>0.11</v>
      </c>
      <c r="CD153" s="161">
        <f t="shared" si="38"/>
        <v>0.11</v>
      </c>
      <c r="CE153" s="161">
        <v>0.1</v>
      </c>
      <c r="CF153" s="161">
        <f t="shared" si="56"/>
        <v>0.1</v>
      </c>
      <c r="CG153" s="162">
        <f t="shared" si="52"/>
        <v>0.1</v>
      </c>
      <c r="CH153" s="161">
        <f t="shared" si="46"/>
        <v>0.1</v>
      </c>
      <c r="CI153" s="161">
        <f t="shared" si="39"/>
        <v>0.1</v>
      </c>
      <c r="CJ153" s="161">
        <f t="shared" si="31"/>
        <v>0.1</v>
      </c>
      <c r="CK153" s="161">
        <f>CK152</f>
        <v>0.1</v>
      </c>
      <c r="CL153" s="162">
        <v>0.09</v>
      </c>
      <c r="CM153" s="161">
        <f t="shared" si="57"/>
        <v>0.09</v>
      </c>
      <c r="CN153" s="161">
        <f t="shared" si="53"/>
        <v>0.09</v>
      </c>
      <c r="CO153" s="161">
        <f t="shared" si="15"/>
        <v>0.09</v>
      </c>
      <c r="CP153" s="161">
        <f t="shared" si="15"/>
        <v>0.09</v>
      </c>
      <c r="CQ153" s="162">
        <f t="shared" si="16"/>
        <v>0.09</v>
      </c>
      <c r="CR153" s="161">
        <f t="shared" si="16"/>
        <v>0.09</v>
      </c>
      <c r="CS153" s="161">
        <f t="shared" si="17"/>
        <v>0.09</v>
      </c>
      <c r="CT153" s="161">
        <f t="shared" si="17"/>
        <v>0.09</v>
      </c>
      <c r="CU153" s="161">
        <f t="shared" si="17"/>
        <v>0.09</v>
      </c>
      <c r="CV153" s="161">
        <v>0.08</v>
      </c>
      <c r="CW153" s="163">
        <f t="shared" si="17"/>
        <v>0.08</v>
      </c>
    </row>
    <row r="154" spans="1:101" ht="13.5" thickBot="1">
      <c r="A154" s="2">
        <v>0.24</v>
      </c>
      <c r="B154" s="164">
        <v>1.58</v>
      </c>
      <c r="C154" s="165">
        <v>1.13</v>
      </c>
      <c r="D154" s="165">
        <v>0.95</v>
      </c>
      <c r="E154" s="166">
        <v>0.82</v>
      </c>
      <c r="F154" s="165">
        <v>0.73</v>
      </c>
      <c r="G154" s="165">
        <v>0.66</v>
      </c>
      <c r="H154" s="165">
        <v>0.61</v>
      </c>
      <c r="I154" s="165">
        <v>0.56</v>
      </c>
      <c r="J154" s="166">
        <v>0.52</v>
      </c>
      <c r="K154" s="167">
        <f t="shared" si="18"/>
        <v>0.49</v>
      </c>
      <c r="L154" s="165">
        <f t="shared" si="2"/>
        <v>0.47</v>
      </c>
      <c r="M154" s="165">
        <f t="shared" si="2"/>
        <v>0.45</v>
      </c>
      <c r="N154" s="165">
        <v>0.44</v>
      </c>
      <c r="O154" s="166">
        <v>0.42</v>
      </c>
      <c r="P154" s="167">
        <v>0.4</v>
      </c>
      <c r="Q154" s="165">
        <v>0.38</v>
      </c>
      <c r="R154" s="165">
        <f t="shared" si="27"/>
        <v>0.36</v>
      </c>
      <c r="S154" s="165">
        <f t="shared" si="27"/>
        <v>0.33999999999999997</v>
      </c>
      <c r="T154" s="166">
        <v>0.33</v>
      </c>
      <c r="U154" s="165">
        <v>0.31</v>
      </c>
      <c r="V154" s="165">
        <v>0.3</v>
      </c>
      <c r="W154" s="165">
        <f>W153-0.01</f>
        <v>0.29</v>
      </c>
      <c r="X154" s="165">
        <v>0.29</v>
      </c>
      <c r="Y154" s="166">
        <v>0.28</v>
      </c>
      <c r="Z154" s="167">
        <f t="shared" si="19"/>
        <v>0.27</v>
      </c>
      <c r="AA154" s="165">
        <f t="shared" si="19"/>
        <v>0.26</v>
      </c>
      <c r="AB154" s="165">
        <v>0.25</v>
      </c>
      <c r="AC154" s="165">
        <f t="shared" si="3"/>
        <v>0.25</v>
      </c>
      <c r="AD154" s="166">
        <f t="shared" si="3"/>
        <v>0.24</v>
      </c>
      <c r="AE154" s="165">
        <f t="shared" si="3"/>
        <v>0.23</v>
      </c>
      <c r="AF154" s="165">
        <f t="shared" si="3"/>
        <v>0.23</v>
      </c>
      <c r="AG154" s="165">
        <f t="shared" si="4"/>
        <v>0.22</v>
      </c>
      <c r="AH154" s="165">
        <f t="shared" si="4"/>
        <v>0.22</v>
      </c>
      <c r="AI154" s="166">
        <f t="shared" si="5"/>
        <v>0.21</v>
      </c>
      <c r="AJ154" s="165">
        <f t="shared" si="5"/>
        <v>0.21</v>
      </c>
      <c r="AK154" s="165">
        <f t="shared" si="6"/>
        <v>0.2</v>
      </c>
      <c r="AL154" s="165">
        <f t="shared" si="6"/>
        <v>0.2</v>
      </c>
      <c r="AM154" s="165">
        <f t="shared" si="7"/>
        <v>0.19</v>
      </c>
      <c r="AN154" s="166">
        <f t="shared" si="7"/>
        <v>0.19</v>
      </c>
      <c r="AO154" s="165">
        <f t="shared" si="8"/>
        <v>0.18</v>
      </c>
      <c r="AP154" s="165">
        <f t="shared" si="8"/>
        <v>0.18</v>
      </c>
      <c r="AQ154" s="165">
        <f t="shared" si="9"/>
        <v>0.18</v>
      </c>
      <c r="AR154" s="165">
        <f t="shared" si="9"/>
        <v>0.17</v>
      </c>
      <c r="AS154" s="166">
        <f t="shared" si="9"/>
        <v>0.17</v>
      </c>
      <c r="AT154" s="165">
        <f t="shared" si="9"/>
        <v>0.17</v>
      </c>
      <c r="AU154" s="165">
        <f t="shared" si="9"/>
        <v>0.16</v>
      </c>
      <c r="AV154" s="165">
        <f t="shared" si="9"/>
        <v>0.16</v>
      </c>
      <c r="AW154" s="165">
        <f t="shared" si="10"/>
        <v>0.16</v>
      </c>
      <c r="AX154" s="166">
        <f t="shared" si="10"/>
        <v>0.15</v>
      </c>
      <c r="AY154" s="165">
        <f t="shared" si="10"/>
        <v>0.15</v>
      </c>
      <c r="AZ154" s="165">
        <f t="shared" si="10"/>
        <v>0.15</v>
      </c>
      <c r="BA154" s="165">
        <f t="shared" si="10"/>
        <v>0.15</v>
      </c>
      <c r="BB154" s="165">
        <f t="shared" si="11"/>
        <v>0.15</v>
      </c>
      <c r="BC154" s="166">
        <v>0.14</v>
      </c>
      <c r="BD154" s="165">
        <f t="shared" si="11"/>
        <v>0.14</v>
      </c>
      <c r="BE154" s="165">
        <f t="shared" si="11"/>
        <v>0.14</v>
      </c>
      <c r="BF154" s="165">
        <f t="shared" si="11"/>
        <v>0.14</v>
      </c>
      <c r="BG154" s="165">
        <f t="shared" si="50"/>
        <v>0.14</v>
      </c>
      <c r="BH154" s="166">
        <f t="shared" si="44"/>
        <v>0.14</v>
      </c>
      <c r="BI154" s="165">
        <f t="shared" si="40"/>
        <v>0.14</v>
      </c>
      <c r="BJ154" s="165">
        <v>0.13</v>
      </c>
      <c r="BK154" s="165">
        <f>BK153</f>
        <v>0.13</v>
      </c>
      <c r="BL154" s="165">
        <f>BL153</f>
        <v>0.13</v>
      </c>
      <c r="BM154" s="166">
        <f>BM153</f>
        <v>0.13</v>
      </c>
      <c r="BN154" s="165">
        <f t="shared" si="41"/>
        <v>0.13</v>
      </c>
      <c r="BO154" s="165">
        <v>0.12</v>
      </c>
      <c r="BP154" s="165">
        <f t="shared" si="58"/>
        <v>0.12</v>
      </c>
      <c r="BQ154" s="165">
        <f t="shared" si="54"/>
        <v>0.12</v>
      </c>
      <c r="BR154" s="166">
        <f t="shared" si="47"/>
        <v>0.12</v>
      </c>
      <c r="BS154" s="165">
        <f t="shared" si="42"/>
        <v>0.12</v>
      </c>
      <c r="BT154" s="165">
        <f t="shared" si="13"/>
        <v>0.12</v>
      </c>
      <c r="BU154" s="165">
        <v>0.11</v>
      </c>
      <c r="BV154" s="165">
        <f t="shared" si="13"/>
        <v>0.11</v>
      </c>
      <c r="BW154" s="166">
        <f t="shared" si="13"/>
        <v>0.11</v>
      </c>
      <c r="BX154" s="165">
        <f t="shared" si="23"/>
        <v>0.11</v>
      </c>
      <c r="BY154" s="165">
        <f t="shared" si="55"/>
        <v>0.11</v>
      </c>
      <c r="BZ154" s="165">
        <f t="shared" si="51"/>
        <v>0.11</v>
      </c>
      <c r="CA154" s="165">
        <f t="shared" si="48"/>
        <v>0.11</v>
      </c>
      <c r="CB154" s="166">
        <f t="shared" si="45"/>
        <v>0.11</v>
      </c>
      <c r="CC154" s="165">
        <f t="shared" si="43"/>
        <v>0.11</v>
      </c>
      <c r="CD154" s="165">
        <v>0.1</v>
      </c>
      <c r="CE154" s="165">
        <f>CE153</f>
        <v>0.1</v>
      </c>
      <c r="CF154" s="165">
        <f t="shared" si="56"/>
        <v>0.1</v>
      </c>
      <c r="CG154" s="166">
        <f t="shared" si="52"/>
        <v>0.1</v>
      </c>
      <c r="CH154" s="165">
        <f t="shared" si="46"/>
        <v>0.1</v>
      </c>
      <c r="CI154" s="165">
        <f t="shared" si="39"/>
        <v>0.1</v>
      </c>
      <c r="CJ154" s="165">
        <f t="shared" si="31"/>
        <v>0.1</v>
      </c>
      <c r="CK154" s="165">
        <f>CK153</f>
        <v>0.1</v>
      </c>
      <c r="CL154" s="166">
        <f>CL153</f>
        <v>0.09</v>
      </c>
      <c r="CM154" s="165">
        <f t="shared" si="57"/>
        <v>0.09</v>
      </c>
      <c r="CN154" s="165">
        <f t="shared" si="53"/>
        <v>0.09</v>
      </c>
      <c r="CO154" s="165">
        <f t="shared" si="15"/>
        <v>0.09</v>
      </c>
      <c r="CP154" s="165">
        <f t="shared" si="15"/>
        <v>0.09</v>
      </c>
      <c r="CQ154" s="166">
        <f t="shared" si="16"/>
        <v>0.09</v>
      </c>
      <c r="CR154" s="165">
        <f t="shared" si="16"/>
        <v>0.09</v>
      </c>
      <c r="CS154" s="165">
        <f t="shared" si="17"/>
        <v>0.09</v>
      </c>
      <c r="CT154" s="165">
        <f t="shared" si="17"/>
        <v>0.09</v>
      </c>
      <c r="CU154" s="165">
        <f t="shared" si="17"/>
        <v>0.09</v>
      </c>
      <c r="CV154" s="165">
        <f t="shared" si="17"/>
        <v>0.08</v>
      </c>
      <c r="CW154" s="168">
        <f t="shared" si="17"/>
        <v>0.08</v>
      </c>
    </row>
    <row r="155" spans="1:101" ht="12.75">
      <c r="A155" s="2">
        <v>0.25</v>
      </c>
      <c r="B155" s="160">
        <v>1.57</v>
      </c>
      <c r="C155" s="161">
        <v>1.12</v>
      </c>
      <c r="D155" s="161">
        <v>0.94</v>
      </c>
      <c r="E155" s="162">
        <v>0.81</v>
      </c>
      <c r="F155" s="161">
        <v>0.72</v>
      </c>
      <c r="G155" s="161">
        <v>0.65</v>
      </c>
      <c r="H155" s="161">
        <v>0.6</v>
      </c>
      <c r="I155" s="161">
        <v>0.55</v>
      </c>
      <c r="J155" s="162">
        <v>0.52</v>
      </c>
      <c r="K155" s="161">
        <v>0.49</v>
      </c>
      <c r="L155" s="161">
        <v>0.47</v>
      </c>
      <c r="M155" s="161">
        <v>0.45</v>
      </c>
      <c r="N155" s="161">
        <f t="shared" si="2"/>
        <v>0.43</v>
      </c>
      <c r="O155" s="162">
        <v>0.41</v>
      </c>
      <c r="P155" s="161">
        <v>0.4</v>
      </c>
      <c r="Q155" s="161">
        <v>0.38</v>
      </c>
      <c r="R155" s="161">
        <v>0.36</v>
      </c>
      <c r="S155" s="161">
        <v>0.34</v>
      </c>
      <c r="T155" s="162">
        <f>T154-0.01</f>
        <v>0.32</v>
      </c>
      <c r="U155" s="161">
        <f>U154-0.01</f>
        <v>0.3</v>
      </c>
      <c r="V155" s="161">
        <v>0.3</v>
      </c>
      <c r="W155" s="161">
        <v>0.29</v>
      </c>
      <c r="X155" s="161">
        <f>X154-0.01</f>
        <v>0.27999999999999997</v>
      </c>
      <c r="Y155" s="162">
        <v>0.28</v>
      </c>
      <c r="Z155" s="161">
        <f t="shared" si="19"/>
        <v>0.27</v>
      </c>
      <c r="AA155" s="161">
        <f t="shared" si="19"/>
        <v>0.26</v>
      </c>
      <c r="AB155" s="161">
        <f t="shared" si="19"/>
        <v>0.25</v>
      </c>
      <c r="AC155" s="161">
        <f t="shared" si="3"/>
        <v>0.25</v>
      </c>
      <c r="AD155" s="162">
        <f t="shared" si="3"/>
        <v>0.24</v>
      </c>
      <c r="AE155" s="161">
        <f t="shared" si="3"/>
        <v>0.23</v>
      </c>
      <c r="AF155" s="161">
        <f t="shared" si="3"/>
        <v>0.23</v>
      </c>
      <c r="AG155" s="161">
        <f t="shared" si="4"/>
        <v>0.22</v>
      </c>
      <c r="AH155" s="161">
        <f t="shared" si="4"/>
        <v>0.22</v>
      </c>
      <c r="AI155" s="162">
        <f t="shared" si="5"/>
        <v>0.21</v>
      </c>
      <c r="AJ155" s="161">
        <f t="shared" si="5"/>
        <v>0.21</v>
      </c>
      <c r="AK155" s="161">
        <f t="shared" si="6"/>
        <v>0.2</v>
      </c>
      <c r="AL155" s="161">
        <f t="shared" si="6"/>
        <v>0.2</v>
      </c>
      <c r="AM155" s="161">
        <f t="shared" si="7"/>
        <v>0.19</v>
      </c>
      <c r="AN155" s="162">
        <f t="shared" si="7"/>
        <v>0.19</v>
      </c>
      <c r="AO155" s="161">
        <f t="shared" si="8"/>
        <v>0.18</v>
      </c>
      <c r="AP155" s="161">
        <f t="shared" si="8"/>
        <v>0.18</v>
      </c>
      <c r="AQ155" s="161">
        <v>0.17</v>
      </c>
      <c r="AR155" s="161">
        <f t="shared" si="9"/>
        <v>0.17</v>
      </c>
      <c r="AS155" s="162">
        <f t="shared" si="9"/>
        <v>0.17</v>
      </c>
      <c r="AT155" s="161">
        <v>0.16</v>
      </c>
      <c r="AU155" s="161">
        <f t="shared" si="9"/>
        <v>0.16</v>
      </c>
      <c r="AV155" s="161">
        <f t="shared" si="9"/>
        <v>0.16</v>
      </c>
      <c r="AW155" s="161">
        <v>0.15</v>
      </c>
      <c r="AX155" s="162">
        <f t="shared" si="10"/>
        <v>0.15</v>
      </c>
      <c r="AY155" s="161">
        <f t="shared" si="10"/>
        <v>0.15</v>
      </c>
      <c r="AZ155" s="161">
        <f t="shared" si="10"/>
        <v>0.15</v>
      </c>
      <c r="BA155" s="161">
        <f t="shared" si="10"/>
        <v>0.15</v>
      </c>
      <c r="BB155" s="161">
        <v>0.14</v>
      </c>
      <c r="BC155" s="162">
        <f t="shared" si="11"/>
        <v>0.14</v>
      </c>
      <c r="BD155" s="161">
        <f t="shared" si="11"/>
        <v>0.14</v>
      </c>
      <c r="BE155" s="161">
        <f t="shared" si="11"/>
        <v>0.14</v>
      </c>
      <c r="BF155" s="161">
        <f t="shared" si="11"/>
        <v>0.14</v>
      </c>
      <c r="BG155" s="161">
        <f t="shared" si="50"/>
        <v>0.14</v>
      </c>
      <c r="BH155" s="162">
        <f t="shared" si="44"/>
        <v>0.14</v>
      </c>
      <c r="BI155" s="161">
        <f t="shared" si="40"/>
        <v>0.14</v>
      </c>
      <c r="BJ155" s="161">
        <f>BJ154</f>
        <v>0.13</v>
      </c>
      <c r="BK155" s="161">
        <f>BK154</f>
        <v>0.13</v>
      </c>
      <c r="BL155" s="161">
        <v>0.13</v>
      </c>
      <c r="BM155" s="162">
        <f>BM154</f>
        <v>0.13</v>
      </c>
      <c r="BN155" s="161">
        <f t="shared" si="41"/>
        <v>0.13</v>
      </c>
      <c r="BO155" s="161">
        <f aca="true" t="shared" si="59" ref="BO155:BO162">BO154</f>
        <v>0.12</v>
      </c>
      <c r="BP155" s="161">
        <f t="shared" si="58"/>
        <v>0.12</v>
      </c>
      <c r="BQ155" s="161">
        <f t="shared" si="54"/>
        <v>0.12</v>
      </c>
      <c r="BR155" s="162">
        <f t="shared" si="47"/>
        <v>0.12</v>
      </c>
      <c r="BS155" s="161">
        <f t="shared" si="42"/>
        <v>0.12</v>
      </c>
      <c r="BT155" s="161">
        <v>0.11</v>
      </c>
      <c r="BU155" s="161">
        <f t="shared" si="13"/>
        <v>0.11</v>
      </c>
      <c r="BV155" s="161">
        <f t="shared" si="13"/>
        <v>0.11</v>
      </c>
      <c r="BW155" s="162">
        <f t="shared" si="13"/>
        <v>0.11</v>
      </c>
      <c r="BX155" s="161">
        <f t="shared" si="23"/>
        <v>0.11</v>
      </c>
      <c r="BY155" s="161">
        <f t="shared" si="55"/>
        <v>0.11</v>
      </c>
      <c r="BZ155" s="161">
        <f t="shared" si="51"/>
        <v>0.11</v>
      </c>
      <c r="CA155" s="161">
        <f t="shared" si="48"/>
        <v>0.11</v>
      </c>
      <c r="CB155" s="162">
        <f t="shared" si="45"/>
        <v>0.11</v>
      </c>
      <c r="CC155" s="161">
        <f t="shared" si="43"/>
        <v>0.11</v>
      </c>
      <c r="CD155" s="161">
        <f>CD154</f>
        <v>0.1</v>
      </c>
      <c r="CE155" s="161">
        <f>CE154</f>
        <v>0.1</v>
      </c>
      <c r="CF155" s="161">
        <f t="shared" si="56"/>
        <v>0.1</v>
      </c>
      <c r="CG155" s="162">
        <f t="shared" si="52"/>
        <v>0.1</v>
      </c>
      <c r="CH155" s="161">
        <f t="shared" si="46"/>
        <v>0.1</v>
      </c>
      <c r="CI155" s="161">
        <f t="shared" si="39"/>
        <v>0.1</v>
      </c>
      <c r="CJ155" s="161">
        <f t="shared" si="31"/>
        <v>0.1</v>
      </c>
      <c r="CK155" s="161">
        <v>0.09</v>
      </c>
      <c r="CL155" s="162">
        <f>CL154</f>
        <v>0.09</v>
      </c>
      <c r="CM155" s="161">
        <f t="shared" si="57"/>
        <v>0.09</v>
      </c>
      <c r="CN155" s="161">
        <f t="shared" si="53"/>
        <v>0.09</v>
      </c>
      <c r="CO155" s="161">
        <f t="shared" si="15"/>
        <v>0.09</v>
      </c>
      <c r="CP155" s="161">
        <f t="shared" si="15"/>
        <v>0.09</v>
      </c>
      <c r="CQ155" s="162">
        <f t="shared" si="16"/>
        <v>0.09</v>
      </c>
      <c r="CR155" s="161">
        <f t="shared" si="16"/>
        <v>0.09</v>
      </c>
      <c r="CS155" s="161">
        <f t="shared" si="17"/>
        <v>0.09</v>
      </c>
      <c r="CT155" s="161">
        <f t="shared" si="17"/>
        <v>0.09</v>
      </c>
      <c r="CU155" s="161">
        <v>0.08</v>
      </c>
      <c r="CV155" s="161">
        <f t="shared" si="17"/>
        <v>0.08</v>
      </c>
      <c r="CW155" s="163">
        <f t="shared" si="17"/>
        <v>0.08</v>
      </c>
    </row>
    <row r="156" spans="1:101" ht="12.75">
      <c r="A156" s="2">
        <v>0.26</v>
      </c>
      <c r="B156" s="160">
        <v>1.57</v>
      </c>
      <c r="C156" s="161">
        <v>1.11</v>
      </c>
      <c r="D156" s="161">
        <v>0.93</v>
      </c>
      <c r="E156" s="162">
        <v>0.8</v>
      </c>
      <c r="F156" s="161">
        <v>0.71</v>
      </c>
      <c r="G156" s="161">
        <v>0.65</v>
      </c>
      <c r="H156" s="161">
        <v>0.59</v>
      </c>
      <c r="I156" s="161">
        <v>0.54</v>
      </c>
      <c r="J156" s="162">
        <v>0.51</v>
      </c>
      <c r="K156" s="161">
        <f t="shared" si="18"/>
        <v>0.48</v>
      </c>
      <c r="L156" s="161">
        <f t="shared" si="2"/>
        <v>0.45999999999999996</v>
      </c>
      <c r="M156" s="161">
        <f t="shared" si="2"/>
        <v>0.44</v>
      </c>
      <c r="N156" s="161">
        <v>0.43</v>
      </c>
      <c r="O156" s="162">
        <v>0.41</v>
      </c>
      <c r="P156" s="161">
        <f t="shared" si="27"/>
        <v>0.39</v>
      </c>
      <c r="Q156" s="161">
        <f t="shared" si="27"/>
        <v>0.37</v>
      </c>
      <c r="R156" s="161">
        <v>0.36</v>
      </c>
      <c r="S156" s="161">
        <v>0.34</v>
      </c>
      <c r="T156" s="162">
        <v>0.32</v>
      </c>
      <c r="U156" s="161">
        <v>0.3</v>
      </c>
      <c r="V156" s="161">
        <f>V155-0.01</f>
        <v>0.29</v>
      </c>
      <c r="W156" s="161">
        <v>0.29</v>
      </c>
      <c r="X156" s="161">
        <v>0.28</v>
      </c>
      <c r="Y156" s="162">
        <f>Y155-0.01</f>
        <v>0.27</v>
      </c>
      <c r="Z156" s="161">
        <f t="shared" si="19"/>
        <v>0.27</v>
      </c>
      <c r="AA156" s="161">
        <f t="shared" si="19"/>
        <v>0.26</v>
      </c>
      <c r="AB156" s="161">
        <f t="shared" si="19"/>
        <v>0.25</v>
      </c>
      <c r="AC156" s="161">
        <v>0.24</v>
      </c>
      <c r="AD156" s="162">
        <f t="shared" si="3"/>
        <v>0.24</v>
      </c>
      <c r="AE156" s="161">
        <f t="shared" si="3"/>
        <v>0.23</v>
      </c>
      <c r="AF156" s="161">
        <v>0.22</v>
      </c>
      <c r="AG156" s="161">
        <f t="shared" si="4"/>
        <v>0.22</v>
      </c>
      <c r="AH156" s="161">
        <v>0.21</v>
      </c>
      <c r="AI156" s="162">
        <f t="shared" si="5"/>
        <v>0.21</v>
      </c>
      <c r="AJ156" s="161">
        <v>0.2</v>
      </c>
      <c r="AK156" s="161">
        <f t="shared" si="6"/>
        <v>0.2</v>
      </c>
      <c r="AL156" s="161">
        <v>0.19</v>
      </c>
      <c r="AM156" s="161">
        <f t="shared" si="7"/>
        <v>0.19</v>
      </c>
      <c r="AN156" s="162">
        <v>0.18</v>
      </c>
      <c r="AO156" s="161">
        <f t="shared" si="8"/>
        <v>0.18</v>
      </c>
      <c r="AP156" s="161">
        <v>0.17</v>
      </c>
      <c r="AQ156" s="161">
        <f t="shared" si="9"/>
        <v>0.17</v>
      </c>
      <c r="AR156" s="161">
        <f t="shared" si="9"/>
        <v>0.17</v>
      </c>
      <c r="AS156" s="162">
        <f t="shared" si="9"/>
        <v>0.17</v>
      </c>
      <c r="AT156" s="161">
        <f t="shared" si="9"/>
        <v>0.16</v>
      </c>
      <c r="AU156" s="161">
        <f t="shared" si="9"/>
        <v>0.16</v>
      </c>
      <c r="AV156" s="161">
        <f t="shared" si="9"/>
        <v>0.16</v>
      </c>
      <c r="AW156" s="161">
        <f t="shared" si="10"/>
        <v>0.15</v>
      </c>
      <c r="AX156" s="162">
        <f t="shared" si="10"/>
        <v>0.15</v>
      </c>
      <c r="AY156" s="161">
        <f t="shared" si="10"/>
        <v>0.15</v>
      </c>
      <c r="AZ156" s="161">
        <v>0.14</v>
      </c>
      <c r="BA156" s="161">
        <v>0.14</v>
      </c>
      <c r="BB156" s="161">
        <f t="shared" si="11"/>
        <v>0.14</v>
      </c>
      <c r="BC156" s="162">
        <f t="shared" si="11"/>
        <v>0.14</v>
      </c>
      <c r="BD156" s="161">
        <f t="shared" si="11"/>
        <v>0.14</v>
      </c>
      <c r="BE156" s="161">
        <f t="shared" si="11"/>
        <v>0.14</v>
      </c>
      <c r="BF156" s="161">
        <f t="shared" si="11"/>
        <v>0.14</v>
      </c>
      <c r="BG156" s="161">
        <f t="shared" si="50"/>
        <v>0.14</v>
      </c>
      <c r="BH156" s="162">
        <f t="shared" si="44"/>
        <v>0.14</v>
      </c>
      <c r="BI156" s="161">
        <v>0.13</v>
      </c>
      <c r="BJ156" s="161">
        <f>BJ155</f>
        <v>0.13</v>
      </c>
      <c r="BK156" s="161">
        <f>BK155</f>
        <v>0.13</v>
      </c>
      <c r="BL156" s="161">
        <f>BL155</f>
        <v>0.13</v>
      </c>
      <c r="BM156" s="162">
        <f>BM155</f>
        <v>0.13</v>
      </c>
      <c r="BN156" s="161">
        <v>0.12</v>
      </c>
      <c r="BO156" s="161">
        <f t="shared" si="59"/>
        <v>0.12</v>
      </c>
      <c r="BP156" s="161">
        <f t="shared" si="58"/>
        <v>0.12</v>
      </c>
      <c r="BQ156" s="161">
        <f t="shared" si="54"/>
        <v>0.12</v>
      </c>
      <c r="BR156" s="162">
        <f t="shared" si="47"/>
        <v>0.12</v>
      </c>
      <c r="BS156" s="161">
        <v>0.11</v>
      </c>
      <c r="BT156" s="161">
        <f t="shared" si="13"/>
        <v>0.11</v>
      </c>
      <c r="BU156" s="161">
        <f t="shared" si="13"/>
        <v>0.11</v>
      </c>
      <c r="BV156" s="161">
        <f t="shared" si="13"/>
        <v>0.11</v>
      </c>
      <c r="BW156" s="162">
        <f t="shared" si="13"/>
        <v>0.11</v>
      </c>
      <c r="BX156" s="161">
        <f t="shared" si="23"/>
        <v>0.11</v>
      </c>
      <c r="BY156" s="161">
        <f t="shared" si="55"/>
        <v>0.11</v>
      </c>
      <c r="BZ156" s="161">
        <f t="shared" si="51"/>
        <v>0.11</v>
      </c>
      <c r="CA156" s="161">
        <f t="shared" si="48"/>
        <v>0.11</v>
      </c>
      <c r="CB156" s="162">
        <f t="shared" si="45"/>
        <v>0.11</v>
      </c>
      <c r="CC156" s="161">
        <v>0.1</v>
      </c>
      <c r="CD156" s="161">
        <f>CD155</f>
        <v>0.1</v>
      </c>
      <c r="CE156" s="161">
        <f>CE155</f>
        <v>0.1</v>
      </c>
      <c r="CF156" s="161">
        <f t="shared" si="56"/>
        <v>0.1</v>
      </c>
      <c r="CG156" s="162">
        <f t="shared" si="52"/>
        <v>0.1</v>
      </c>
      <c r="CH156" s="161">
        <f t="shared" si="46"/>
        <v>0.1</v>
      </c>
      <c r="CI156" s="161">
        <f t="shared" si="39"/>
        <v>0.1</v>
      </c>
      <c r="CJ156" s="161">
        <f t="shared" si="31"/>
        <v>0.1</v>
      </c>
      <c r="CK156" s="161">
        <f>CK155</f>
        <v>0.09</v>
      </c>
      <c r="CL156" s="162">
        <f>CL155</f>
        <v>0.09</v>
      </c>
      <c r="CM156" s="161">
        <f t="shared" si="57"/>
        <v>0.09</v>
      </c>
      <c r="CN156" s="161">
        <f t="shared" si="53"/>
        <v>0.09</v>
      </c>
      <c r="CO156" s="161">
        <f t="shared" si="15"/>
        <v>0.09</v>
      </c>
      <c r="CP156" s="161">
        <f t="shared" si="15"/>
        <v>0.09</v>
      </c>
      <c r="CQ156" s="162">
        <f t="shared" si="16"/>
        <v>0.09</v>
      </c>
      <c r="CR156" s="161">
        <f t="shared" si="16"/>
        <v>0.09</v>
      </c>
      <c r="CS156" s="161">
        <f t="shared" si="17"/>
        <v>0.09</v>
      </c>
      <c r="CT156" s="161">
        <f t="shared" si="17"/>
        <v>0.09</v>
      </c>
      <c r="CU156" s="161">
        <f t="shared" si="17"/>
        <v>0.08</v>
      </c>
      <c r="CV156" s="161">
        <f t="shared" si="17"/>
        <v>0.08</v>
      </c>
      <c r="CW156" s="163">
        <f t="shared" si="17"/>
        <v>0.08</v>
      </c>
    </row>
    <row r="157" spans="1:101" ht="12.75">
      <c r="A157" s="2">
        <v>0.27</v>
      </c>
      <c r="B157" s="160">
        <v>1.57</v>
      </c>
      <c r="C157" s="161">
        <v>1.11</v>
      </c>
      <c r="D157" s="161">
        <v>0.92</v>
      </c>
      <c r="E157" s="162">
        <v>0.79</v>
      </c>
      <c r="F157" s="161">
        <v>0.7</v>
      </c>
      <c r="G157" s="161">
        <v>0.64</v>
      </c>
      <c r="H157" s="161">
        <v>0.59</v>
      </c>
      <c r="I157" s="161">
        <v>0.54</v>
      </c>
      <c r="J157" s="162">
        <v>0.51</v>
      </c>
      <c r="K157" s="161">
        <v>0.48</v>
      </c>
      <c r="L157" s="161">
        <v>0.46</v>
      </c>
      <c r="M157" s="161">
        <v>0.44</v>
      </c>
      <c r="N157" s="161">
        <f t="shared" si="2"/>
        <v>0.42</v>
      </c>
      <c r="O157" s="162">
        <v>0.4</v>
      </c>
      <c r="P157" s="161">
        <v>0.39</v>
      </c>
      <c r="Q157" s="161">
        <v>0.37</v>
      </c>
      <c r="R157" s="161">
        <f t="shared" si="27"/>
        <v>0.35</v>
      </c>
      <c r="S157" s="161">
        <f t="shared" si="27"/>
        <v>0.33</v>
      </c>
      <c r="T157" s="162">
        <v>0.32</v>
      </c>
      <c r="U157" s="161">
        <v>0.3</v>
      </c>
      <c r="V157" s="161">
        <v>0.29</v>
      </c>
      <c r="W157" s="161">
        <f>W156-0.01</f>
        <v>0.27999999999999997</v>
      </c>
      <c r="X157" s="161">
        <v>0.28</v>
      </c>
      <c r="Y157" s="162">
        <v>0.27</v>
      </c>
      <c r="Z157" s="161">
        <v>0.26</v>
      </c>
      <c r="AA157" s="161">
        <f t="shared" si="19"/>
        <v>0.26</v>
      </c>
      <c r="AB157" s="161">
        <f t="shared" si="19"/>
        <v>0.25</v>
      </c>
      <c r="AC157" s="161">
        <f t="shared" si="3"/>
        <v>0.24</v>
      </c>
      <c r="AD157" s="162">
        <v>0.23</v>
      </c>
      <c r="AE157" s="161">
        <f t="shared" si="3"/>
        <v>0.23</v>
      </c>
      <c r="AF157" s="161">
        <f t="shared" si="3"/>
        <v>0.22</v>
      </c>
      <c r="AG157" s="161">
        <f t="shared" si="4"/>
        <v>0.22</v>
      </c>
      <c r="AH157" s="161">
        <f t="shared" si="4"/>
        <v>0.21</v>
      </c>
      <c r="AI157" s="162">
        <f t="shared" si="5"/>
        <v>0.21</v>
      </c>
      <c r="AJ157" s="161">
        <f t="shared" si="5"/>
        <v>0.2</v>
      </c>
      <c r="AK157" s="161">
        <f t="shared" si="6"/>
        <v>0.2</v>
      </c>
      <c r="AL157" s="161">
        <f t="shared" si="6"/>
        <v>0.19</v>
      </c>
      <c r="AM157" s="161">
        <f t="shared" si="7"/>
        <v>0.19</v>
      </c>
      <c r="AN157" s="162">
        <f t="shared" si="7"/>
        <v>0.18</v>
      </c>
      <c r="AO157" s="161">
        <f t="shared" si="8"/>
        <v>0.18</v>
      </c>
      <c r="AP157" s="161">
        <f t="shared" si="8"/>
        <v>0.17</v>
      </c>
      <c r="AQ157" s="161">
        <f t="shared" si="9"/>
        <v>0.17</v>
      </c>
      <c r="AR157" s="161">
        <f t="shared" si="9"/>
        <v>0.17</v>
      </c>
      <c r="AS157" s="162">
        <v>0.16</v>
      </c>
      <c r="AT157" s="161">
        <f t="shared" si="9"/>
        <v>0.16</v>
      </c>
      <c r="AU157" s="161">
        <f t="shared" si="9"/>
        <v>0.16</v>
      </c>
      <c r="AV157" s="161">
        <v>0.15</v>
      </c>
      <c r="AW157" s="161">
        <f t="shared" si="10"/>
        <v>0.15</v>
      </c>
      <c r="AX157" s="162">
        <f t="shared" si="10"/>
        <v>0.15</v>
      </c>
      <c r="AY157" s="161">
        <v>0.14</v>
      </c>
      <c r="AZ157" s="161">
        <f t="shared" si="10"/>
        <v>0.14</v>
      </c>
      <c r="BA157" s="161">
        <f t="shared" si="10"/>
        <v>0.14</v>
      </c>
      <c r="BB157" s="161">
        <f t="shared" si="11"/>
        <v>0.14</v>
      </c>
      <c r="BC157" s="162">
        <f t="shared" si="11"/>
        <v>0.14</v>
      </c>
      <c r="BD157" s="161">
        <f t="shared" si="11"/>
        <v>0.14</v>
      </c>
      <c r="BE157" s="161">
        <f t="shared" si="11"/>
        <v>0.14</v>
      </c>
      <c r="BF157" s="161">
        <f t="shared" si="11"/>
        <v>0.14</v>
      </c>
      <c r="BG157" s="161">
        <f t="shared" si="50"/>
        <v>0.14</v>
      </c>
      <c r="BH157" s="162">
        <v>0.13</v>
      </c>
      <c r="BI157" s="161">
        <f>BI156</f>
        <v>0.13</v>
      </c>
      <c r="BJ157" s="161">
        <f>BJ156</f>
        <v>0.13</v>
      </c>
      <c r="BK157" s="161">
        <v>0.13</v>
      </c>
      <c r="BL157" s="161">
        <f>BL156</f>
        <v>0.13</v>
      </c>
      <c r="BM157" s="162">
        <f>BM156</f>
        <v>0.13</v>
      </c>
      <c r="BN157" s="161">
        <f aca="true" t="shared" si="60" ref="BN157:BN162">BN156</f>
        <v>0.12</v>
      </c>
      <c r="BO157" s="161">
        <f t="shared" si="59"/>
        <v>0.12</v>
      </c>
      <c r="BP157" s="161">
        <f t="shared" si="58"/>
        <v>0.12</v>
      </c>
      <c r="BQ157" s="161">
        <f t="shared" si="54"/>
        <v>0.12</v>
      </c>
      <c r="BR157" s="162">
        <f t="shared" si="47"/>
        <v>0.12</v>
      </c>
      <c r="BS157" s="161">
        <f aca="true" t="shared" si="61" ref="BS157:BS162">BS156</f>
        <v>0.11</v>
      </c>
      <c r="BT157" s="161">
        <f t="shared" si="13"/>
        <v>0.11</v>
      </c>
      <c r="BU157" s="161">
        <f t="shared" si="13"/>
        <v>0.11</v>
      </c>
      <c r="BV157" s="161">
        <f t="shared" si="13"/>
        <v>0.11</v>
      </c>
      <c r="BW157" s="162">
        <f t="shared" si="13"/>
        <v>0.11</v>
      </c>
      <c r="BX157" s="161">
        <f t="shared" si="23"/>
        <v>0.11</v>
      </c>
      <c r="BY157" s="161">
        <f t="shared" si="55"/>
        <v>0.11</v>
      </c>
      <c r="BZ157" s="161">
        <f t="shared" si="51"/>
        <v>0.11</v>
      </c>
      <c r="CA157" s="161">
        <f t="shared" si="48"/>
        <v>0.11</v>
      </c>
      <c r="CB157" s="162">
        <v>0.1</v>
      </c>
      <c r="CC157" s="161">
        <f>CC156</f>
        <v>0.1</v>
      </c>
      <c r="CD157" s="161">
        <f>CD156</f>
        <v>0.1</v>
      </c>
      <c r="CE157" s="161">
        <f>CE156</f>
        <v>0.1</v>
      </c>
      <c r="CF157" s="161">
        <f t="shared" si="56"/>
        <v>0.1</v>
      </c>
      <c r="CG157" s="162">
        <f t="shared" si="52"/>
        <v>0.1</v>
      </c>
      <c r="CH157" s="161">
        <f t="shared" si="46"/>
        <v>0.1</v>
      </c>
      <c r="CI157" s="161">
        <f t="shared" si="39"/>
        <v>0.1</v>
      </c>
      <c r="CJ157" s="161">
        <v>0.09</v>
      </c>
      <c r="CK157" s="161">
        <f>CK156</f>
        <v>0.09</v>
      </c>
      <c r="CL157" s="162">
        <f>CL156</f>
        <v>0.09</v>
      </c>
      <c r="CM157" s="161">
        <f t="shared" si="57"/>
        <v>0.09</v>
      </c>
      <c r="CN157" s="161">
        <f t="shared" si="53"/>
        <v>0.09</v>
      </c>
      <c r="CO157" s="161">
        <f t="shared" si="15"/>
        <v>0.09</v>
      </c>
      <c r="CP157" s="161">
        <f t="shared" si="15"/>
        <v>0.09</v>
      </c>
      <c r="CQ157" s="162">
        <f t="shared" si="16"/>
        <v>0.09</v>
      </c>
      <c r="CR157" s="161">
        <f t="shared" si="16"/>
        <v>0.09</v>
      </c>
      <c r="CS157" s="161">
        <f t="shared" si="17"/>
        <v>0.09</v>
      </c>
      <c r="CT157" s="161">
        <v>0.08</v>
      </c>
      <c r="CU157" s="161">
        <f t="shared" si="17"/>
        <v>0.08</v>
      </c>
      <c r="CV157" s="161">
        <f t="shared" si="17"/>
        <v>0.08</v>
      </c>
      <c r="CW157" s="163">
        <f t="shared" si="17"/>
        <v>0.08</v>
      </c>
    </row>
    <row r="158" spans="1:101" ht="12.75">
      <c r="A158" s="2">
        <v>0.28</v>
      </c>
      <c r="B158" s="160">
        <v>1.57</v>
      </c>
      <c r="C158" s="161">
        <v>1.1</v>
      </c>
      <c r="D158" s="161">
        <v>0.92</v>
      </c>
      <c r="E158" s="162">
        <v>0.79</v>
      </c>
      <c r="F158" s="161">
        <v>0.7</v>
      </c>
      <c r="G158" s="161">
        <v>0.63</v>
      </c>
      <c r="H158" s="161">
        <v>0.58</v>
      </c>
      <c r="I158" s="161">
        <v>0.53</v>
      </c>
      <c r="J158" s="162">
        <v>0.5</v>
      </c>
      <c r="K158" s="161">
        <f t="shared" si="18"/>
        <v>0.47</v>
      </c>
      <c r="L158" s="161">
        <f t="shared" si="2"/>
        <v>0.45</v>
      </c>
      <c r="M158" s="161">
        <v>0.44</v>
      </c>
      <c r="N158" s="161">
        <v>0.42</v>
      </c>
      <c r="O158" s="162">
        <v>0.4</v>
      </c>
      <c r="P158" s="161">
        <f t="shared" si="27"/>
        <v>0.38</v>
      </c>
      <c r="Q158" s="161">
        <v>0.37</v>
      </c>
      <c r="R158" s="161">
        <v>0.35</v>
      </c>
      <c r="S158" s="161">
        <v>0.33</v>
      </c>
      <c r="T158" s="162">
        <f>T157-0.01</f>
        <v>0.31</v>
      </c>
      <c r="U158" s="161">
        <v>0.3</v>
      </c>
      <c r="V158" s="161">
        <v>0.29</v>
      </c>
      <c r="W158" s="161">
        <v>0.28</v>
      </c>
      <c r="X158" s="161">
        <f>X157-0.01</f>
        <v>0.27</v>
      </c>
      <c r="Y158" s="162">
        <v>0.27</v>
      </c>
      <c r="Z158" s="161">
        <f t="shared" si="19"/>
        <v>0.26</v>
      </c>
      <c r="AA158" s="161">
        <v>0.25</v>
      </c>
      <c r="AB158" s="161">
        <f t="shared" si="19"/>
        <v>0.25</v>
      </c>
      <c r="AC158" s="161">
        <f t="shared" si="3"/>
        <v>0.24</v>
      </c>
      <c r="AD158" s="162">
        <f t="shared" si="3"/>
        <v>0.23</v>
      </c>
      <c r="AE158" s="161">
        <v>0.22</v>
      </c>
      <c r="AF158" s="161">
        <f t="shared" si="3"/>
        <v>0.22</v>
      </c>
      <c r="AG158" s="161">
        <v>0.21</v>
      </c>
      <c r="AH158" s="161">
        <f t="shared" si="4"/>
        <v>0.21</v>
      </c>
      <c r="AI158" s="162">
        <v>0.2</v>
      </c>
      <c r="AJ158" s="161">
        <f t="shared" si="5"/>
        <v>0.2</v>
      </c>
      <c r="AK158" s="161">
        <v>0.19</v>
      </c>
      <c r="AL158" s="161">
        <f t="shared" si="6"/>
        <v>0.19</v>
      </c>
      <c r="AM158" s="161">
        <v>0.18</v>
      </c>
      <c r="AN158" s="162">
        <f t="shared" si="7"/>
        <v>0.18</v>
      </c>
      <c r="AO158" s="161">
        <v>0.17</v>
      </c>
      <c r="AP158" s="161">
        <f t="shared" si="8"/>
        <v>0.17</v>
      </c>
      <c r="AQ158" s="161">
        <f t="shared" si="9"/>
        <v>0.17</v>
      </c>
      <c r="AR158" s="161">
        <v>0.16</v>
      </c>
      <c r="AS158" s="162">
        <f t="shared" si="9"/>
        <v>0.16</v>
      </c>
      <c r="AT158" s="161">
        <f t="shared" si="9"/>
        <v>0.16</v>
      </c>
      <c r="AU158" s="161">
        <f t="shared" si="9"/>
        <v>0.16</v>
      </c>
      <c r="AV158" s="161">
        <f t="shared" si="9"/>
        <v>0.15</v>
      </c>
      <c r="AW158" s="161">
        <f t="shared" si="10"/>
        <v>0.15</v>
      </c>
      <c r="AX158" s="162">
        <f t="shared" si="10"/>
        <v>0.15</v>
      </c>
      <c r="AY158" s="161">
        <f t="shared" si="10"/>
        <v>0.14</v>
      </c>
      <c r="AZ158" s="161">
        <f t="shared" si="10"/>
        <v>0.14</v>
      </c>
      <c r="BA158" s="161">
        <f t="shared" si="10"/>
        <v>0.14</v>
      </c>
      <c r="BB158" s="161">
        <f t="shared" si="11"/>
        <v>0.14</v>
      </c>
      <c r="BC158" s="162">
        <f t="shared" si="11"/>
        <v>0.14</v>
      </c>
      <c r="BD158" s="161">
        <f t="shared" si="11"/>
        <v>0.14</v>
      </c>
      <c r="BE158" s="161">
        <f t="shared" si="11"/>
        <v>0.14</v>
      </c>
      <c r="BF158" s="161">
        <f t="shared" si="11"/>
        <v>0.14</v>
      </c>
      <c r="BG158" s="161">
        <v>0.13</v>
      </c>
      <c r="BH158" s="162">
        <f aca="true" t="shared" si="62" ref="BH158:BH163">BH157</f>
        <v>0.13</v>
      </c>
      <c r="BI158" s="161">
        <f>BI157</f>
        <v>0.13</v>
      </c>
      <c r="BJ158" s="161">
        <f>BJ157</f>
        <v>0.13</v>
      </c>
      <c r="BK158" s="161">
        <f>BK157</f>
        <v>0.13</v>
      </c>
      <c r="BL158" s="161">
        <f>BL157</f>
        <v>0.13</v>
      </c>
      <c r="BM158" s="162">
        <v>0.12</v>
      </c>
      <c r="BN158" s="161">
        <f t="shared" si="60"/>
        <v>0.12</v>
      </c>
      <c r="BO158" s="161">
        <f t="shared" si="59"/>
        <v>0.12</v>
      </c>
      <c r="BP158" s="161">
        <f t="shared" si="58"/>
        <v>0.12</v>
      </c>
      <c r="BQ158" s="161">
        <f t="shared" si="54"/>
        <v>0.12</v>
      </c>
      <c r="BR158" s="162">
        <v>0.11</v>
      </c>
      <c r="BS158" s="161">
        <f t="shared" si="61"/>
        <v>0.11</v>
      </c>
      <c r="BT158" s="161">
        <f t="shared" si="13"/>
        <v>0.11</v>
      </c>
      <c r="BU158" s="161">
        <f t="shared" si="13"/>
        <v>0.11</v>
      </c>
      <c r="BV158" s="161">
        <f t="shared" si="13"/>
        <v>0.11</v>
      </c>
      <c r="BW158" s="162">
        <f t="shared" si="13"/>
        <v>0.11</v>
      </c>
      <c r="BX158" s="161">
        <f t="shared" si="23"/>
        <v>0.11</v>
      </c>
      <c r="BY158" s="161">
        <f t="shared" si="55"/>
        <v>0.11</v>
      </c>
      <c r="BZ158" s="161">
        <f t="shared" si="51"/>
        <v>0.11</v>
      </c>
      <c r="CA158" s="161">
        <v>0.1</v>
      </c>
      <c r="CB158" s="162">
        <f>CB157</f>
        <v>0.1</v>
      </c>
      <c r="CC158" s="161">
        <f>CC157</f>
        <v>0.1</v>
      </c>
      <c r="CD158" s="161">
        <f>CD157</f>
        <v>0.1</v>
      </c>
      <c r="CE158" s="161">
        <f aca="true" t="shared" si="63" ref="CE158:CN180">CE157</f>
        <v>0.1</v>
      </c>
      <c r="CF158" s="161">
        <f t="shared" si="63"/>
        <v>0.1</v>
      </c>
      <c r="CG158" s="162">
        <f t="shared" si="63"/>
        <v>0.1</v>
      </c>
      <c r="CH158" s="161">
        <f t="shared" si="63"/>
        <v>0.1</v>
      </c>
      <c r="CI158" s="161">
        <f t="shared" si="63"/>
        <v>0.1</v>
      </c>
      <c r="CJ158" s="161">
        <f t="shared" si="63"/>
        <v>0.09</v>
      </c>
      <c r="CK158" s="161">
        <f t="shared" si="63"/>
        <v>0.09</v>
      </c>
      <c r="CL158" s="162">
        <f t="shared" si="63"/>
        <v>0.09</v>
      </c>
      <c r="CM158" s="161">
        <f t="shared" si="63"/>
        <v>0.09</v>
      </c>
      <c r="CN158" s="161">
        <f t="shared" si="63"/>
        <v>0.09</v>
      </c>
      <c r="CO158" s="161">
        <f t="shared" si="15"/>
        <v>0.09</v>
      </c>
      <c r="CP158" s="161">
        <f t="shared" si="15"/>
        <v>0.09</v>
      </c>
      <c r="CQ158" s="162">
        <f t="shared" si="16"/>
        <v>0.09</v>
      </c>
      <c r="CR158" s="161">
        <f t="shared" si="16"/>
        <v>0.09</v>
      </c>
      <c r="CS158" s="161">
        <f t="shared" si="17"/>
        <v>0.09</v>
      </c>
      <c r="CT158" s="161">
        <f t="shared" si="17"/>
        <v>0.08</v>
      </c>
      <c r="CU158" s="161">
        <f t="shared" si="17"/>
        <v>0.08</v>
      </c>
      <c r="CV158" s="161">
        <f t="shared" si="17"/>
        <v>0.08</v>
      </c>
      <c r="CW158" s="163">
        <f t="shared" si="17"/>
        <v>0.08</v>
      </c>
    </row>
    <row r="159" spans="1:101" ht="13.5" thickBot="1">
      <c r="A159" s="2">
        <v>0.29</v>
      </c>
      <c r="B159" s="164">
        <v>1.57</v>
      </c>
      <c r="C159" s="165">
        <v>1.09</v>
      </c>
      <c r="D159" s="165">
        <v>0.91</v>
      </c>
      <c r="E159" s="166">
        <v>0.78</v>
      </c>
      <c r="F159" s="165">
        <v>0.69</v>
      </c>
      <c r="G159" s="165">
        <v>0.63</v>
      </c>
      <c r="H159" s="165">
        <v>0.58</v>
      </c>
      <c r="I159" s="165">
        <v>0.53</v>
      </c>
      <c r="J159" s="166">
        <v>0.5</v>
      </c>
      <c r="K159" s="167">
        <v>0.47</v>
      </c>
      <c r="L159" s="165">
        <v>0.45</v>
      </c>
      <c r="M159" s="165">
        <v>0.43</v>
      </c>
      <c r="N159" s="165">
        <f t="shared" si="2"/>
        <v>0.41</v>
      </c>
      <c r="O159" s="166">
        <v>0.4</v>
      </c>
      <c r="P159" s="167">
        <v>0.38</v>
      </c>
      <c r="Q159" s="165">
        <f t="shared" si="27"/>
        <v>0.36</v>
      </c>
      <c r="R159" s="165">
        <f t="shared" si="27"/>
        <v>0.33999999999999997</v>
      </c>
      <c r="S159" s="165">
        <v>0.33</v>
      </c>
      <c r="T159" s="166">
        <v>0.31</v>
      </c>
      <c r="U159" s="165">
        <f>U158-0.01</f>
        <v>0.29</v>
      </c>
      <c r="V159" s="165">
        <v>0.29</v>
      </c>
      <c r="W159" s="165">
        <v>0.28</v>
      </c>
      <c r="X159" s="165">
        <v>0.27</v>
      </c>
      <c r="Y159" s="166">
        <f>Y158-0.01</f>
        <v>0.26</v>
      </c>
      <c r="Z159" s="167">
        <f t="shared" si="19"/>
        <v>0.26</v>
      </c>
      <c r="AA159" s="165">
        <f t="shared" si="19"/>
        <v>0.25</v>
      </c>
      <c r="AB159" s="165">
        <v>0.24</v>
      </c>
      <c r="AC159" s="165">
        <f t="shared" si="3"/>
        <v>0.24</v>
      </c>
      <c r="AD159" s="166">
        <f t="shared" si="3"/>
        <v>0.23</v>
      </c>
      <c r="AE159" s="165">
        <f t="shared" si="3"/>
        <v>0.22</v>
      </c>
      <c r="AF159" s="165">
        <f t="shared" si="3"/>
        <v>0.22</v>
      </c>
      <c r="AG159" s="165">
        <f t="shared" si="4"/>
        <v>0.21</v>
      </c>
      <c r="AH159" s="165">
        <f t="shared" si="4"/>
        <v>0.21</v>
      </c>
      <c r="AI159" s="166">
        <f t="shared" si="5"/>
        <v>0.2</v>
      </c>
      <c r="AJ159" s="165">
        <f t="shared" si="5"/>
        <v>0.2</v>
      </c>
      <c r="AK159" s="165">
        <f t="shared" si="6"/>
        <v>0.19</v>
      </c>
      <c r="AL159" s="165">
        <f t="shared" si="6"/>
        <v>0.19</v>
      </c>
      <c r="AM159" s="165">
        <f t="shared" si="7"/>
        <v>0.18</v>
      </c>
      <c r="AN159" s="166">
        <f t="shared" si="7"/>
        <v>0.18</v>
      </c>
      <c r="AO159" s="165">
        <f t="shared" si="8"/>
        <v>0.17</v>
      </c>
      <c r="AP159" s="165">
        <f t="shared" si="8"/>
        <v>0.17</v>
      </c>
      <c r="AQ159" s="165">
        <f t="shared" si="9"/>
        <v>0.17</v>
      </c>
      <c r="AR159" s="165">
        <f t="shared" si="9"/>
        <v>0.16</v>
      </c>
      <c r="AS159" s="166">
        <f t="shared" si="9"/>
        <v>0.16</v>
      </c>
      <c r="AT159" s="165">
        <f t="shared" si="9"/>
        <v>0.16</v>
      </c>
      <c r="AU159" s="165">
        <v>0.15</v>
      </c>
      <c r="AV159" s="165">
        <f t="shared" si="9"/>
        <v>0.15</v>
      </c>
      <c r="AW159" s="165">
        <f t="shared" si="10"/>
        <v>0.15</v>
      </c>
      <c r="AX159" s="166">
        <v>0.14</v>
      </c>
      <c r="AY159" s="165">
        <f t="shared" si="10"/>
        <v>0.14</v>
      </c>
      <c r="AZ159" s="165">
        <f t="shared" si="10"/>
        <v>0.14</v>
      </c>
      <c r="BA159" s="165">
        <f t="shared" si="10"/>
        <v>0.14</v>
      </c>
      <c r="BB159" s="165">
        <f t="shared" si="11"/>
        <v>0.14</v>
      </c>
      <c r="BC159" s="166">
        <f t="shared" si="11"/>
        <v>0.14</v>
      </c>
      <c r="BD159" s="165">
        <f t="shared" si="11"/>
        <v>0.14</v>
      </c>
      <c r="BE159" s="165">
        <f t="shared" si="11"/>
        <v>0.14</v>
      </c>
      <c r="BF159" s="165">
        <v>0.13</v>
      </c>
      <c r="BG159" s="165">
        <f>BG158</f>
        <v>0.13</v>
      </c>
      <c r="BH159" s="166">
        <f t="shared" si="62"/>
        <v>0.13</v>
      </c>
      <c r="BI159" s="165">
        <f>BI158</f>
        <v>0.13</v>
      </c>
      <c r="BJ159" s="165">
        <v>0.13</v>
      </c>
      <c r="BK159" s="165">
        <f>BK158</f>
        <v>0.13</v>
      </c>
      <c r="BL159" s="165">
        <f>BL158</f>
        <v>0.13</v>
      </c>
      <c r="BM159" s="166">
        <f>BM158</f>
        <v>0.12</v>
      </c>
      <c r="BN159" s="165">
        <f t="shared" si="60"/>
        <v>0.12</v>
      </c>
      <c r="BO159" s="165">
        <f t="shared" si="59"/>
        <v>0.12</v>
      </c>
      <c r="BP159" s="165">
        <f t="shared" si="58"/>
        <v>0.12</v>
      </c>
      <c r="BQ159" s="165">
        <f t="shared" si="54"/>
        <v>0.12</v>
      </c>
      <c r="BR159" s="166">
        <f>BR158</f>
        <v>0.11</v>
      </c>
      <c r="BS159" s="165">
        <f t="shared" si="61"/>
        <v>0.11</v>
      </c>
      <c r="BT159" s="165">
        <f t="shared" si="13"/>
        <v>0.11</v>
      </c>
      <c r="BU159" s="165">
        <f t="shared" si="13"/>
        <v>0.11</v>
      </c>
      <c r="BV159" s="165">
        <f t="shared" si="13"/>
        <v>0.11</v>
      </c>
      <c r="BW159" s="166">
        <f t="shared" si="13"/>
        <v>0.11</v>
      </c>
      <c r="BX159" s="165">
        <f t="shared" si="23"/>
        <v>0.11</v>
      </c>
      <c r="BY159" s="165">
        <f t="shared" si="23"/>
        <v>0.11</v>
      </c>
      <c r="BZ159" s="165">
        <v>0.1</v>
      </c>
      <c r="CA159" s="165">
        <f aca="true" t="shared" si="64" ref="CA159:CD180">CA158</f>
        <v>0.1</v>
      </c>
      <c r="CB159" s="166">
        <f t="shared" si="64"/>
        <v>0.1</v>
      </c>
      <c r="CC159" s="165">
        <f t="shared" si="64"/>
        <v>0.1</v>
      </c>
      <c r="CD159" s="165">
        <f t="shared" si="64"/>
        <v>0.1</v>
      </c>
      <c r="CE159" s="165">
        <f t="shared" si="63"/>
        <v>0.1</v>
      </c>
      <c r="CF159" s="165">
        <f t="shared" si="63"/>
        <v>0.1</v>
      </c>
      <c r="CG159" s="166">
        <f t="shared" si="63"/>
        <v>0.1</v>
      </c>
      <c r="CH159" s="165">
        <f t="shared" si="63"/>
        <v>0.1</v>
      </c>
      <c r="CI159" s="165">
        <v>0.09</v>
      </c>
      <c r="CJ159" s="165">
        <f t="shared" si="63"/>
        <v>0.09</v>
      </c>
      <c r="CK159" s="165">
        <f t="shared" si="63"/>
        <v>0.09</v>
      </c>
      <c r="CL159" s="166">
        <f t="shared" si="63"/>
        <v>0.09</v>
      </c>
      <c r="CM159" s="165">
        <f t="shared" si="63"/>
        <v>0.09</v>
      </c>
      <c r="CN159" s="165">
        <f t="shared" si="63"/>
        <v>0.09</v>
      </c>
      <c r="CO159" s="165">
        <f t="shared" si="15"/>
        <v>0.09</v>
      </c>
      <c r="CP159" s="165">
        <f t="shared" si="15"/>
        <v>0.09</v>
      </c>
      <c r="CQ159" s="166">
        <f t="shared" si="16"/>
        <v>0.09</v>
      </c>
      <c r="CR159" s="165">
        <f t="shared" si="16"/>
        <v>0.09</v>
      </c>
      <c r="CS159" s="165">
        <v>0.08</v>
      </c>
      <c r="CT159" s="165">
        <f t="shared" si="17"/>
        <v>0.08</v>
      </c>
      <c r="CU159" s="165">
        <f t="shared" si="17"/>
        <v>0.08</v>
      </c>
      <c r="CV159" s="165">
        <f t="shared" si="17"/>
        <v>0.08</v>
      </c>
      <c r="CW159" s="168">
        <f t="shared" si="17"/>
        <v>0.08</v>
      </c>
    </row>
    <row r="160" spans="1:101" ht="12.75">
      <c r="A160" s="2">
        <v>0.3</v>
      </c>
      <c r="B160" s="160">
        <v>1.57</v>
      </c>
      <c r="C160" s="161">
        <v>1.08</v>
      </c>
      <c r="D160" s="161">
        <v>0.9</v>
      </c>
      <c r="E160" s="162">
        <v>0.77</v>
      </c>
      <c r="F160" s="161">
        <v>0.68</v>
      </c>
      <c r="G160" s="161">
        <v>0.62</v>
      </c>
      <c r="H160" s="161">
        <v>0.57</v>
      </c>
      <c r="I160" s="161">
        <v>0.52</v>
      </c>
      <c r="J160" s="162">
        <v>0.49</v>
      </c>
      <c r="K160" s="161">
        <f t="shared" si="18"/>
        <v>0.45999999999999996</v>
      </c>
      <c r="L160" s="161">
        <f t="shared" si="2"/>
        <v>0.44</v>
      </c>
      <c r="M160" s="161">
        <v>0.43</v>
      </c>
      <c r="N160" s="161">
        <v>0.41</v>
      </c>
      <c r="O160" s="162">
        <f>O159-0.01</f>
        <v>0.39</v>
      </c>
      <c r="P160" s="161">
        <v>0.38</v>
      </c>
      <c r="Q160" s="161">
        <v>0.36</v>
      </c>
      <c r="R160" s="161">
        <v>0.34</v>
      </c>
      <c r="S160" s="161">
        <f t="shared" si="27"/>
        <v>0.32</v>
      </c>
      <c r="T160" s="162">
        <v>0.31</v>
      </c>
      <c r="U160" s="161">
        <v>0.29</v>
      </c>
      <c r="V160" s="161">
        <f>V159-0.01</f>
        <v>0.27999999999999997</v>
      </c>
      <c r="W160" s="161">
        <v>0.28</v>
      </c>
      <c r="X160" s="161">
        <v>0.27</v>
      </c>
      <c r="Y160" s="162">
        <v>0.26</v>
      </c>
      <c r="Z160" s="161">
        <v>0.25</v>
      </c>
      <c r="AA160" s="161">
        <f t="shared" si="19"/>
        <v>0.25</v>
      </c>
      <c r="AB160" s="161">
        <f t="shared" si="19"/>
        <v>0.24</v>
      </c>
      <c r="AC160" s="161">
        <v>0.23</v>
      </c>
      <c r="AD160" s="162">
        <f t="shared" si="3"/>
        <v>0.23</v>
      </c>
      <c r="AE160" s="161">
        <f t="shared" si="3"/>
        <v>0.22</v>
      </c>
      <c r="AF160" s="161">
        <f t="shared" si="3"/>
        <v>0.22</v>
      </c>
      <c r="AG160" s="161">
        <f t="shared" si="4"/>
        <v>0.21</v>
      </c>
      <c r="AH160" s="161">
        <f t="shared" si="4"/>
        <v>0.21</v>
      </c>
      <c r="AI160" s="162">
        <f t="shared" si="5"/>
        <v>0.2</v>
      </c>
      <c r="AJ160" s="161">
        <f t="shared" si="5"/>
        <v>0.2</v>
      </c>
      <c r="AK160" s="161">
        <f t="shared" si="6"/>
        <v>0.19</v>
      </c>
      <c r="AL160" s="161">
        <f t="shared" si="6"/>
        <v>0.19</v>
      </c>
      <c r="AM160" s="161">
        <f t="shared" si="7"/>
        <v>0.18</v>
      </c>
      <c r="AN160" s="162">
        <f t="shared" si="7"/>
        <v>0.18</v>
      </c>
      <c r="AO160" s="161">
        <f t="shared" si="8"/>
        <v>0.17</v>
      </c>
      <c r="AP160" s="161">
        <f t="shared" si="8"/>
        <v>0.17</v>
      </c>
      <c r="AQ160" s="161">
        <v>0.16</v>
      </c>
      <c r="AR160" s="161">
        <v>0.16</v>
      </c>
      <c r="AS160" s="162">
        <v>0.16</v>
      </c>
      <c r="AT160" s="161">
        <f t="shared" si="9"/>
        <v>0.16</v>
      </c>
      <c r="AU160" s="161">
        <f t="shared" si="9"/>
        <v>0.15</v>
      </c>
      <c r="AV160" s="161">
        <f t="shared" si="9"/>
        <v>0.15</v>
      </c>
      <c r="AW160" s="161">
        <f t="shared" si="10"/>
        <v>0.15</v>
      </c>
      <c r="AX160" s="162">
        <f t="shared" si="10"/>
        <v>0.14</v>
      </c>
      <c r="AY160" s="161">
        <f t="shared" si="10"/>
        <v>0.14</v>
      </c>
      <c r="AZ160" s="161">
        <f t="shared" si="10"/>
        <v>0.14</v>
      </c>
      <c r="BA160" s="161">
        <f t="shared" si="10"/>
        <v>0.14</v>
      </c>
      <c r="BB160" s="161">
        <f t="shared" si="11"/>
        <v>0.14</v>
      </c>
      <c r="BC160" s="162">
        <f t="shared" si="11"/>
        <v>0.14</v>
      </c>
      <c r="BD160" s="161">
        <f t="shared" si="11"/>
        <v>0.14</v>
      </c>
      <c r="BE160" s="161">
        <v>0.13</v>
      </c>
      <c r="BF160" s="161">
        <f t="shared" si="11"/>
        <v>0.13</v>
      </c>
      <c r="BG160" s="161">
        <f>BG159</f>
        <v>0.13</v>
      </c>
      <c r="BH160" s="162">
        <f t="shared" si="62"/>
        <v>0.13</v>
      </c>
      <c r="BI160" s="161">
        <f>BI159</f>
        <v>0.13</v>
      </c>
      <c r="BJ160" s="161">
        <f>BJ159</f>
        <v>0.13</v>
      </c>
      <c r="BK160" s="161">
        <f>BK159</f>
        <v>0.13</v>
      </c>
      <c r="BL160" s="161">
        <v>0.12</v>
      </c>
      <c r="BM160" s="162">
        <f>BM159</f>
        <v>0.12</v>
      </c>
      <c r="BN160" s="161">
        <f t="shared" si="60"/>
        <v>0.12</v>
      </c>
      <c r="BO160" s="161">
        <f t="shared" si="59"/>
        <v>0.12</v>
      </c>
      <c r="BP160" s="161">
        <f t="shared" si="58"/>
        <v>0.12</v>
      </c>
      <c r="BQ160" s="161">
        <v>0.11</v>
      </c>
      <c r="BR160" s="162">
        <f>BR159</f>
        <v>0.11</v>
      </c>
      <c r="BS160" s="161">
        <f t="shared" si="61"/>
        <v>0.11</v>
      </c>
      <c r="BT160" s="161">
        <f t="shared" si="13"/>
        <v>0.11</v>
      </c>
      <c r="BU160" s="161">
        <f t="shared" si="13"/>
        <v>0.11</v>
      </c>
      <c r="BV160" s="161">
        <f t="shared" si="13"/>
        <v>0.11</v>
      </c>
      <c r="BW160" s="162">
        <f t="shared" si="13"/>
        <v>0.11</v>
      </c>
      <c r="BX160" s="161">
        <f t="shared" si="23"/>
        <v>0.11</v>
      </c>
      <c r="BY160" s="161">
        <v>0.1</v>
      </c>
      <c r="BZ160" s="161">
        <f aca="true" t="shared" si="65" ref="BZ160:BZ180">BZ159</f>
        <v>0.1</v>
      </c>
      <c r="CA160" s="161">
        <f t="shared" si="64"/>
        <v>0.1</v>
      </c>
      <c r="CB160" s="162">
        <f t="shared" si="64"/>
        <v>0.1</v>
      </c>
      <c r="CC160" s="161">
        <f t="shared" si="64"/>
        <v>0.1</v>
      </c>
      <c r="CD160" s="161">
        <f t="shared" si="64"/>
        <v>0.1</v>
      </c>
      <c r="CE160" s="161">
        <f t="shared" si="63"/>
        <v>0.1</v>
      </c>
      <c r="CF160" s="161">
        <f t="shared" si="63"/>
        <v>0.1</v>
      </c>
      <c r="CG160" s="162">
        <f t="shared" si="63"/>
        <v>0.1</v>
      </c>
      <c r="CH160" s="161">
        <f t="shared" si="63"/>
        <v>0.1</v>
      </c>
      <c r="CI160" s="161">
        <f t="shared" si="63"/>
        <v>0.09</v>
      </c>
      <c r="CJ160" s="161">
        <f t="shared" si="63"/>
        <v>0.09</v>
      </c>
      <c r="CK160" s="161">
        <f t="shared" si="63"/>
        <v>0.09</v>
      </c>
      <c r="CL160" s="162">
        <f t="shared" si="63"/>
        <v>0.09</v>
      </c>
      <c r="CM160" s="161">
        <f t="shared" si="63"/>
        <v>0.09</v>
      </c>
      <c r="CN160" s="161">
        <f t="shared" si="63"/>
        <v>0.09</v>
      </c>
      <c r="CO160" s="161">
        <f t="shared" si="15"/>
        <v>0.09</v>
      </c>
      <c r="CP160" s="161">
        <f t="shared" si="15"/>
        <v>0.09</v>
      </c>
      <c r="CQ160" s="162">
        <f t="shared" si="16"/>
        <v>0.09</v>
      </c>
      <c r="CR160" s="161">
        <f t="shared" si="16"/>
        <v>0.09</v>
      </c>
      <c r="CS160" s="161">
        <f t="shared" si="17"/>
        <v>0.08</v>
      </c>
      <c r="CT160" s="161">
        <f t="shared" si="17"/>
        <v>0.08</v>
      </c>
      <c r="CU160" s="161">
        <f t="shared" si="17"/>
        <v>0.08</v>
      </c>
      <c r="CV160" s="161">
        <f t="shared" si="17"/>
        <v>0.08</v>
      </c>
      <c r="CW160" s="163">
        <f t="shared" si="17"/>
        <v>0.08</v>
      </c>
    </row>
    <row r="161" spans="1:101" ht="12.75">
      <c r="A161" s="2">
        <v>0.31</v>
      </c>
      <c r="B161" s="160">
        <v>1.53</v>
      </c>
      <c r="C161" s="161">
        <v>1.06</v>
      </c>
      <c r="D161" s="161">
        <v>0.88</v>
      </c>
      <c r="E161" s="162">
        <v>0.76</v>
      </c>
      <c r="F161" s="161">
        <v>0.67</v>
      </c>
      <c r="G161" s="161">
        <v>0.61</v>
      </c>
      <c r="H161" s="161">
        <v>0.56</v>
      </c>
      <c r="I161" s="161">
        <v>0.51</v>
      </c>
      <c r="J161" s="162">
        <v>0.48</v>
      </c>
      <c r="K161" s="161">
        <f t="shared" si="18"/>
        <v>0.44999999999999996</v>
      </c>
      <c r="L161" s="161">
        <f t="shared" si="2"/>
        <v>0.43</v>
      </c>
      <c r="M161" s="161">
        <f t="shared" si="2"/>
        <v>0.42</v>
      </c>
      <c r="N161" s="161">
        <f t="shared" si="2"/>
        <v>0.39999999999999997</v>
      </c>
      <c r="O161" s="162">
        <v>0.38</v>
      </c>
      <c r="P161" s="161">
        <f t="shared" si="27"/>
        <v>0.37</v>
      </c>
      <c r="Q161" s="161">
        <f t="shared" si="27"/>
        <v>0.35</v>
      </c>
      <c r="R161" s="161">
        <f t="shared" si="27"/>
        <v>0.33</v>
      </c>
      <c r="S161" s="161">
        <v>0.32</v>
      </c>
      <c r="T161" s="162">
        <f>T160-0.01</f>
        <v>0.3</v>
      </c>
      <c r="U161" s="161">
        <f>U160-0.01</f>
        <v>0.27999999999999997</v>
      </c>
      <c r="V161" s="161">
        <v>0.28</v>
      </c>
      <c r="W161" s="161">
        <v>0.27</v>
      </c>
      <c r="X161" s="161">
        <f>X160-0.01</f>
        <v>0.26</v>
      </c>
      <c r="Y161" s="162">
        <v>0.26</v>
      </c>
      <c r="Z161" s="161">
        <f t="shared" si="19"/>
        <v>0.25</v>
      </c>
      <c r="AA161" s="161">
        <v>0.24</v>
      </c>
      <c r="AB161" s="161">
        <f t="shared" si="19"/>
        <v>0.24</v>
      </c>
      <c r="AC161" s="161">
        <f t="shared" si="3"/>
        <v>0.23</v>
      </c>
      <c r="AD161" s="162">
        <v>0.22</v>
      </c>
      <c r="AE161" s="161">
        <f t="shared" si="3"/>
        <v>0.22</v>
      </c>
      <c r="AF161" s="161">
        <v>0.21</v>
      </c>
      <c r="AG161" s="161">
        <f t="shared" si="4"/>
        <v>0.21</v>
      </c>
      <c r="AH161" s="161">
        <v>0.2</v>
      </c>
      <c r="AI161" s="162">
        <f t="shared" si="5"/>
        <v>0.2</v>
      </c>
      <c r="AJ161" s="161">
        <v>0.19</v>
      </c>
      <c r="AK161" s="161">
        <f t="shared" si="6"/>
        <v>0.19</v>
      </c>
      <c r="AL161" s="161">
        <v>0.18</v>
      </c>
      <c r="AM161" s="161">
        <f t="shared" si="7"/>
        <v>0.18</v>
      </c>
      <c r="AN161" s="162">
        <v>0.17</v>
      </c>
      <c r="AO161" s="161">
        <f t="shared" si="8"/>
        <v>0.17</v>
      </c>
      <c r="AP161" s="161">
        <f t="shared" si="8"/>
        <v>0.17</v>
      </c>
      <c r="AQ161" s="161">
        <f t="shared" si="9"/>
        <v>0.16</v>
      </c>
      <c r="AR161" s="161">
        <f t="shared" si="9"/>
        <v>0.16</v>
      </c>
      <c r="AS161" s="162">
        <f t="shared" si="9"/>
        <v>0.16</v>
      </c>
      <c r="AT161" s="161">
        <v>0.15</v>
      </c>
      <c r="AU161" s="161">
        <f t="shared" si="9"/>
        <v>0.15</v>
      </c>
      <c r="AV161" s="161">
        <f t="shared" si="9"/>
        <v>0.15</v>
      </c>
      <c r="AW161" s="161">
        <f t="shared" si="10"/>
        <v>0.15</v>
      </c>
      <c r="AX161" s="162">
        <f t="shared" si="10"/>
        <v>0.14</v>
      </c>
      <c r="AY161" s="161">
        <f t="shared" si="10"/>
        <v>0.14</v>
      </c>
      <c r="AZ161" s="161">
        <f t="shared" si="10"/>
        <v>0.14</v>
      </c>
      <c r="BA161" s="161">
        <f t="shared" si="10"/>
        <v>0.14</v>
      </c>
      <c r="BB161" s="161">
        <f t="shared" si="11"/>
        <v>0.14</v>
      </c>
      <c r="BC161" s="162">
        <f t="shared" si="11"/>
        <v>0.14</v>
      </c>
      <c r="BD161" s="161">
        <v>0.13</v>
      </c>
      <c r="BE161" s="161">
        <f t="shared" si="11"/>
        <v>0.13</v>
      </c>
      <c r="BF161" s="161">
        <f t="shared" si="11"/>
        <v>0.13</v>
      </c>
      <c r="BG161" s="161">
        <f>BG160</f>
        <v>0.13</v>
      </c>
      <c r="BH161" s="162">
        <f t="shared" si="62"/>
        <v>0.13</v>
      </c>
      <c r="BI161" s="161">
        <v>0.13</v>
      </c>
      <c r="BJ161" s="161">
        <f>BJ160</f>
        <v>0.13</v>
      </c>
      <c r="BK161" s="161">
        <v>0.12</v>
      </c>
      <c r="BL161" s="161">
        <f>BL160</f>
        <v>0.12</v>
      </c>
      <c r="BM161" s="162">
        <f>BM160</f>
        <v>0.12</v>
      </c>
      <c r="BN161" s="161">
        <f t="shared" si="60"/>
        <v>0.12</v>
      </c>
      <c r="BO161" s="161">
        <f t="shared" si="59"/>
        <v>0.12</v>
      </c>
      <c r="BP161" s="161">
        <f t="shared" si="58"/>
        <v>0.12</v>
      </c>
      <c r="BQ161" s="161">
        <f>BQ160</f>
        <v>0.11</v>
      </c>
      <c r="BR161" s="162">
        <f>BR160</f>
        <v>0.11</v>
      </c>
      <c r="BS161" s="161">
        <f t="shared" si="61"/>
        <v>0.11</v>
      </c>
      <c r="BT161" s="161">
        <f t="shared" si="13"/>
        <v>0.11</v>
      </c>
      <c r="BU161" s="161">
        <f t="shared" si="13"/>
        <v>0.11</v>
      </c>
      <c r="BV161" s="161">
        <f t="shared" si="13"/>
        <v>0.11</v>
      </c>
      <c r="BW161" s="162">
        <f t="shared" si="13"/>
        <v>0.11</v>
      </c>
      <c r="BX161" s="161">
        <f t="shared" si="23"/>
        <v>0.11</v>
      </c>
      <c r="BY161" s="161">
        <f t="shared" si="23"/>
        <v>0.1</v>
      </c>
      <c r="BZ161" s="161">
        <f t="shared" si="65"/>
        <v>0.1</v>
      </c>
      <c r="CA161" s="161">
        <f t="shared" si="64"/>
        <v>0.1</v>
      </c>
      <c r="CB161" s="162">
        <f t="shared" si="64"/>
        <v>0.1</v>
      </c>
      <c r="CC161" s="161">
        <f t="shared" si="64"/>
        <v>0.1</v>
      </c>
      <c r="CD161" s="161">
        <f t="shared" si="64"/>
        <v>0.1</v>
      </c>
      <c r="CE161" s="161">
        <f t="shared" si="63"/>
        <v>0.1</v>
      </c>
      <c r="CF161" s="161">
        <f t="shared" si="63"/>
        <v>0.1</v>
      </c>
      <c r="CG161" s="162">
        <f t="shared" si="63"/>
        <v>0.1</v>
      </c>
      <c r="CH161" s="161">
        <f t="shared" si="63"/>
        <v>0.1</v>
      </c>
      <c r="CI161" s="161">
        <f t="shared" si="63"/>
        <v>0.09</v>
      </c>
      <c r="CJ161" s="161">
        <f t="shared" si="63"/>
        <v>0.09</v>
      </c>
      <c r="CK161" s="161">
        <f t="shared" si="63"/>
        <v>0.09</v>
      </c>
      <c r="CL161" s="162">
        <f t="shared" si="63"/>
        <v>0.09</v>
      </c>
      <c r="CM161" s="161">
        <f t="shared" si="63"/>
        <v>0.09</v>
      </c>
      <c r="CN161" s="161">
        <f t="shared" si="63"/>
        <v>0.09</v>
      </c>
      <c r="CO161" s="161">
        <f t="shared" si="15"/>
        <v>0.09</v>
      </c>
      <c r="CP161" s="161">
        <f t="shared" si="15"/>
        <v>0.09</v>
      </c>
      <c r="CQ161" s="162">
        <f t="shared" si="16"/>
        <v>0.09</v>
      </c>
      <c r="CR161" s="161">
        <f t="shared" si="16"/>
        <v>0.09</v>
      </c>
      <c r="CS161" s="161">
        <f t="shared" si="17"/>
        <v>0.08</v>
      </c>
      <c r="CT161" s="161">
        <f t="shared" si="17"/>
        <v>0.08</v>
      </c>
      <c r="CU161" s="161">
        <f t="shared" si="17"/>
        <v>0.08</v>
      </c>
      <c r="CV161" s="161">
        <f t="shared" si="17"/>
        <v>0.08</v>
      </c>
      <c r="CW161" s="163">
        <f t="shared" si="17"/>
        <v>0.08</v>
      </c>
    </row>
    <row r="162" spans="1:101" ht="12.75">
      <c r="A162" s="2">
        <v>0.32</v>
      </c>
      <c r="B162" s="160">
        <v>1.5</v>
      </c>
      <c r="C162" s="161">
        <v>1.05</v>
      </c>
      <c r="D162" s="161">
        <v>0.87</v>
      </c>
      <c r="E162" s="162">
        <v>0.74</v>
      </c>
      <c r="F162" s="161">
        <v>0.66</v>
      </c>
      <c r="G162" s="161">
        <v>0.6</v>
      </c>
      <c r="H162" s="161">
        <v>0.55</v>
      </c>
      <c r="I162" s="161">
        <v>0.5</v>
      </c>
      <c r="J162" s="162">
        <v>0.47</v>
      </c>
      <c r="K162" s="161">
        <f t="shared" si="18"/>
        <v>0.43999999999999995</v>
      </c>
      <c r="L162" s="161">
        <f t="shared" si="2"/>
        <v>0.42</v>
      </c>
      <c r="M162" s="161">
        <f t="shared" si="2"/>
        <v>0.41</v>
      </c>
      <c r="N162" s="161">
        <f t="shared" si="2"/>
        <v>0.38999999999999996</v>
      </c>
      <c r="O162" s="162">
        <v>0.38</v>
      </c>
      <c r="P162" s="161">
        <f t="shared" si="27"/>
        <v>0.36</v>
      </c>
      <c r="Q162" s="161">
        <f t="shared" si="27"/>
        <v>0.33999999999999997</v>
      </c>
      <c r="R162" s="161">
        <v>0.33</v>
      </c>
      <c r="S162" s="161">
        <f t="shared" si="27"/>
        <v>0.31</v>
      </c>
      <c r="T162" s="162">
        <f>T161-0.01</f>
        <v>0.29</v>
      </c>
      <c r="U162" s="161">
        <v>0.28</v>
      </c>
      <c r="V162" s="161">
        <f>V161-0.01</f>
        <v>0.27</v>
      </c>
      <c r="W162" s="161">
        <f>W161-0.01</f>
        <v>0.26</v>
      </c>
      <c r="X162" s="161">
        <v>0.26</v>
      </c>
      <c r="Y162" s="162">
        <f>Y161-0.01</f>
        <v>0.25</v>
      </c>
      <c r="Z162" s="161">
        <v>0.24</v>
      </c>
      <c r="AA162" s="161">
        <f t="shared" si="19"/>
        <v>0.24</v>
      </c>
      <c r="AB162" s="161">
        <v>0.23</v>
      </c>
      <c r="AC162" s="161">
        <f t="shared" si="3"/>
        <v>0.23</v>
      </c>
      <c r="AD162" s="162">
        <f t="shared" si="3"/>
        <v>0.22</v>
      </c>
      <c r="AE162" s="161">
        <v>0.21</v>
      </c>
      <c r="AF162" s="161">
        <f t="shared" si="3"/>
        <v>0.21</v>
      </c>
      <c r="AG162" s="161">
        <v>0.2</v>
      </c>
      <c r="AH162" s="161">
        <f t="shared" si="4"/>
        <v>0.2</v>
      </c>
      <c r="AI162" s="162">
        <v>0.19</v>
      </c>
      <c r="AJ162" s="161">
        <f t="shared" si="5"/>
        <v>0.19</v>
      </c>
      <c r="AK162" s="161">
        <v>0.18</v>
      </c>
      <c r="AL162" s="161">
        <f t="shared" si="6"/>
        <v>0.18</v>
      </c>
      <c r="AM162" s="161">
        <f t="shared" si="7"/>
        <v>0.18</v>
      </c>
      <c r="AN162" s="162">
        <f t="shared" si="7"/>
        <v>0.17</v>
      </c>
      <c r="AO162" s="161">
        <f t="shared" si="8"/>
        <v>0.17</v>
      </c>
      <c r="AP162" s="161">
        <v>0.16</v>
      </c>
      <c r="AQ162" s="161">
        <f t="shared" si="9"/>
        <v>0.16</v>
      </c>
      <c r="AR162" s="161">
        <f t="shared" si="9"/>
        <v>0.16</v>
      </c>
      <c r="AS162" s="162">
        <f t="shared" si="9"/>
        <v>0.16</v>
      </c>
      <c r="AT162" s="161">
        <f t="shared" si="9"/>
        <v>0.15</v>
      </c>
      <c r="AU162" s="161">
        <f t="shared" si="9"/>
        <v>0.15</v>
      </c>
      <c r="AV162" s="161">
        <f t="shared" si="9"/>
        <v>0.15</v>
      </c>
      <c r="AW162" s="161">
        <f t="shared" si="10"/>
        <v>0.15</v>
      </c>
      <c r="AX162" s="162">
        <f t="shared" si="10"/>
        <v>0.14</v>
      </c>
      <c r="AY162" s="161">
        <f t="shared" si="10"/>
        <v>0.14</v>
      </c>
      <c r="AZ162" s="161">
        <f t="shared" si="10"/>
        <v>0.14</v>
      </c>
      <c r="BA162" s="161">
        <f t="shared" si="10"/>
        <v>0.14</v>
      </c>
      <c r="BB162" s="161">
        <f t="shared" si="11"/>
        <v>0.14</v>
      </c>
      <c r="BC162" s="162">
        <v>0.13</v>
      </c>
      <c r="BD162" s="161">
        <f t="shared" si="11"/>
        <v>0.13</v>
      </c>
      <c r="BE162" s="161">
        <f t="shared" si="11"/>
        <v>0.13</v>
      </c>
      <c r="BF162" s="161">
        <f t="shared" si="11"/>
        <v>0.13</v>
      </c>
      <c r="BG162" s="161">
        <f>BG161</f>
        <v>0.13</v>
      </c>
      <c r="BH162" s="162">
        <f t="shared" si="62"/>
        <v>0.13</v>
      </c>
      <c r="BI162" s="161">
        <f>BI161</f>
        <v>0.13</v>
      </c>
      <c r="BJ162" s="161">
        <v>0.12</v>
      </c>
      <c r="BK162" s="161">
        <f>BK161</f>
        <v>0.12</v>
      </c>
      <c r="BL162" s="161">
        <f>BL161</f>
        <v>0.12</v>
      </c>
      <c r="BM162" s="162">
        <f>BM161</f>
        <v>0.12</v>
      </c>
      <c r="BN162" s="161">
        <f t="shared" si="60"/>
        <v>0.12</v>
      </c>
      <c r="BO162" s="161">
        <f t="shared" si="59"/>
        <v>0.12</v>
      </c>
      <c r="BP162" s="161">
        <v>0.11</v>
      </c>
      <c r="BQ162" s="161">
        <f>BQ161</f>
        <v>0.11</v>
      </c>
      <c r="BR162" s="162">
        <f>BR161</f>
        <v>0.11</v>
      </c>
      <c r="BS162" s="161">
        <f t="shared" si="61"/>
        <v>0.11</v>
      </c>
      <c r="BT162" s="161">
        <f t="shared" si="13"/>
        <v>0.11</v>
      </c>
      <c r="BU162" s="161">
        <f t="shared" si="13"/>
        <v>0.11</v>
      </c>
      <c r="BV162" s="161">
        <f t="shared" si="13"/>
        <v>0.11</v>
      </c>
      <c r="BW162" s="162">
        <f t="shared" si="13"/>
        <v>0.11</v>
      </c>
      <c r="BX162" s="161">
        <f t="shared" si="23"/>
        <v>0.11</v>
      </c>
      <c r="BY162" s="161">
        <f t="shared" si="23"/>
        <v>0.1</v>
      </c>
      <c r="BZ162" s="161">
        <f t="shared" si="65"/>
        <v>0.1</v>
      </c>
      <c r="CA162" s="161">
        <f t="shared" si="64"/>
        <v>0.1</v>
      </c>
      <c r="CB162" s="162">
        <f t="shared" si="64"/>
        <v>0.1</v>
      </c>
      <c r="CC162" s="161">
        <f t="shared" si="64"/>
        <v>0.1</v>
      </c>
      <c r="CD162" s="161">
        <f t="shared" si="64"/>
        <v>0.1</v>
      </c>
      <c r="CE162" s="161">
        <f t="shared" si="63"/>
        <v>0.1</v>
      </c>
      <c r="CF162" s="161">
        <f t="shared" si="63"/>
        <v>0.1</v>
      </c>
      <c r="CG162" s="162">
        <f t="shared" si="63"/>
        <v>0.1</v>
      </c>
      <c r="CH162" s="161">
        <f t="shared" si="63"/>
        <v>0.1</v>
      </c>
      <c r="CI162" s="161">
        <f t="shared" si="63"/>
        <v>0.09</v>
      </c>
      <c r="CJ162" s="161">
        <f t="shared" si="63"/>
        <v>0.09</v>
      </c>
      <c r="CK162" s="161">
        <f t="shared" si="63"/>
        <v>0.09</v>
      </c>
      <c r="CL162" s="162">
        <f t="shared" si="63"/>
        <v>0.09</v>
      </c>
      <c r="CM162" s="161">
        <f t="shared" si="63"/>
        <v>0.09</v>
      </c>
      <c r="CN162" s="161">
        <f t="shared" si="63"/>
        <v>0.09</v>
      </c>
      <c r="CO162" s="161">
        <f t="shared" si="15"/>
        <v>0.09</v>
      </c>
      <c r="CP162" s="161">
        <f t="shared" si="15"/>
        <v>0.09</v>
      </c>
      <c r="CQ162" s="162">
        <f t="shared" si="16"/>
        <v>0.09</v>
      </c>
      <c r="CR162" s="161">
        <f t="shared" si="16"/>
        <v>0.09</v>
      </c>
      <c r="CS162" s="161">
        <f t="shared" si="17"/>
        <v>0.08</v>
      </c>
      <c r="CT162" s="161">
        <f t="shared" si="17"/>
        <v>0.08</v>
      </c>
      <c r="CU162" s="161">
        <f t="shared" si="17"/>
        <v>0.08</v>
      </c>
      <c r="CV162" s="161">
        <f t="shared" si="17"/>
        <v>0.08</v>
      </c>
      <c r="CW162" s="163">
        <f t="shared" si="17"/>
        <v>0.08</v>
      </c>
    </row>
    <row r="163" spans="1:101" ht="12.75">
      <c r="A163" s="2">
        <v>0.33</v>
      </c>
      <c r="B163" s="160">
        <v>1.46</v>
      </c>
      <c r="C163" s="161">
        <v>1.03</v>
      </c>
      <c r="D163" s="161">
        <v>0.85</v>
      </c>
      <c r="E163" s="162">
        <v>0.73</v>
      </c>
      <c r="F163" s="161">
        <v>0.64</v>
      </c>
      <c r="G163" s="161">
        <v>0.58</v>
      </c>
      <c r="H163" s="161">
        <v>0.53</v>
      </c>
      <c r="I163" s="161">
        <v>0.49</v>
      </c>
      <c r="J163" s="162">
        <v>0.46</v>
      </c>
      <c r="K163" s="161">
        <f t="shared" si="18"/>
        <v>0.42999999999999994</v>
      </c>
      <c r="L163" s="161">
        <f t="shared" si="2"/>
        <v>0.41</v>
      </c>
      <c r="M163" s="161">
        <f t="shared" si="2"/>
        <v>0.39999999999999997</v>
      </c>
      <c r="N163" s="161">
        <f t="shared" si="2"/>
        <v>0.37999999999999995</v>
      </c>
      <c r="O163" s="162">
        <f>O162-0.01</f>
        <v>0.37</v>
      </c>
      <c r="P163" s="161">
        <f t="shared" si="27"/>
        <v>0.35</v>
      </c>
      <c r="Q163" s="161">
        <v>0.34</v>
      </c>
      <c r="R163" s="161">
        <f t="shared" si="27"/>
        <v>0.32</v>
      </c>
      <c r="S163" s="161">
        <f t="shared" si="27"/>
        <v>0.3</v>
      </c>
      <c r="T163" s="162">
        <v>0.29</v>
      </c>
      <c r="U163" s="161">
        <f>U162-0.01</f>
        <v>0.27</v>
      </c>
      <c r="V163" s="161">
        <v>0.27</v>
      </c>
      <c r="W163" s="161">
        <v>0.26</v>
      </c>
      <c r="X163" s="161">
        <f>X162-0.01</f>
        <v>0.25</v>
      </c>
      <c r="Y163" s="162">
        <v>0.25</v>
      </c>
      <c r="Z163" s="161">
        <f t="shared" si="19"/>
        <v>0.24</v>
      </c>
      <c r="AA163" s="161">
        <v>0.23</v>
      </c>
      <c r="AB163" s="161">
        <f t="shared" si="19"/>
        <v>0.23</v>
      </c>
      <c r="AC163" s="161">
        <v>0.22</v>
      </c>
      <c r="AD163" s="162">
        <v>0.21</v>
      </c>
      <c r="AE163" s="161">
        <f t="shared" si="3"/>
        <v>0.21</v>
      </c>
      <c r="AF163" s="161">
        <v>0.2</v>
      </c>
      <c r="AG163" s="161">
        <f t="shared" si="4"/>
        <v>0.2</v>
      </c>
      <c r="AH163" s="161">
        <v>0.19</v>
      </c>
      <c r="AI163" s="162">
        <f t="shared" si="5"/>
        <v>0.19</v>
      </c>
      <c r="AJ163" s="161">
        <f t="shared" si="5"/>
        <v>0.19</v>
      </c>
      <c r="AK163" s="161">
        <f t="shared" si="6"/>
        <v>0.18</v>
      </c>
      <c r="AL163" s="161">
        <f t="shared" si="6"/>
        <v>0.18</v>
      </c>
      <c r="AM163" s="161">
        <v>0.17</v>
      </c>
      <c r="AN163" s="162">
        <f t="shared" si="7"/>
        <v>0.17</v>
      </c>
      <c r="AO163" s="161">
        <v>0.16</v>
      </c>
      <c r="AP163" s="161">
        <f t="shared" si="8"/>
        <v>0.16</v>
      </c>
      <c r="AQ163" s="161">
        <f t="shared" si="9"/>
        <v>0.16</v>
      </c>
      <c r="AR163" s="161">
        <f t="shared" si="9"/>
        <v>0.16</v>
      </c>
      <c r="AS163" s="162">
        <v>0.15</v>
      </c>
      <c r="AT163" s="161">
        <f t="shared" si="9"/>
        <v>0.15</v>
      </c>
      <c r="AU163" s="161">
        <f t="shared" si="9"/>
        <v>0.15</v>
      </c>
      <c r="AV163" s="161">
        <f t="shared" si="9"/>
        <v>0.15</v>
      </c>
      <c r="AW163" s="161">
        <v>0.14</v>
      </c>
      <c r="AX163" s="162">
        <f t="shared" si="10"/>
        <v>0.14</v>
      </c>
      <c r="AY163" s="161">
        <f t="shared" si="10"/>
        <v>0.14</v>
      </c>
      <c r="AZ163" s="161">
        <f t="shared" si="10"/>
        <v>0.14</v>
      </c>
      <c r="BA163" s="161">
        <f t="shared" si="10"/>
        <v>0.14</v>
      </c>
      <c r="BB163" s="161">
        <f t="shared" si="11"/>
        <v>0.14</v>
      </c>
      <c r="BC163" s="162">
        <f t="shared" si="11"/>
        <v>0.13</v>
      </c>
      <c r="BD163" s="161">
        <f t="shared" si="11"/>
        <v>0.13</v>
      </c>
      <c r="BE163" s="161">
        <f t="shared" si="11"/>
        <v>0.13</v>
      </c>
      <c r="BF163" s="161">
        <f t="shared" si="11"/>
        <v>0.13</v>
      </c>
      <c r="BG163" s="161">
        <f>BG162</f>
        <v>0.13</v>
      </c>
      <c r="BH163" s="162">
        <f t="shared" si="62"/>
        <v>0.13</v>
      </c>
      <c r="BI163" s="161">
        <v>0.12</v>
      </c>
      <c r="BJ163" s="161">
        <f>BJ162</f>
        <v>0.12</v>
      </c>
      <c r="BK163" s="161">
        <f>BK162</f>
        <v>0.12</v>
      </c>
      <c r="BL163" s="161">
        <f aca="true" t="shared" si="66" ref="BL163:BS180">BL162</f>
        <v>0.12</v>
      </c>
      <c r="BM163" s="162">
        <f t="shared" si="66"/>
        <v>0.12</v>
      </c>
      <c r="BN163" s="161">
        <f t="shared" si="66"/>
        <v>0.12</v>
      </c>
      <c r="BO163" s="161">
        <f t="shared" si="66"/>
        <v>0.12</v>
      </c>
      <c r="BP163" s="161">
        <f t="shared" si="66"/>
        <v>0.11</v>
      </c>
      <c r="BQ163" s="161">
        <f t="shared" si="66"/>
        <v>0.11</v>
      </c>
      <c r="BR163" s="162">
        <f t="shared" si="66"/>
        <v>0.11</v>
      </c>
      <c r="BS163" s="161">
        <f t="shared" si="66"/>
        <v>0.11</v>
      </c>
      <c r="BT163" s="161">
        <f t="shared" si="13"/>
        <v>0.11</v>
      </c>
      <c r="BU163" s="161">
        <f t="shared" si="13"/>
        <v>0.11</v>
      </c>
      <c r="BV163" s="161">
        <f t="shared" si="13"/>
        <v>0.11</v>
      </c>
      <c r="BW163" s="162">
        <f t="shared" si="13"/>
        <v>0.11</v>
      </c>
      <c r="BX163" s="161">
        <f t="shared" si="23"/>
        <v>0.11</v>
      </c>
      <c r="BY163" s="161">
        <f t="shared" si="23"/>
        <v>0.1</v>
      </c>
      <c r="BZ163" s="161">
        <f t="shared" si="65"/>
        <v>0.1</v>
      </c>
      <c r="CA163" s="161">
        <f t="shared" si="64"/>
        <v>0.1</v>
      </c>
      <c r="CB163" s="162">
        <f t="shared" si="64"/>
        <v>0.1</v>
      </c>
      <c r="CC163" s="161">
        <f t="shared" si="64"/>
        <v>0.1</v>
      </c>
      <c r="CD163" s="161">
        <f t="shared" si="64"/>
        <v>0.1</v>
      </c>
      <c r="CE163" s="161">
        <f t="shared" si="63"/>
        <v>0.1</v>
      </c>
      <c r="CF163" s="161">
        <f t="shared" si="63"/>
        <v>0.1</v>
      </c>
      <c r="CG163" s="162">
        <f t="shared" si="63"/>
        <v>0.1</v>
      </c>
      <c r="CH163" s="161">
        <f t="shared" si="63"/>
        <v>0.1</v>
      </c>
      <c r="CI163" s="161">
        <f t="shared" si="63"/>
        <v>0.09</v>
      </c>
      <c r="CJ163" s="161">
        <f t="shared" si="63"/>
        <v>0.09</v>
      </c>
      <c r="CK163" s="161">
        <f t="shared" si="63"/>
        <v>0.09</v>
      </c>
      <c r="CL163" s="162">
        <f t="shared" si="63"/>
        <v>0.09</v>
      </c>
      <c r="CM163" s="161">
        <f t="shared" si="63"/>
        <v>0.09</v>
      </c>
      <c r="CN163" s="161">
        <f t="shared" si="63"/>
        <v>0.09</v>
      </c>
      <c r="CO163" s="161">
        <f t="shared" si="15"/>
        <v>0.09</v>
      </c>
      <c r="CP163" s="161">
        <f t="shared" si="15"/>
        <v>0.09</v>
      </c>
      <c r="CQ163" s="162">
        <f t="shared" si="16"/>
        <v>0.09</v>
      </c>
      <c r="CR163" s="161">
        <f t="shared" si="16"/>
        <v>0.09</v>
      </c>
      <c r="CS163" s="161">
        <f t="shared" si="17"/>
        <v>0.08</v>
      </c>
      <c r="CT163" s="161">
        <f t="shared" si="17"/>
        <v>0.08</v>
      </c>
      <c r="CU163" s="161">
        <f t="shared" si="17"/>
        <v>0.08</v>
      </c>
      <c r="CV163" s="161">
        <f t="shared" si="17"/>
        <v>0.08</v>
      </c>
      <c r="CW163" s="163">
        <f t="shared" si="17"/>
        <v>0.08</v>
      </c>
    </row>
    <row r="164" spans="1:101" ht="13.5" thickBot="1">
      <c r="A164" s="2">
        <v>0.34</v>
      </c>
      <c r="B164" s="164">
        <v>1.43</v>
      </c>
      <c r="C164" s="165">
        <v>1.02</v>
      </c>
      <c r="D164" s="165">
        <v>0.84</v>
      </c>
      <c r="E164" s="166">
        <v>0.71</v>
      </c>
      <c r="F164" s="165">
        <v>0.63</v>
      </c>
      <c r="G164" s="165">
        <v>0.57</v>
      </c>
      <c r="H164" s="165">
        <v>0.52</v>
      </c>
      <c r="I164" s="165">
        <v>0.48</v>
      </c>
      <c r="J164" s="166">
        <v>0.45</v>
      </c>
      <c r="K164" s="167">
        <f t="shared" si="18"/>
        <v>0.41999999999999993</v>
      </c>
      <c r="L164" s="165">
        <f t="shared" si="2"/>
        <v>0.39999999999999997</v>
      </c>
      <c r="M164" s="165">
        <f t="shared" si="2"/>
        <v>0.38999999999999996</v>
      </c>
      <c r="N164" s="165">
        <f t="shared" si="2"/>
        <v>0.36999999999999994</v>
      </c>
      <c r="O164" s="166">
        <f>O163-0.01</f>
        <v>0.36</v>
      </c>
      <c r="P164" s="167">
        <f t="shared" si="27"/>
        <v>0.33999999999999997</v>
      </c>
      <c r="Q164" s="165">
        <f t="shared" si="27"/>
        <v>0.33</v>
      </c>
      <c r="R164" s="165">
        <f t="shared" si="27"/>
        <v>0.31</v>
      </c>
      <c r="S164" s="165">
        <v>0.3</v>
      </c>
      <c r="T164" s="166">
        <f>T163-0.01</f>
        <v>0.27999999999999997</v>
      </c>
      <c r="U164" s="165">
        <v>0.27</v>
      </c>
      <c r="V164" s="165">
        <f>V163-0.01</f>
        <v>0.26</v>
      </c>
      <c r="W164" s="165">
        <f>W163-0.01</f>
        <v>0.25</v>
      </c>
      <c r="X164" s="165">
        <v>0.25</v>
      </c>
      <c r="Y164" s="166">
        <f>Y163-0.01</f>
        <v>0.24</v>
      </c>
      <c r="Z164" s="167">
        <v>0.23</v>
      </c>
      <c r="AA164" s="165">
        <f t="shared" si="19"/>
        <v>0.23</v>
      </c>
      <c r="AB164" s="165">
        <v>0.22</v>
      </c>
      <c r="AC164" s="165">
        <f t="shared" si="3"/>
        <v>0.22</v>
      </c>
      <c r="AD164" s="166">
        <f t="shared" si="3"/>
        <v>0.21</v>
      </c>
      <c r="AE164" s="165">
        <v>0.2</v>
      </c>
      <c r="AF164" s="165">
        <f t="shared" si="3"/>
        <v>0.2</v>
      </c>
      <c r="AG164" s="165">
        <f t="shared" si="4"/>
        <v>0.2</v>
      </c>
      <c r="AH164" s="165">
        <f t="shared" si="4"/>
        <v>0.19</v>
      </c>
      <c r="AI164" s="166">
        <f t="shared" si="5"/>
        <v>0.19</v>
      </c>
      <c r="AJ164" s="165">
        <v>0.18</v>
      </c>
      <c r="AK164" s="165">
        <f t="shared" si="6"/>
        <v>0.18</v>
      </c>
      <c r="AL164" s="165">
        <v>0.17</v>
      </c>
      <c r="AM164" s="165">
        <f t="shared" si="7"/>
        <v>0.17</v>
      </c>
      <c r="AN164" s="166">
        <f t="shared" si="7"/>
        <v>0.17</v>
      </c>
      <c r="AO164" s="165">
        <f t="shared" si="8"/>
        <v>0.16</v>
      </c>
      <c r="AP164" s="165">
        <f t="shared" si="8"/>
        <v>0.16</v>
      </c>
      <c r="AQ164" s="165">
        <f t="shared" si="9"/>
        <v>0.16</v>
      </c>
      <c r="AR164" s="165">
        <f t="shared" si="9"/>
        <v>0.16</v>
      </c>
      <c r="AS164" s="166">
        <f t="shared" si="9"/>
        <v>0.15</v>
      </c>
      <c r="AT164" s="165">
        <f t="shared" si="9"/>
        <v>0.15</v>
      </c>
      <c r="AU164" s="165">
        <f t="shared" si="9"/>
        <v>0.15</v>
      </c>
      <c r="AV164" s="165">
        <f t="shared" si="9"/>
        <v>0.15</v>
      </c>
      <c r="AW164" s="165">
        <f t="shared" si="10"/>
        <v>0.14</v>
      </c>
      <c r="AX164" s="166">
        <f t="shared" si="10"/>
        <v>0.14</v>
      </c>
      <c r="AY164" s="165">
        <f t="shared" si="10"/>
        <v>0.14</v>
      </c>
      <c r="AZ164" s="165">
        <f t="shared" si="10"/>
        <v>0.14</v>
      </c>
      <c r="BA164" s="165">
        <f t="shared" si="10"/>
        <v>0.14</v>
      </c>
      <c r="BB164" s="165">
        <v>0.13</v>
      </c>
      <c r="BC164" s="166">
        <f t="shared" si="11"/>
        <v>0.13</v>
      </c>
      <c r="BD164" s="165">
        <f t="shared" si="11"/>
        <v>0.13</v>
      </c>
      <c r="BE164" s="165">
        <f t="shared" si="11"/>
        <v>0.13</v>
      </c>
      <c r="BF164" s="165">
        <f t="shared" si="11"/>
        <v>0.13</v>
      </c>
      <c r="BG164" s="165">
        <f t="shared" si="11"/>
        <v>0.13</v>
      </c>
      <c r="BH164" s="166">
        <v>0.12</v>
      </c>
      <c r="BI164" s="165">
        <f aca="true" t="shared" si="67" ref="BI164:BK180">BI163</f>
        <v>0.12</v>
      </c>
      <c r="BJ164" s="165">
        <f t="shared" si="67"/>
        <v>0.12</v>
      </c>
      <c r="BK164" s="165">
        <f t="shared" si="67"/>
        <v>0.12</v>
      </c>
      <c r="BL164" s="165">
        <f t="shared" si="66"/>
        <v>0.12</v>
      </c>
      <c r="BM164" s="166">
        <f t="shared" si="66"/>
        <v>0.12</v>
      </c>
      <c r="BN164" s="165">
        <f t="shared" si="66"/>
        <v>0.12</v>
      </c>
      <c r="BO164" s="165">
        <v>0.11</v>
      </c>
      <c r="BP164" s="165">
        <f t="shared" si="66"/>
        <v>0.11</v>
      </c>
      <c r="BQ164" s="165">
        <f t="shared" si="66"/>
        <v>0.11</v>
      </c>
      <c r="BR164" s="166">
        <f t="shared" si="66"/>
        <v>0.11</v>
      </c>
      <c r="BS164" s="165">
        <f t="shared" si="66"/>
        <v>0.11</v>
      </c>
      <c r="BT164" s="165">
        <f t="shared" si="13"/>
        <v>0.11</v>
      </c>
      <c r="BU164" s="165">
        <f t="shared" si="13"/>
        <v>0.11</v>
      </c>
      <c r="BV164" s="165">
        <f t="shared" si="13"/>
        <v>0.11</v>
      </c>
      <c r="BW164" s="166">
        <f t="shared" si="13"/>
        <v>0.11</v>
      </c>
      <c r="BX164" s="165">
        <f t="shared" si="23"/>
        <v>0.11</v>
      </c>
      <c r="BY164" s="165">
        <f t="shared" si="23"/>
        <v>0.1</v>
      </c>
      <c r="BZ164" s="165">
        <f t="shared" si="65"/>
        <v>0.1</v>
      </c>
      <c r="CA164" s="165">
        <f t="shared" si="64"/>
        <v>0.1</v>
      </c>
      <c r="CB164" s="166">
        <f t="shared" si="64"/>
        <v>0.1</v>
      </c>
      <c r="CC164" s="165">
        <f t="shared" si="64"/>
        <v>0.1</v>
      </c>
      <c r="CD164" s="165">
        <f t="shared" si="64"/>
        <v>0.1</v>
      </c>
      <c r="CE164" s="165">
        <f t="shared" si="63"/>
        <v>0.1</v>
      </c>
      <c r="CF164" s="165">
        <f t="shared" si="63"/>
        <v>0.1</v>
      </c>
      <c r="CG164" s="166">
        <f t="shared" si="63"/>
        <v>0.1</v>
      </c>
      <c r="CH164" s="165">
        <f t="shared" si="63"/>
        <v>0.1</v>
      </c>
      <c r="CI164" s="165">
        <f t="shared" si="63"/>
        <v>0.09</v>
      </c>
      <c r="CJ164" s="165">
        <f t="shared" si="63"/>
        <v>0.09</v>
      </c>
      <c r="CK164" s="165">
        <f t="shared" si="63"/>
        <v>0.09</v>
      </c>
      <c r="CL164" s="166">
        <f t="shared" si="63"/>
        <v>0.09</v>
      </c>
      <c r="CM164" s="165">
        <f t="shared" si="63"/>
        <v>0.09</v>
      </c>
      <c r="CN164" s="165">
        <f t="shared" si="63"/>
        <v>0.09</v>
      </c>
      <c r="CO164" s="165">
        <f t="shared" si="15"/>
        <v>0.09</v>
      </c>
      <c r="CP164" s="165">
        <f t="shared" si="15"/>
        <v>0.09</v>
      </c>
      <c r="CQ164" s="166">
        <f t="shared" si="16"/>
        <v>0.09</v>
      </c>
      <c r="CR164" s="165">
        <f t="shared" si="16"/>
        <v>0.09</v>
      </c>
      <c r="CS164" s="165">
        <f t="shared" si="17"/>
        <v>0.08</v>
      </c>
      <c r="CT164" s="165">
        <f t="shared" si="17"/>
        <v>0.08</v>
      </c>
      <c r="CU164" s="165">
        <f t="shared" si="17"/>
        <v>0.08</v>
      </c>
      <c r="CV164" s="165">
        <f t="shared" si="17"/>
        <v>0.08</v>
      </c>
      <c r="CW164" s="168">
        <f t="shared" si="17"/>
        <v>0.08</v>
      </c>
    </row>
    <row r="165" spans="1:101" ht="12.75">
      <c r="A165" s="2">
        <v>0.35</v>
      </c>
      <c r="B165" s="160">
        <v>1.39</v>
      </c>
      <c r="C165" s="161">
        <v>1</v>
      </c>
      <c r="D165" s="161">
        <v>0.82</v>
      </c>
      <c r="E165" s="162">
        <v>0.7</v>
      </c>
      <c r="F165" s="161">
        <v>0.62</v>
      </c>
      <c r="G165" s="161">
        <v>0.56</v>
      </c>
      <c r="H165" s="161">
        <v>0.51</v>
      </c>
      <c r="I165" s="161">
        <v>0.47</v>
      </c>
      <c r="J165" s="162">
        <v>0.44</v>
      </c>
      <c r="K165" s="161">
        <f t="shared" si="18"/>
        <v>0.4099999999999999</v>
      </c>
      <c r="L165" s="161">
        <v>0.4</v>
      </c>
      <c r="M165" s="161">
        <f t="shared" si="2"/>
        <v>0.37999999999999995</v>
      </c>
      <c r="N165" s="161">
        <v>0.37</v>
      </c>
      <c r="O165" s="162">
        <f>O164-0.01</f>
        <v>0.35</v>
      </c>
      <c r="P165" s="161">
        <v>0.34</v>
      </c>
      <c r="Q165" s="161">
        <f t="shared" si="27"/>
        <v>0.32</v>
      </c>
      <c r="R165" s="161">
        <v>0.31</v>
      </c>
      <c r="S165" s="161">
        <f t="shared" si="27"/>
        <v>0.29</v>
      </c>
      <c r="T165" s="162">
        <v>0.28</v>
      </c>
      <c r="U165" s="161">
        <f>U164-0.01</f>
        <v>0.26</v>
      </c>
      <c r="V165" s="161">
        <v>0.25</v>
      </c>
      <c r="W165" s="161">
        <v>0.25</v>
      </c>
      <c r="X165" s="161">
        <f>X164-0.01</f>
        <v>0.24</v>
      </c>
      <c r="Y165" s="162">
        <v>0.24</v>
      </c>
      <c r="Z165" s="161">
        <f t="shared" si="19"/>
        <v>0.23</v>
      </c>
      <c r="AA165" s="161">
        <v>0.22</v>
      </c>
      <c r="AB165" s="161">
        <f t="shared" si="19"/>
        <v>0.22</v>
      </c>
      <c r="AC165" s="161">
        <v>0.21</v>
      </c>
      <c r="AD165" s="162">
        <f t="shared" si="3"/>
        <v>0.21</v>
      </c>
      <c r="AE165" s="161">
        <f t="shared" si="3"/>
        <v>0.2</v>
      </c>
      <c r="AF165" s="161">
        <f t="shared" si="3"/>
        <v>0.2</v>
      </c>
      <c r="AG165" s="161">
        <v>0.19</v>
      </c>
      <c r="AH165" s="161">
        <f t="shared" si="4"/>
        <v>0.19</v>
      </c>
      <c r="AI165" s="162">
        <v>0.18</v>
      </c>
      <c r="AJ165" s="161">
        <f t="shared" si="5"/>
        <v>0.18</v>
      </c>
      <c r="AK165" s="161">
        <f t="shared" si="6"/>
        <v>0.18</v>
      </c>
      <c r="AL165" s="161">
        <f t="shared" si="6"/>
        <v>0.17</v>
      </c>
      <c r="AM165" s="161">
        <f t="shared" si="7"/>
        <v>0.17</v>
      </c>
      <c r="AN165" s="162">
        <v>0.16</v>
      </c>
      <c r="AO165" s="161">
        <f t="shared" si="8"/>
        <v>0.16</v>
      </c>
      <c r="AP165" s="161">
        <f t="shared" si="8"/>
        <v>0.16</v>
      </c>
      <c r="AQ165" s="161">
        <f t="shared" si="9"/>
        <v>0.16</v>
      </c>
      <c r="AR165" s="161">
        <v>0.15</v>
      </c>
      <c r="AS165" s="162">
        <f t="shared" si="9"/>
        <v>0.15</v>
      </c>
      <c r="AT165" s="161">
        <f t="shared" si="9"/>
        <v>0.15</v>
      </c>
      <c r="AU165" s="161">
        <f t="shared" si="9"/>
        <v>0.15</v>
      </c>
      <c r="AV165" s="161">
        <f t="shared" si="9"/>
        <v>0.15</v>
      </c>
      <c r="AW165" s="161">
        <f t="shared" si="10"/>
        <v>0.14</v>
      </c>
      <c r="AX165" s="162">
        <f t="shared" si="10"/>
        <v>0.14</v>
      </c>
      <c r="AY165" s="161">
        <f t="shared" si="10"/>
        <v>0.14</v>
      </c>
      <c r="AZ165" s="161">
        <f t="shared" si="10"/>
        <v>0.14</v>
      </c>
      <c r="BA165" s="161">
        <f t="shared" si="10"/>
        <v>0.14</v>
      </c>
      <c r="BB165" s="161">
        <f t="shared" si="11"/>
        <v>0.13</v>
      </c>
      <c r="BC165" s="162">
        <f t="shared" si="11"/>
        <v>0.13</v>
      </c>
      <c r="BD165" s="161">
        <f t="shared" si="11"/>
        <v>0.13</v>
      </c>
      <c r="BE165" s="161">
        <f t="shared" si="11"/>
        <v>0.13</v>
      </c>
      <c r="BF165" s="161">
        <f t="shared" si="11"/>
        <v>0.13</v>
      </c>
      <c r="BG165" s="161">
        <v>0.12</v>
      </c>
      <c r="BH165" s="162">
        <f aca="true" t="shared" si="68" ref="BH165:BH180">BH164</f>
        <v>0.12</v>
      </c>
      <c r="BI165" s="161">
        <f t="shared" si="67"/>
        <v>0.12</v>
      </c>
      <c r="BJ165" s="161">
        <f t="shared" si="67"/>
        <v>0.12</v>
      </c>
      <c r="BK165" s="161">
        <f t="shared" si="67"/>
        <v>0.12</v>
      </c>
      <c r="BL165" s="161">
        <f t="shared" si="66"/>
        <v>0.12</v>
      </c>
      <c r="BM165" s="162">
        <f t="shared" si="66"/>
        <v>0.12</v>
      </c>
      <c r="BN165" s="161">
        <f t="shared" si="66"/>
        <v>0.12</v>
      </c>
      <c r="BO165" s="161">
        <f t="shared" si="66"/>
        <v>0.11</v>
      </c>
      <c r="BP165" s="161">
        <f t="shared" si="66"/>
        <v>0.11</v>
      </c>
      <c r="BQ165" s="161">
        <f t="shared" si="66"/>
        <v>0.11</v>
      </c>
      <c r="BR165" s="162">
        <f t="shared" si="66"/>
        <v>0.11</v>
      </c>
      <c r="BS165" s="161">
        <f t="shared" si="66"/>
        <v>0.11</v>
      </c>
      <c r="BT165" s="161">
        <f t="shared" si="13"/>
        <v>0.11</v>
      </c>
      <c r="BU165" s="161">
        <f t="shared" si="13"/>
        <v>0.11</v>
      </c>
      <c r="BV165" s="161">
        <f t="shared" si="13"/>
        <v>0.11</v>
      </c>
      <c r="BW165" s="162">
        <f t="shared" si="13"/>
        <v>0.11</v>
      </c>
      <c r="BX165" s="161">
        <f t="shared" si="23"/>
        <v>0.11</v>
      </c>
      <c r="BY165" s="161">
        <f t="shared" si="23"/>
        <v>0.1</v>
      </c>
      <c r="BZ165" s="161">
        <f t="shared" si="65"/>
        <v>0.1</v>
      </c>
      <c r="CA165" s="161">
        <f t="shared" si="64"/>
        <v>0.1</v>
      </c>
      <c r="CB165" s="162">
        <f t="shared" si="64"/>
        <v>0.1</v>
      </c>
      <c r="CC165" s="161">
        <f t="shared" si="64"/>
        <v>0.1</v>
      </c>
      <c r="CD165" s="161">
        <f t="shared" si="64"/>
        <v>0.1</v>
      </c>
      <c r="CE165" s="161">
        <f t="shared" si="63"/>
        <v>0.1</v>
      </c>
      <c r="CF165" s="161">
        <f t="shared" si="63"/>
        <v>0.1</v>
      </c>
      <c r="CG165" s="162">
        <f t="shared" si="63"/>
        <v>0.1</v>
      </c>
      <c r="CH165" s="161">
        <f t="shared" si="63"/>
        <v>0.1</v>
      </c>
      <c r="CI165" s="161">
        <f t="shared" si="63"/>
        <v>0.09</v>
      </c>
      <c r="CJ165" s="161">
        <f t="shared" si="63"/>
        <v>0.09</v>
      </c>
      <c r="CK165" s="161">
        <f t="shared" si="63"/>
        <v>0.09</v>
      </c>
      <c r="CL165" s="162">
        <f t="shared" si="63"/>
        <v>0.09</v>
      </c>
      <c r="CM165" s="161">
        <f t="shared" si="63"/>
        <v>0.09</v>
      </c>
      <c r="CN165" s="161">
        <f t="shared" si="63"/>
        <v>0.09</v>
      </c>
      <c r="CO165" s="161">
        <f t="shared" si="15"/>
        <v>0.09</v>
      </c>
      <c r="CP165" s="161">
        <f t="shared" si="15"/>
        <v>0.09</v>
      </c>
      <c r="CQ165" s="162">
        <f t="shared" si="16"/>
        <v>0.09</v>
      </c>
      <c r="CR165" s="161">
        <f t="shared" si="16"/>
        <v>0.09</v>
      </c>
      <c r="CS165" s="161">
        <f t="shared" si="17"/>
        <v>0.08</v>
      </c>
      <c r="CT165" s="161">
        <f t="shared" si="17"/>
        <v>0.08</v>
      </c>
      <c r="CU165" s="161">
        <f t="shared" si="17"/>
        <v>0.08</v>
      </c>
      <c r="CV165" s="161">
        <f t="shared" si="17"/>
        <v>0.08</v>
      </c>
      <c r="CW165" s="163">
        <f t="shared" si="17"/>
        <v>0.08</v>
      </c>
    </row>
    <row r="166" spans="1:101" ht="12.75">
      <c r="A166" s="2">
        <v>0.36</v>
      </c>
      <c r="B166" s="160">
        <v>1.37</v>
      </c>
      <c r="C166" s="161">
        <v>0.98</v>
      </c>
      <c r="D166" s="161">
        <v>0.8</v>
      </c>
      <c r="E166" s="162">
        <v>0.68</v>
      </c>
      <c r="F166" s="161">
        <v>0.6</v>
      </c>
      <c r="G166" s="161">
        <v>0.55</v>
      </c>
      <c r="H166" s="161">
        <v>0.5</v>
      </c>
      <c r="I166" s="161">
        <v>0.46</v>
      </c>
      <c r="J166" s="162">
        <v>0.43</v>
      </c>
      <c r="K166" s="161">
        <f t="shared" si="18"/>
        <v>0.3999999999999999</v>
      </c>
      <c r="L166" s="161">
        <f t="shared" si="2"/>
        <v>0.39</v>
      </c>
      <c r="M166" s="161">
        <f t="shared" si="2"/>
        <v>0.36999999999999994</v>
      </c>
      <c r="N166" s="161">
        <f t="shared" si="2"/>
        <v>0.36</v>
      </c>
      <c r="O166" s="162">
        <f>O165-0.01</f>
        <v>0.33999999999999997</v>
      </c>
      <c r="P166" s="161">
        <f t="shared" si="27"/>
        <v>0.33</v>
      </c>
      <c r="Q166" s="161">
        <f t="shared" si="27"/>
        <v>0.31</v>
      </c>
      <c r="R166" s="161">
        <f t="shared" si="27"/>
        <v>0.3</v>
      </c>
      <c r="S166" s="161">
        <f t="shared" si="27"/>
        <v>0.27999999999999997</v>
      </c>
      <c r="T166" s="162">
        <f>T165-0.01</f>
        <v>0.27</v>
      </c>
      <c r="U166" s="161">
        <v>0.26</v>
      </c>
      <c r="V166" s="161">
        <v>0.25</v>
      </c>
      <c r="W166" s="161">
        <f>W165-0.01</f>
        <v>0.24</v>
      </c>
      <c r="X166" s="161">
        <v>0.24</v>
      </c>
      <c r="Y166" s="162">
        <f>Y165-0.01</f>
        <v>0.22999999999999998</v>
      </c>
      <c r="Z166" s="161">
        <f t="shared" si="19"/>
        <v>0.23</v>
      </c>
      <c r="AA166" s="161">
        <f t="shared" si="19"/>
        <v>0.22</v>
      </c>
      <c r="AB166" s="161">
        <v>0.21</v>
      </c>
      <c r="AC166" s="161">
        <f t="shared" si="3"/>
        <v>0.21</v>
      </c>
      <c r="AD166" s="162">
        <v>0.2</v>
      </c>
      <c r="AE166" s="161">
        <f t="shared" si="3"/>
        <v>0.2</v>
      </c>
      <c r="AF166" s="161">
        <v>0.19</v>
      </c>
      <c r="AG166" s="161">
        <f t="shared" si="4"/>
        <v>0.19</v>
      </c>
      <c r="AH166" s="161">
        <v>0.18</v>
      </c>
      <c r="AI166" s="162">
        <f t="shared" si="5"/>
        <v>0.18</v>
      </c>
      <c r="AJ166" s="161">
        <f t="shared" si="5"/>
        <v>0.18</v>
      </c>
      <c r="AK166" s="161">
        <v>0.17</v>
      </c>
      <c r="AL166" s="161">
        <f t="shared" si="6"/>
        <v>0.17</v>
      </c>
      <c r="AM166" s="161">
        <f t="shared" si="7"/>
        <v>0.17</v>
      </c>
      <c r="AN166" s="162">
        <f t="shared" si="7"/>
        <v>0.16</v>
      </c>
      <c r="AO166" s="161">
        <f t="shared" si="8"/>
        <v>0.16</v>
      </c>
      <c r="AP166" s="161">
        <f t="shared" si="8"/>
        <v>0.16</v>
      </c>
      <c r="AQ166" s="161">
        <v>0.15</v>
      </c>
      <c r="AR166" s="161">
        <f t="shared" si="9"/>
        <v>0.15</v>
      </c>
      <c r="AS166" s="162">
        <f t="shared" si="9"/>
        <v>0.15</v>
      </c>
      <c r="AT166" s="161">
        <f t="shared" si="9"/>
        <v>0.15</v>
      </c>
      <c r="AU166" s="161">
        <f t="shared" si="9"/>
        <v>0.15</v>
      </c>
      <c r="AV166" s="161">
        <v>0.14</v>
      </c>
      <c r="AW166" s="161">
        <f t="shared" si="10"/>
        <v>0.14</v>
      </c>
      <c r="AX166" s="162">
        <f t="shared" si="10"/>
        <v>0.14</v>
      </c>
      <c r="AY166" s="161">
        <f t="shared" si="10"/>
        <v>0.14</v>
      </c>
      <c r="AZ166" s="161">
        <f t="shared" si="10"/>
        <v>0.14</v>
      </c>
      <c r="BA166" s="161">
        <v>0.13</v>
      </c>
      <c r="BB166" s="161">
        <f t="shared" si="11"/>
        <v>0.13</v>
      </c>
      <c r="BC166" s="162">
        <f t="shared" si="11"/>
        <v>0.13</v>
      </c>
      <c r="BD166" s="161">
        <f t="shared" si="11"/>
        <v>0.13</v>
      </c>
      <c r="BE166" s="161">
        <f t="shared" si="11"/>
        <v>0.13</v>
      </c>
      <c r="BF166" s="161">
        <f t="shared" si="11"/>
        <v>0.13</v>
      </c>
      <c r="BG166" s="161">
        <f t="shared" si="11"/>
        <v>0.12</v>
      </c>
      <c r="BH166" s="162">
        <f t="shared" si="68"/>
        <v>0.12</v>
      </c>
      <c r="BI166" s="161">
        <f t="shared" si="67"/>
        <v>0.12</v>
      </c>
      <c r="BJ166" s="161">
        <f t="shared" si="67"/>
        <v>0.12</v>
      </c>
      <c r="BK166" s="161">
        <f t="shared" si="67"/>
        <v>0.12</v>
      </c>
      <c r="BL166" s="161">
        <f t="shared" si="66"/>
        <v>0.12</v>
      </c>
      <c r="BM166" s="162">
        <f t="shared" si="66"/>
        <v>0.12</v>
      </c>
      <c r="BN166" s="161">
        <v>0.11</v>
      </c>
      <c r="BO166" s="161">
        <f t="shared" si="66"/>
        <v>0.11</v>
      </c>
      <c r="BP166" s="161">
        <f t="shared" si="66"/>
        <v>0.11</v>
      </c>
      <c r="BQ166" s="161">
        <f t="shared" si="66"/>
        <v>0.11</v>
      </c>
      <c r="BR166" s="162">
        <f t="shared" si="66"/>
        <v>0.11</v>
      </c>
      <c r="BS166" s="161">
        <f t="shared" si="66"/>
        <v>0.11</v>
      </c>
      <c r="BT166" s="161">
        <f t="shared" si="13"/>
        <v>0.11</v>
      </c>
      <c r="BU166" s="161">
        <f t="shared" si="13"/>
        <v>0.11</v>
      </c>
      <c r="BV166" s="161">
        <f t="shared" si="13"/>
        <v>0.11</v>
      </c>
      <c r="BW166" s="162">
        <v>0.1</v>
      </c>
      <c r="BX166" s="161">
        <v>0.1</v>
      </c>
      <c r="BY166" s="161">
        <f t="shared" si="23"/>
        <v>0.1</v>
      </c>
      <c r="BZ166" s="161">
        <f t="shared" si="65"/>
        <v>0.1</v>
      </c>
      <c r="CA166" s="161">
        <f t="shared" si="64"/>
        <v>0.1</v>
      </c>
      <c r="CB166" s="162">
        <f t="shared" si="64"/>
        <v>0.1</v>
      </c>
      <c r="CC166" s="161">
        <f t="shared" si="64"/>
        <v>0.1</v>
      </c>
      <c r="CD166" s="161">
        <f t="shared" si="64"/>
        <v>0.1</v>
      </c>
      <c r="CE166" s="161">
        <f t="shared" si="63"/>
        <v>0.1</v>
      </c>
      <c r="CF166" s="161">
        <f t="shared" si="63"/>
        <v>0.1</v>
      </c>
      <c r="CG166" s="162">
        <v>0.09</v>
      </c>
      <c r="CH166" s="161">
        <v>0.09</v>
      </c>
      <c r="CI166" s="161">
        <f t="shared" si="63"/>
        <v>0.09</v>
      </c>
      <c r="CJ166" s="161">
        <f t="shared" si="63"/>
        <v>0.09</v>
      </c>
      <c r="CK166" s="161">
        <f t="shared" si="63"/>
        <v>0.09</v>
      </c>
      <c r="CL166" s="162">
        <f t="shared" si="63"/>
        <v>0.09</v>
      </c>
      <c r="CM166" s="161">
        <f t="shared" si="63"/>
        <v>0.09</v>
      </c>
      <c r="CN166" s="161">
        <f t="shared" si="63"/>
        <v>0.09</v>
      </c>
      <c r="CO166" s="161">
        <f t="shared" si="15"/>
        <v>0.09</v>
      </c>
      <c r="CP166" s="161">
        <f t="shared" si="15"/>
        <v>0.09</v>
      </c>
      <c r="CQ166" s="162">
        <f t="shared" si="16"/>
        <v>0.09</v>
      </c>
      <c r="CR166" s="161">
        <f t="shared" si="16"/>
        <v>0.09</v>
      </c>
      <c r="CS166" s="161">
        <f t="shared" si="17"/>
        <v>0.08</v>
      </c>
      <c r="CT166" s="161">
        <f t="shared" si="17"/>
        <v>0.08</v>
      </c>
      <c r="CU166" s="161">
        <f t="shared" si="17"/>
        <v>0.08</v>
      </c>
      <c r="CV166" s="161">
        <f t="shared" si="17"/>
        <v>0.08</v>
      </c>
      <c r="CW166" s="163">
        <f t="shared" si="17"/>
        <v>0.08</v>
      </c>
    </row>
    <row r="167" spans="1:101" ht="12.75">
      <c r="A167" s="2">
        <v>0.37</v>
      </c>
      <c r="B167" s="160">
        <v>1.34</v>
      </c>
      <c r="C167" s="161">
        <v>0.95</v>
      </c>
      <c r="D167" s="161">
        <v>0.78</v>
      </c>
      <c r="E167" s="162">
        <v>0.66</v>
      </c>
      <c r="F167" s="161">
        <v>0.59</v>
      </c>
      <c r="G167" s="161">
        <v>0.53</v>
      </c>
      <c r="H167" s="161">
        <v>0.49</v>
      </c>
      <c r="I167" s="161">
        <v>0.45</v>
      </c>
      <c r="J167" s="162">
        <v>0.42</v>
      </c>
      <c r="K167" s="161">
        <f t="shared" si="18"/>
        <v>0.3899999999999999</v>
      </c>
      <c r="L167" s="161">
        <f t="shared" si="2"/>
        <v>0.38</v>
      </c>
      <c r="M167" s="161">
        <f t="shared" si="2"/>
        <v>0.35999999999999993</v>
      </c>
      <c r="N167" s="161">
        <f t="shared" si="2"/>
        <v>0.35</v>
      </c>
      <c r="O167" s="162">
        <f>O166-0.01</f>
        <v>0.32999999999999996</v>
      </c>
      <c r="P167" s="161">
        <f t="shared" si="27"/>
        <v>0.32</v>
      </c>
      <c r="Q167" s="161">
        <v>0.31</v>
      </c>
      <c r="R167" s="161">
        <f t="shared" si="27"/>
        <v>0.29</v>
      </c>
      <c r="S167" s="161">
        <v>0.28</v>
      </c>
      <c r="T167" s="162">
        <v>0.27</v>
      </c>
      <c r="U167" s="161">
        <f>U166-0.01</f>
        <v>0.25</v>
      </c>
      <c r="V167" s="161">
        <v>0.25</v>
      </c>
      <c r="W167" s="161">
        <v>0.24</v>
      </c>
      <c r="X167" s="161">
        <f>X166-0.01</f>
        <v>0.22999999999999998</v>
      </c>
      <c r="Y167" s="162">
        <v>0.23</v>
      </c>
      <c r="Z167" s="161">
        <v>0.22</v>
      </c>
      <c r="AA167" s="161">
        <f t="shared" si="19"/>
        <v>0.22</v>
      </c>
      <c r="AB167" s="161">
        <f t="shared" si="19"/>
        <v>0.21</v>
      </c>
      <c r="AC167" s="161">
        <v>0.2</v>
      </c>
      <c r="AD167" s="162">
        <f t="shared" si="3"/>
        <v>0.2</v>
      </c>
      <c r="AE167" s="161">
        <v>0.19</v>
      </c>
      <c r="AF167" s="161">
        <f t="shared" si="3"/>
        <v>0.19</v>
      </c>
      <c r="AG167" s="161">
        <v>0.18</v>
      </c>
      <c r="AH167" s="161">
        <f t="shared" si="4"/>
        <v>0.18</v>
      </c>
      <c r="AI167" s="162">
        <f t="shared" si="5"/>
        <v>0.18</v>
      </c>
      <c r="AJ167" s="161">
        <v>0.17</v>
      </c>
      <c r="AK167" s="161">
        <f t="shared" si="6"/>
        <v>0.17</v>
      </c>
      <c r="AL167" s="161">
        <f t="shared" si="6"/>
        <v>0.17</v>
      </c>
      <c r="AM167" s="161">
        <v>0.16</v>
      </c>
      <c r="AN167" s="162">
        <f t="shared" si="7"/>
        <v>0.16</v>
      </c>
      <c r="AO167" s="161">
        <f t="shared" si="8"/>
        <v>0.16</v>
      </c>
      <c r="AP167" s="161">
        <v>0.15</v>
      </c>
      <c r="AQ167" s="161">
        <f t="shared" si="9"/>
        <v>0.15</v>
      </c>
      <c r="AR167" s="161">
        <f t="shared" si="9"/>
        <v>0.15</v>
      </c>
      <c r="AS167" s="162">
        <f t="shared" si="9"/>
        <v>0.15</v>
      </c>
      <c r="AT167" s="161">
        <f t="shared" si="9"/>
        <v>0.15</v>
      </c>
      <c r="AU167" s="161">
        <v>0.14</v>
      </c>
      <c r="AV167" s="161">
        <f t="shared" si="9"/>
        <v>0.14</v>
      </c>
      <c r="AW167" s="161">
        <f t="shared" si="10"/>
        <v>0.14</v>
      </c>
      <c r="AX167" s="162">
        <f t="shared" si="10"/>
        <v>0.14</v>
      </c>
      <c r="AY167" s="161">
        <f t="shared" si="10"/>
        <v>0.14</v>
      </c>
      <c r="AZ167" s="161">
        <v>0.13</v>
      </c>
      <c r="BA167" s="161">
        <f t="shared" si="10"/>
        <v>0.13</v>
      </c>
      <c r="BB167" s="161">
        <f t="shared" si="11"/>
        <v>0.13</v>
      </c>
      <c r="BC167" s="162">
        <f t="shared" si="11"/>
        <v>0.13</v>
      </c>
      <c r="BD167" s="161">
        <f t="shared" si="11"/>
        <v>0.13</v>
      </c>
      <c r="BE167" s="161">
        <f t="shared" si="11"/>
        <v>0.13</v>
      </c>
      <c r="BF167" s="161">
        <v>0.12</v>
      </c>
      <c r="BG167" s="161">
        <f t="shared" si="11"/>
        <v>0.12</v>
      </c>
      <c r="BH167" s="162">
        <f t="shared" si="68"/>
        <v>0.12</v>
      </c>
      <c r="BI167" s="161">
        <f t="shared" si="67"/>
        <v>0.12</v>
      </c>
      <c r="BJ167" s="161">
        <f t="shared" si="67"/>
        <v>0.12</v>
      </c>
      <c r="BK167" s="161">
        <f t="shared" si="67"/>
        <v>0.12</v>
      </c>
      <c r="BL167" s="161">
        <f t="shared" si="66"/>
        <v>0.12</v>
      </c>
      <c r="BM167" s="162">
        <v>0.11</v>
      </c>
      <c r="BN167" s="161">
        <f t="shared" si="66"/>
        <v>0.11</v>
      </c>
      <c r="BO167" s="161">
        <f t="shared" si="66"/>
        <v>0.11</v>
      </c>
      <c r="BP167" s="161">
        <f t="shared" si="66"/>
        <v>0.11</v>
      </c>
      <c r="BQ167" s="161">
        <f t="shared" si="66"/>
        <v>0.11</v>
      </c>
      <c r="BR167" s="162">
        <f t="shared" si="66"/>
        <v>0.11</v>
      </c>
      <c r="BS167" s="161">
        <f t="shared" si="66"/>
        <v>0.11</v>
      </c>
      <c r="BT167" s="161">
        <f t="shared" si="13"/>
        <v>0.11</v>
      </c>
      <c r="BU167" s="161">
        <v>0.1</v>
      </c>
      <c r="BV167" s="161">
        <v>0.1</v>
      </c>
      <c r="BW167" s="162">
        <f t="shared" si="13"/>
        <v>0.1</v>
      </c>
      <c r="BX167" s="161">
        <f t="shared" si="23"/>
        <v>0.1</v>
      </c>
      <c r="BY167" s="161">
        <f t="shared" si="23"/>
        <v>0.1</v>
      </c>
      <c r="BZ167" s="161">
        <f t="shared" si="65"/>
        <v>0.1</v>
      </c>
      <c r="CA167" s="161">
        <f t="shared" si="64"/>
        <v>0.1</v>
      </c>
      <c r="CB167" s="162">
        <f t="shared" si="64"/>
        <v>0.1</v>
      </c>
      <c r="CC167" s="161">
        <f t="shared" si="64"/>
        <v>0.1</v>
      </c>
      <c r="CD167" s="161">
        <f t="shared" si="64"/>
        <v>0.1</v>
      </c>
      <c r="CE167" s="161">
        <v>0.09</v>
      </c>
      <c r="CF167" s="161">
        <v>0.09</v>
      </c>
      <c r="CG167" s="162">
        <f t="shared" si="63"/>
        <v>0.09</v>
      </c>
      <c r="CH167" s="161">
        <f t="shared" si="63"/>
        <v>0.09</v>
      </c>
      <c r="CI167" s="161">
        <f t="shared" si="63"/>
        <v>0.09</v>
      </c>
      <c r="CJ167" s="161">
        <f t="shared" si="63"/>
        <v>0.09</v>
      </c>
      <c r="CK167" s="161">
        <f t="shared" si="63"/>
        <v>0.09</v>
      </c>
      <c r="CL167" s="162">
        <f t="shared" si="63"/>
        <v>0.09</v>
      </c>
      <c r="CM167" s="161">
        <f t="shared" si="63"/>
        <v>0.09</v>
      </c>
      <c r="CN167" s="161">
        <f t="shared" si="63"/>
        <v>0.09</v>
      </c>
      <c r="CO167" s="161">
        <f t="shared" si="15"/>
        <v>0.09</v>
      </c>
      <c r="CP167" s="161">
        <f t="shared" si="15"/>
        <v>0.09</v>
      </c>
      <c r="CQ167" s="162">
        <f t="shared" si="16"/>
        <v>0.09</v>
      </c>
      <c r="CR167" s="161">
        <f t="shared" si="16"/>
        <v>0.09</v>
      </c>
      <c r="CS167" s="161">
        <f t="shared" si="17"/>
        <v>0.08</v>
      </c>
      <c r="CT167" s="161">
        <f t="shared" si="17"/>
        <v>0.08</v>
      </c>
      <c r="CU167" s="161">
        <f t="shared" si="17"/>
        <v>0.08</v>
      </c>
      <c r="CV167" s="161">
        <f t="shared" si="17"/>
        <v>0.08</v>
      </c>
      <c r="CW167" s="163">
        <f t="shared" si="17"/>
        <v>0.08</v>
      </c>
    </row>
    <row r="168" spans="1:101" ht="12.75">
      <c r="A168" s="2">
        <v>0.38</v>
      </c>
      <c r="B168" s="160">
        <v>1.32</v>
      </c>
      <c r="C168" s="161">
        <v>0.93</v>
      </c>
      <c r="D168" s="161">
        <v>0.76</v>
      </c>
      <c r="E168" s="162">
        <v>0.65</v>
      </c>
      <c r="F168" s="161">
        <v>0.57</v>
      </c>
      <c r="G168" s="161">
        <v>0.52</v>
      </c>
      <c r="H168" s="161">
        <v>0.47</v>
      </c>
      <c r="I168" s="161">
        <v>0.43</v>
      </c>
      <c r="J168" s="162">
        <v>0.41</v>
      </c>
      <c r="K168" s="161">
        <f t="shared" si="18"/>
        <v>0.3799999999999999</v>
      </c>
      <c r="L168" s="161">
        <f t="shared" si="2"/>
        <v>0.37</v>
      </c>
      <c r="M168" s="161">
        <f t="shared" si="2"/>
        <v>0.3499999999999999</v>
      </c>
      <c r="N168" s="161">
        <f t="shared" si="2"/>
        <v>0.33999999999999997</v>
      </c>
      <c r="O168" s="162">
        <v>0.33</v>
      </c>
      <c r="P168" s="161">
        <f t="shared" si="27"/>
        <v>0.31</v>
      </c>
      <c r="Q168" s="161">
        <f t="shared" si="27"/>
        <v>0.3</v>
      </c>
      <c r="R168" s="161">
        <v>0.29</v>
      </c>
      <c r="S168" s="161">
        <f t="shared" si="27"/>
        <v>0.27</v>
      </c>
      <c r="T168" s="162">
        <f>T167-0.01</f>
        <v>0.26</v>
      </c>
      <c r="U168" s="161">
        <v>0.25</v>
      </c>
      <c r="V168" s="161">
        <v>0.24</v>
      </c>
      <c r="W168" s="161">
        <v>0.24</v>
      </c>
      <c r="X168" s="161">
        <v>0.23</v>
      </c>
      <c r="Y168" s="162">
        <f>Y167-0.01</f>
        <v>0.22</v>
      </c>
      <c r="Z168" s="161">
        <f t="shared" si="19"/>
        <v>0.22</v>
      </c>
      <c r="AA168" s="161">
        <v>0.21</v>
      </c>
      <c r="AB168" s="161">
        <f t="shared" si="19"/>
        <v>0.21</v>
      </c>
      <c r="AC168" s="161">
        <f t="shared" si="3"/>
        <v>0.2</v>
      </c>
      <c r="AD168" s="162">
        <v>0.19</v>
      </c>
      <c r="AE168" s="161">
        <f t="shared" si="3"/>
        <v>0.19</v>
      </c>
      <c r="AF168" s="161">
        <v>0.18</v>
      </c>
      <c r="AG168" s="161">
        <f t="shared" si="4"/>
        <v>0.18</v>
      </c>
      <c r="AH168" s="161">
        <f t="shared" si="4"/>
        <v>0.18</v>
      </c>
      <c r="AI168" s="162">
        <v>0.17</v>
      </c>
      <c r="AJ168" s="161">
        <f t="shared" si="5"/>
        <v>0.17</v>
      </c>
      <c r="AK168" s="161">
        <f t="shared" si="6"/>
        <v>0.17</v>
      </c>
      <c r="AL168" s="161">
        <v>0.16</v>
      </c>
      <c r="AM168" s="161">
        <f t="shared" si="7"/>
        <v>0.16</v>
      </c>
      <c r="AN168" s="162">
        <f t="shared" si="7"/>
        <v>0.16</v>
      </c>
      <c r="AO168" s="161">
        <v>0.15</v>
      </c>
      <c r="AP168" s="161">
        <f t="shared" si="8"/>
        <v>0.15</v>
      </c>
      <c r="AQ168" s="161">
        <f t="shared" si="9"/>
        <v>0.15</v>
      </c>
      <c r="AR168" s="161">
        <f t="shared" si="9"/>
        <v>0.15</v>
      </c>
      <c r="AS168" s="162">
        <f t="shared" si="9"/>
        <v>0.15</v>
      </c>
      <c r="AT168" s="161">
        <v>0.14</v>
      </c>
      <c r="AU168" s="161">
        <f t="shared" si="9"/>
        <v>0.14</v>
      </c>
      <c r="AV168" s="161">
        <f t="shared" si="9"/>
        <v>0.14</v>
      </c>
      <c r="AW168" s="161">
        <f t="shared" si="10"/>
        <v>0.14</v>
      </c>
      <c r="AX168" s="162">
        <f t="shared" si="10"/>
        <v>0.14</v>
      </c>
      <c r="AY168" s="161">
        <v>0.13</v>
      </c>
      <c r="AZ168" s="161">
        <f t="shared" si="10"/>
        <v>0.13</v>
      </c>
      <c r="BA168" s="161">
        <f t="shared" si="10"/>
        <v>0.13</v>
      </c>
      <c r="BB168" s="161">
        <f t="shared" si="11"/>
        <v>0.13</v>
      </c>
      <c r="BC168" s="162">
        <f t="shared" si="11"/>
        <v>0.13</v>
      </c>
      <c r="BD168" s="161">
        <f t="shared" si="11"/>
        <v>0.13</v>
      </c>
      <c r="BE168" s="161">
        <f t="shared" si="11"/>
        <v>0.13</v>
      </c>
      <c r="BF168" s="161">
        <f t="shared" si="11"/>
        <v>0.12</v>
      </c>
      <c r="BG168" s="161">
        <f t="shared" si="11"/>
        <v>0.12</v>
      </c>
      <c r="BH168" s="162">
        <f t="shared" si="68"/>
        <v>0.12</v>
      </c>
      <c r="BI168" s="161">
        <f t="shared" si="67"/>
        <v>0.12</v>
      </c>
      <c r="BJ168" s="161">
        <f t="shared" si="67"/>
        <v>0.12</v>
      </c>
      <c r="BK168" s="161">
        <f t="shared" si="67"/>
        <v>0.12</v>
      </c>
      <c r="BL168" s="161">
        <f t="shared" si="66"/>
        <v>0.12</v>
      </c>
      <c r="BM168" s="162">
        <f t="shared" si="66"/>
        <v>0.11</v>
      </c>
      <c r="BN168" s="161">
        <f t="shared" si="66"/>
        <v>0.11</v>
      </c>
      <c r="BO168" s="161">
        <f t="shared" si="66"/>
        <v>0.11</v>
      </c>
      <c r="BP168" s="161">
        <f t="shared" si="66"/>
        <v>0.11</v>
      </c>
      <c r="BQ168" s="161">
        <f t="shared" si="66"/>
        <v>0.11</v>
      </c>
      <c r="BR168" s="162">
        <f t="shared" si="66"/>
        <v>0.11</v>
      </c>
      <c r="BS168" s="161">
        <v>0.1</v>
      </c>
      <c r="BT168" s="161">
        <v>0.1</v>
      </c>
      <c r="BU168" s="161">
        <f t="shared" si="13"/>
        <v>0.1</v>
      </c>
      <c r="BV168" s="161">
        <f t="shared" si="13"/>
        <v>0.1</v>
      </c>
      <c r="BW168" s="162">
        <f t="shared" si="13"/>
        <v>0.1</v>
      </c>
      <c r="BX168" s="161">
        <f t="shared" si="23"/>
        <v>0.1</v>
      </c>
      <c r="BY168" s="161">
        <f t="shared" si="23"/>
        <v>0.1</v>
      </c>
      <c r="BZ168" s="161">
        <f t="shared" si="65"/>
        <v>0.1</v>
      </c>
      <c r="CA168" s="161">
        <f t="shared" si="64"/>
        <v>0.1</v>
      </c>
      <c r="CB168" s="162">
        <f t="shared" si="64"/>
        <v>0.1</v>
      </c>
      <c r="CC168" s="161">
        <v>0.09</v>
      </c>
      <c r="CD168" s="161">
        <v>0.09</v>
      </c>
      <c r="CE168" s="161">
        <f t="shared" si="63"/>
        <v>0.09</v>
      </c>
      <c r="CF168" s="161">
        <f t="shared" si="63"/>
        <v>0.09</v>
      </c>
      <c r="CG168" s="162">
        <f t="shared" si="63"/>
        <v>0.09</v>
      </c>
      <c r="CH168" s="161">
        <f t="shared" si="63"/>
        <v>0.09</v>
      </c>
      <c r="CI168" s="161">
        <f t="shared" si="63"/>
        <v>0.09</v>
      </c>
      <c r="CJ168" s="161">
        <f t="shared" si="63"/>
        <v>0.09</v>
      </c>
      <c r="CK168" s="161">
        <f t="shared" si="63"/>
        <v>0.09</v>
      </c>
      <c r="CL168" s="162">
        <f t="shared" si="63"/>
        <v>0.09</v>
      </c>
      <c r="CM168" s="161">
        <f t="shared" si="63"/>
        <v>0.09</v>
      </c>
      <c r="CN168" s="161">
        <f t="shared" si="63"/>
        <v>0.09</v>
      </c>
      <c r="CO168" s="161">
        <f t="shared" si="15"/>
        <v>0.09</v>
      </c>
      <c r="CP168" s="161">
        <f t="shared" si="15"/>
        <v>0.09</v>
      </c>
      <c r="CQ168" s="162">
        <f t="shared" si="16"/>
        <v>0.09</v>
      </c>
      <c r="CR168" s="161">
        <f t="shared" si="16"/>
        <v>0.09</v>
      </c>
      <c r="CS168" s="161">
        <f t="shared" si="17"/>
        <v>0.08</v>
      </c>
      <c r="CT168" s="161">
        <f t="shared" si="17"/>
        <v>0.08</v>
      </c>
      <c r="CU168" s="161">
        <f t="shared" si="17"/>
        <v>0.08</v>
      </c>
      <c r="CV168" s="161">
        <f t="shared" si="17"/>
        <v>0.08</v>
      </c>
      <c r="CW168" s="163">
        <f t="shared" si="17"/>
        <v>0.08</v>
      </c>
    </row>
    <row r="169" spans="1:101" ht="13.5" thickBot="1">
      <c r="A169" s="2">
        <v>0.39</v>
      </c>
      <c r="B169" s="164">
        <v>1.29</v>
      </c>
      <c r="C169" s="165">
        <v>0.9</v>
      </c>
      <c r="D169" s="165">
        <v>0.74</v>
      </c>
      <c r="E169" s="166">
        <v>0.63</v>
      </c>
      <c r="F169" s="165">
        <v>0.56</v>
      </c>
      <c r="G169" s="165">
        <v>0.5</v>
      </c>
      <c r="H169" s="165">
        <v>0.46</v>
      </c>
      <c r="I169" s="165">
        <v>0.42</v>
      </c>
      <c r="J169" s="166">
        <v>0.4</v>
      </c>
      <c r="K169" s="167">
        <f t="shared" si="18"/>
        <v>0.3699999999999999</v>
      </c>
      <c r="L169" s="165">
        <f t="shared" si="2"/>
        <v>0.36</v>
      </c>
      <c r="M169" s="165">
        <f t="shared" si="2"/>
        <v>0.3399999999999999</v>
      </c>
      <c r="N169" s="165">
        <f t="shared" si="2"/>
        <v>0.32999999999999996</v>
      </c>
      <c r="O169" s="166">
        <f>O168-0.01</f>
        <v>0.32</v>
      </c>
      <c r="P169" s="167">
        <v>0.31</v>
      </c>
      <c r="Q169" s="165">
        <f t="shared" si="27"/>
        <v>0.29</v>
      </c>
      <c r="R169" s="165">
        <f t="shared" si="27"/>
        <v>0.27999999999999997</v>
      </c>
      <c r="S169" s="165">
        <v>0.27</v>
      </c>
      <c r="T169" s="166">
        <v>0.26</v>
      </c>
      <c r="U169" s="165">
        <f>U168-0.01</f>
        <v>0.24</v>
      </c>
      <c r="V169" s="165">
        <v>0.24</v>
      </c>
      <c r="W169" s="165">
        <f>W168-0.01</f>
        <v>0.22999999999999998</v>
      </c>
      <c r="X169" s="165">
        <v>0.23</v>
      </c>
      <c r="Y169" s="166">
        <v>0.22</v>
      </c>
      <c r="Z169" s="167">
        <v>0.21</v>
      </c>
      <c r="AA169" s="165">
        <f t="shared" si="19"/>
        <v>0.21</v>
      </c>
      <c r="AB169" s="165">
        <v>0.2</v>
      </c>
      <c r="AC169" s="165">
        <f t="shared" si="3"/>
        <v>0.2</v>
      </c>
      <c r="AD169" s="166">
        <f t="shared" si="3"/>
        <v>0.19</v>
      </c>
      <c r="AE169" s="165">
        <v>0.18</v>
      </c>
      <c r="AF169" s="165">
        <f t="shared" si="3"/>
        <v>0.18</v>
      </c>
      <c r="AG169" s="165">
        <f t="shared" si="4"/>
        <v>0.18</v>
      </c>
      <c r="AH169" s="165">
        <v>0.17</v>
      </c>
      <c r="AI169" s="166">
        <f t="shared" si="5"/>
        <v>0.17</v>
      </c>
      <c r="AJ169" s="165">
        <f t="shared" si="5"/>
        <v>0.17</v>
      </c>
      <c r="AK169" s="165">
        <v>0.16</v>
      </c>
      <c r="AL169" s="165">
        <f t="shared" si="6"/>
        <v>0.16</v>
      </c>
      <c r="AM169" s="165">
        <f t="shared" si="7"/>
        <v>0.16</v>
      </c>
      <c r="AN169" s="166">
        <f t="shared" si="7"/>
        <v>0.16</v>
      </c>
      <c r="AO169" s="165">
        <f t="shared" si="8"/>
        <v>0.15</v>
      </c>
      <c r="AP169" s="165">
        <f t="shared" si="8"/>
        <v>0.15</v>
      </c>
      <c r="AQ169" s="165">
        <f t="shared" si="9"/>
        <v>0.15</v>
      </c>
      <c r="AR169" s="165">
        <f t="shared" si="9"/>
        <v>0.15</v>
      </c>
      <c r="AS169" s="166">
        <v>0.14</v>
      </c>
      <c r="AT169" s="165">
        <f t="shared" si="9"/>
        <v>0.14</v>
      </c>
      <c r="AU169" s="165">
        <f t="shared" si="9"/>
        <v>0.14</v>
      </c>
      <c r="AV169" s="165">
        <f t="shared" si="9"/>
        <v>0.14</v>
      </c>
      <c r="AW169" s="165">
        <f t="shared" si="10"/>
        <v>0.14</v>
      </c>
      <c r="AX169" s="166">
        <v>0.13</v>
      </c>
      <c r="AY169" s="165">
        <f t="shared" si="10"/>
        <v>0.13</v>
      </c>
      <c r="AZ169" s="165">
        <f t="shared" si="10"/>
        <v>0.13</v>
      </c>
      <c r="BA169" s="165">
        <f t="shared" si="10"/>
        <v>0.13</v>
      </c>
      <c r="BB169" s="165">
        <f t="shared" si="11"/>
        <v>0.13</v>
      </c>
      <c r="BC169" s="166">
        <f t="shared" si="11"/>
        <v>0.13</v>
      </c>
      <c r="BD169" s="165">
        <f t="shared" si="11"/>
        <v>0.13</v>
      </c>
      <c r="BE169" s="165">
        <v>0.12</v>
      </c>
      <c r="BF169" s="165">
        <f t="shared" si="11"/>
        <v>0.12</v>
      </c>
      <c r="BG169" s="165">
        <f t="shared" si="11"/>
        <v>0.12</v>
      </c>
      <c r="BH169" s="166">
        <f t="shared" si="68"/>
        <v>0.12</v>
      </c>
      <c r="BI169" s="165">
        <f t="shared" si="67"/>
        <v>0.12</v>
      </c>
      <c r="BJ169" s="165">
        <f t="shared" si="67"/>
        <v>0.12</v>
      </c>
      <c r="BK169" s="165">
        <f t="shared" si="67"/>
        <v>0.12</v>
      </c>
      <c r="BL169" s="165">
        <v>0.11</v>
      </c>
      <c r="BM169" s="166">
        <f t="shared" si="66"/>
        <v>0.11</v>
      </c>
      <c r="BN169" s="165">
        <f t="shared" si="66"/>
        <v>0.11</v>
      </c>
      <c r="BO169" s="165">
        <f t="shared" si="66"/>
        <v>0.11</v>
      </c>
      <c r="BP169" s="165">
        <f t="shared" si="66"/>
        <v>0.11</v>
      </c>
      <c r="BQ169" s="165">
        <f t="shared" si="66"/>
        <v>0.11</v>
      </c>
      <c r="BR169" s="166">
        <v>0.1</v>
      </c>
      <c r="BS169" s="165">
        <f t="shared" si="66"/>
        <v>0.1</v>
      </c>
      <c r="BT169" s="165">
        <f t="shared" si="13"/>
        <v>0.1</v>
      </c>
      <c r="BU169" s="165">
        <f t="shared" si="13"/>
        <v>0.1</v>
      </c>
      <c r="BV169" s="165">
        <f t="shared" si="13"/>
        <v>0.1</v>
      </c>
      <c r="BW169" s="166">
        <f t="shared" si="13"/>
        <v>0.1</v>
      </c>
      <c r="BX169" s="165">
        <f t="shared" si="23"/>
        <v>0.1</v>
      </c>
      <c r="BY169" s="165">
        <f t="shared" si="23"/>
        <v>0.1</v>
      </c>
      <c r="BZ169" s="165">
        <f t="shared" si="65"/>
        <v>0.1</v>
      </c>
      <c r="CA169" s="165">
        <v>0.09</v>
      </c>
      <c r="CB169" s="166">
        <v>0.09</v>
      </c>
      <c r="CC169" s="165">
        <f t="shared" si="64"/>
        <v>0.09</v>
      </c>
      <c r="CD169" s="165">
        <f t="shared" si="64"/>
        <v>0.09</v>
      </c>
      <c r="CE169" s="165">
        <f t="shared" si="63"/>
        <v>0.09</v>
      </c>
      <c r="CF169" s="165">
        <f t="shared" si="63"/>
        <v>0.09</v>
      </c>
      <c r="CG169" s="166">
        <f t="shared" si="63"/>
        <v>0.09</v>
      </c>
      <c r="CH169" s="165">
        <f t="shared" si="63"/>
        <v>0.09</v>
      </c>
      <c r="CI169" s="165">
        <f t="shared" si="63"/>
        <v>0.09</v>
      </c>
      <c r="CJ169" s="165">
        <f t="shared" si="63"/>
        <v>0.09</v>
      </c>
      <c r="CK169" s="165">
        <f t="shared" si="63"/>
        <v>0.09</v>
      </c>
      <c r="CL169" s="166">
        <f t="shared" si="63"/>
        <v>0.09</v>
      </c>
      <c r="CM169" s="165">
        <f t="shared" si="63"/>
        <v>0.09</v>
      </c>
      <c r="CN169" s="165">
        <f t="shared" si="63"/>
        <v>0.09</v>
      </c>
      <c r="CO169" s="165">
        <f t="shared" si="15"/>
        <v>0.09</v>
      </c>
      <c r="CP169" s="165">
        <f t="shared" si="15"/>
        <v>0.09</v>
      </c>
      <c r="CQ169" s="166">
        <f t="shared" si="16"/>
        <v>0.09</v>
      </c>
      <c r="CR169" s="165">
        <f t="shared" si="16"/>
        <v>0.09</v>
      </c>
      <c r="CS169" s="165">
        <f t="shared" si="17"/>
        <v>0.08</v>
      </c>
      <c r="CT169" s="165">
        <f t="shared" si="17"/>
        <v>0.08</v>
      </c>
      <c r="CU169" s="165">
        <f t="shared" si="17"/>
        <v>0.08</v>
      </c>
      <c r="CV169" s="165">
        <f t="shared" si="17"/>
        <v>0.08</v>
      </c>
      <c r="CW169" s="168">
        <f t="shared" si="17"/>
        <v>0.08</v>
      </c>
    </row>
    <row r="170" spans="1:101" ht="12.75">
      <c r="A170" s="2">
        <v>0.4</v>
      </c>
      <c r="B170" s="160">
        <v>1.27</v>
      </c>
      <c r="C170" s="161">
        <v>0.88</v>
      </c>
      <c r="D170" s="161">
        <v>0.72</v>
      </c>
      <c r="E170" s="162">
        <v>0.61</v>
      </c>
      <c r="F170" s="161">
        <v>0.54</v>
      </c>
      <c r="G170" s="161">
        <v>0.49</v>
      </c>
      <c r="H170" s="161">
        <v>0.45</v>
      </c>
      <c r="I170" s="161">
        <v>0.41</v>
      </c>
      <c r="J170" s="162">
        <v>0.39</v>
      </c>
      <c r="K170" s="161">
        <f t="shared" si="18"/>
        <v>0.3599999999999999</v>
      </c>
      <c r="L170" s="161">
        <f t="shared" si="2"/>
        <v>0.35</v>
      </c>
      <c r="M170" s="161">
        <v>0.34</v>
      </c>
      <c r="N170" s="161">
        <f t="shared" si="2"/>
        <v>0.31999999999999995</v>
      </c>
      <c r="O170" s="162">
        <f>O169-0.01</f>
        <v>0.31</v>
      </c>
      <c r="P170" s="161">
        <f t="shared" si="27"/>
        <v>0.3</v>
      </c>
      <c r="Q170" s="161">
        <v>0.29</v>
      </c>
      <c r="R170" s="161">
        <v>0.28</v>
      </c>
      <c r="S170" s="161">
        <f t="shared" si="27"/>
        <v>0.26</v>
      </c>
      <c r="T170" s="162">
        <f>T169-0.01</f>
        <v>0.25</v>
      </c>
      <c r="U170" s="161">
        <v>0.24</v>
      </c>
      <c r="V170" s="161">
        <f>V169-0.01</f>
        <v>0.22999999999999998</v>
      </c>
      <c r="W170" s="161">
        <v>0.23</v>
      </c>
      <c r="X170" s="161">
        <f>X169-0.01</f>
        <v>0.22</v>
      </c>
      <c r="Y170" s="162">
        <v>0.22</v>
      </c>
      <c r="Z170" s="161">
        <f t="shared" si="19"/>
        <v>0.21</v>
      </c>
      <c r="AA170" s="161">
        <v>0.2</v>
      </c>
      <c r="AB170" s="161">
        <f t="shared" si="19"/>
        <v>0.2</v>
      </c>
      <c r="AC170" s="161">
        <v>0.19</v>
      </c>
      <c r="AD170" s="162">
        <f t="shared" si="3"/>
        <v>0.19</v>
      </c>
      <c r="AE170" s="161">
        <f t="shared" si="3"/>
        <v>0.18</v>
      </c>
      <c r="AF170" s="161">
        <f t="shared" si="3"/>
        <v>0.18</v>
      </c>
      <c r="AG170" s="161">
        <v>0.17</v>
      </c>
      <c r="AH170" s="161">
        <f t="shared" si="4"/>
        <v>0.17</v>
      </c>
      <c r="AI170" s="162">
        <f t="shared" si="5"/>
        <v>0.17</v>
      </c>
      <c r="AJ170" s="161">
        <f t="shared" si="5"/>
        <v>0.17</v>
      </c>
      <c r="AK170" s="161">
        <f t="shared" si="6"/>
        <v>0.16</v>
      </c>
      <c r="AL170" s="161">
        <f t="shared" si="6"/>
        <v>0.16</v>
      </c>
      <c r="AM170" s="161">
        <f t="shared" si="7"/>
        <v>0.16</v>
      </c>
      <c r="AN170" s="162">
        <v>0.15</v>
      </c>
      <c r="AO170" s="161">
        <f t="shared" si="8"/>
        <v>0.15</v>
      </c>
      <c r="AP170" s="161">
        <f t="shared" si="8"/>
        <v>0.15</v>
      </c>
      <c r="AQ170" s="161">
        <f t="shared" si="9"/>
        <v>0.15</v>
      </c>
      <c r="AR170" s="161">
        <v>0.14</v>
      </c>
      <c r="AS170" s="162">
        <f t="shared" si="9"/>
        <v>0.14</v>
      </c>
      <c r="AT170" s="161">
        <f t="shared" si="9"/>
        <v>0.14</v>
      </c>
      <c r="AU170" s="161">
        <f t="shared" si="9"/>
        <v>0.14</v>
      </c>
      <c r="AV170" s="161">
        <f t="shared" si="9"/>
        <v>0.14</v>
      </c>
      <c r="AW170" s="161">
        <v>0.13</v>
      </c>
      <c r="AX170" s="162">
        <f t="shared" si="10"/>
        <v>0.13</v>
      </c>
      <c r="AY170" s="161">
        <f t="shared" si="10"/>
        <v>0.13</v>
      </c>
      <c r="AZ170" s="161">
        <f t="shared" si="10"/>
        <v>0.13</v>
      </c>
      <c r="BA170" s="161">
        <f t="shared" si="10"/>
        <v>0.13</v>
      </c>
      <c r="BB170" s="161">
        <f t="shared" si="11"/>
        <v>0.13</v>
      </c>
      <c r="BC170" s="162">
        <f t="shared" si="11"/>
        <v>0.13</v>
      </c>
      <c r="BD170" s="161">
        <f t="shared" si="11"/>
        <v>0.13</v>
      </c>
      <c r="BE170" s="161">
        <f t="shared" si="11"/>
        <v>0.12</v>
      </c>
      <c r="BF170" s="161">
        <f t="shared" si="11"/>
        <v>0.12</v>
      </c>
      <c r="BG170" s="161">
        <f t="shared" si="11"/>
        <v>0.12</v>
      </c>
      <c r="BH170" s="162">
        <f t="shared" si="68"/>
        <v>0.12</v>
      </c>
      <c r="BI170" s="161">
        <f t="shared" si="67"/>
        <v>0.12</v>
      </c>
      <c r="BJ170" s="161">
        <f t="shared" si="67"/>
        <v>0.12</v>
      </c>
      <c r="BK170" s="161">
        <f t="shared" si="67"/>
        <v>0.12</v>
      </c>
      <c r="BL170" s="161">
        <f t="shared" si="66"/>
        <v>0.11</v>
      </c>
      <c r="BM170" s="162">
        <f t="shared" si="66"/>
        <v>0.11</v>
      </c>
      <c r="BN170" s="161">
        <f t="shared" si="66"/>
        <v>0.11</v>
      </c>
      <c r="BO170" s="161">
        <f t="shared" si="66"/>
        <v>0.11</v>
      </c>
      <c r="BP170" s="161">
        <f t="shared" si="66"/>
        <v>0.11</v>
      </c>
      <c r="BQ170" s="161">
        <v>0.1</v>
      </c>
      <c r="BR170" s="162">
        <f t="shared" si="66"/>
        <v>0.1</v>
      </c>
      <c r="BS170" s="161">
        <f t="shared" si="66"/>
        <v>0.1</v>
      </c>
      <c r="BT170" s="161">
        <f t="shared" si="13"/>
        <v>0.1</v>
      </c>
      <c r="BU170" s="161">
        <f t="shared" si="13"/>
        <v>0.1</v>
      </c>
      <c r="BV170" s="161">
        <f t="shared" si="13"/>
        <v>0.1</v>
      </c>
      <c r="BW170" s="162">
        <f t="shared" si="13"/>
        <v>0.1</v>
      </c>
      <c r="BX170" s="161">
        <f t="shared" si="23"/>
        <v>0.1</v>
      </c>
      <c r="BY170" s="161">
        <v>0.09</v>
      </c>
      <c r="BZ170" s="161">
        <v>0.09</v>
      </c>
      <c r="CA170" s="161">
        <f t="shared" si="64"/>
        <v>0.09</v>
      </c>
      <c r="CB170" s="162">
        <f t="shared" si="64"/>
        <v>0.09</v>
      </c>
      <c r="CC170" s="161">
        <f t="shared" si="64"/>
        <v>0.09</v>
      </c>
      <c r="CD170" s="161">
        <f t="shared" si="64"/>
        <v>0.09</v>
      </c>
      <c r="CE170" s="161">
        <f t="shared" si="63"/>
        <v>0.09</v>
      </c>
      <c r="CF170" s="161">
        <f t="shared" si="63"/>
        <v>0.09</v>
      </c>
      <c r="CG170" s="162">
        <f t="shared" si="63"/>
        <v>0.09</v>
      </c>
      <c r="CH170" s="161">
        <f t="shared" si="63"/>
        <v>0.09</v>
      </c>
      <c r="CI170" s="161">
        <f t="shared" si="63"/>
        <v>0.09</v>
      </c>
      <c r="CJ170" s="161">
        <f t="shared" si="63"/>
        <v>0.09</v>
      </c>
      <c r="CK170" s="161">
        <f t="shared" si="63"/>
        <v>0.09</v>
      </c>
      <c r="CL170" s="162">
        <f t="shared" si="63"/>
        <v>0.09</v>
      </c>
      <c r="CM170" s="161">
        <f t="shared" si="63"/>
        <v>0.09</v>
      </c>
      <c r="CN170" s="161">
        <f t="shared" si="63"/>
        <v>0.09</v>
      </c>
      <c r="CO170" s="161">
        <f t="shared" si="15"/>
        <v>0.09</v>
      </c>
      <c r="CP170" s="161">
        <f t="shared" si="15"/>
        <v>0.09</v>
      </c>
      <c r="CQ170" s="162">
        <f t="shared" si="16"/>
        <v>0.09</v>
      </c>
      <c r="CR170" s="161">
        <f t="shared" si="16"/>
        <v>0.09</v>
      </c>
      <c r="CS170" s="161">
        <f t="shared" si="17"/>
        <v>0.08</v>
      </c>
      <c r="CT170" s="161">
        <f t="shared" si="17"/>
        <v>0.08</v>
      </c>
      <c r="CU170" s="161">
        <f t="shared" si="17"/>
        <v>0.08</v>
      </c>
      <c r="CV170" s="161">
        <f t="shared" si="17"/>
        <v>0.08</v>
      </c>
      <c r="CW170" s="163">
        <f t="shared" si="17"/>
        <v>0.08</v>
      </c>
    </row>
    <row r="171" spans="1:101" ht="12.75">
      <c r="A171" s="2">
        <v>0.41</v>
      </c>
      <c r="B171" s="160">
        <v>1.23</v>
      </c>
      <c r="C171" s="161">
        <v>0.85</v>
      </c>
      <c r="D171" s="161">
        <v>0.7</v>
      </c>
      <c r="E171" s="162">
        <v>0.59</v>
      </c>
      <c r="F171" s="161">
        <v>0.52</v>
      </c>
      <c r="G171" s="161">
        <v>0.47</v>
      </c>
      <c r="H171" s="161">
        <v>0.44</v>
      </c>
      <c r="I171" s="161">
        <v>0.4</v>
      </c>
      <c r="J171" s="162">
        <v>0.38</v>
      </c>
      <c r="K171" s="161">
        <f t="shared" si="18"/>
        <v>0.34999999999999987</v>
      </c>
      <c r="L171" s="161">
        <f t="shared" si="2"/>
        <v>0.33999999999999997</v>
      </c>
      <c r="M171" s="161">
        <f t="shared" si="2"/>
        <v>0.33</v>
      </c>
      <c r="N171" s="161">
        <v>0.32</v>
      </c>
      <c r="O171" s="162">
        <f>O170-0.01</f>
        <v>0.3</v>
      </c>
      <c r="P171" s="161">
        <f t="shared" si="27"/>
        <v>0.29</v>
      </c>
      <c r="Q171" s="161">
        <f t="shared" si="27"/>
        <v>0.27999999999999997</v>
      </c>
      <c r="R171" s="161">
        <f t="shared" si="27"/>
        <v>0.27</v>
      </c>
      <c r="S171" s="161">
        <v>0.26</v>
      </c>
      <c r="T171" s="162">
        <v>0.25</v>
      </c>
      <c r="U171" s="161">
        <f>U170-0.01</f>
        <v>0.22999999999999998</v>
      </c>
      <c r="V171" s="161">
        <v>0.23</v>
      </c>
      <c r="W171" s="161">
        <f>W170-0.01</f>
        <v>0.22</v>
      </c>
      <c r="X171" s="161">
        <v>0.22</v>
      </c>
      <c r="Y171" s="162">
        <f>Y170-0.01</f>
        <v>0.21</v>
      </c>
      <c r="Z171" s="161">
        <f t="shared" si="19"/>
        <v>0.21</v>
      </c>
      <c r="AA171" s="161">
        <f t="shared" si="19"/>
        <v>0.2</v>
      </c>
      <c r="AB171" s="161">
        <v>0.19</v>
      </c>
      <c r="AC171" s="161">
        <f t="shared" si="3"/>
        <v>0.19</v>
      </c>
      <c r="AD171" s="162">
        <v>0.18</v>
      </c>
      <c r="AE171" s="161">
        <f t="shared" si="3"/>
        <v>0.18</v>
      </c>
      <c r="AF171" s="161">
        <v>0.17</v>
      </c>
      <c r="AG171" s="161">
        <f t="shared" si="4"/>
        <v>0.17</v>
      </c>
      <c r="AH171" s="161">
        <f t="shared" si="4"/>
        <v>0.17</v>
      </c>
      <c r="AI171" s="162">
        <v>0.16</v>
      </c>
      <c r="AJ171" s="161">
        <v>0.16</v>
      </c>
      <c r="AK171" s="161">
        <f t="shared" si="6"/>
        <v>0.16</v>
      </c>
      <c r="AL171" s="161">
        <f t="shared" si="6"/>
        <v>0.16</v>
      </c>
      <c r="AM171" s="161">
        <v>0.15</v>
      </c>
      <c r="AN171" s="162">
        <f t="shared" si="7"/>
        <v>0.15</v>
      </c>
      <c r="AO171" s="161">
        <f t="shared" si="8"/>
        <v>0.15</v>
      </c>
      <c r="AP171" s="161">
        <f t="shared" si="8"/>
        <v>0.15</v>
      </c>
      <c r="AQ171" s="161">
        <v>0.14</v>
      </c>
      <c r="AR171" s="161">
        <f t="shared" si="9"/>
        <v>0.14</v>
      </c>
      <c r="AS171" s="162">
        <f t="shared" si="9"/>
        <v>0.14</v>
      </c>
      <c r="AT171" s="161">
        <f t="shared" si="9"/>
        <v>0.14</v>
      </c>
      <c r="AU171" s="161">
        <f t="shared" si="9"/>
        <v>0.14</v>
      </c>
      <c r="AV171" s="161">
        <v>0.13</v>
      </c>
      <c r="AW171" s="161">
        <f t="shared" si="10"/>
        <v>0.13</v>
      </c>
      <c r="AX171" s="162">
        <f t="shared" si="10"/>
        <v>0.13</v>
      </c>
      <c r="AY171" s="161">
        <f t="shared" si="10"/>
        <v>0.13</v>
      </c>
      <c r="AZ171" s="161">
        <f t="shared" si="10"/>
        <v>0.13</v>
      </c>
      <c r="BA171" s="161">
        <f t="shared" si="10"/>
        <v>0.13</v>
      </c>
      <c r="BB171" s="161">
        <f t="shared" si="11"/>
        <v>0.13</v>
      </c>
      <c r="BC171" s="162">
        <v>0.12</v>
      </c>
      <c r="BD171" s="161">
        <v>0.12</v>
      </c>
      <c r="BE171" s="161">
        <f t="shared" si="11"/>
        <v>0.12</v>
      </c>
      <c r="BF171" s="161">
        <f t="shared" si="11"/>
        <v>0.12</v>
      </c>
      <c r="BG171" s="161">
        <f t="shared" si="11"/>
        <v>0.12</v>
      </c>
      <c r="BH171" s="162">
        <f t="shared" si="68"/>
        <v>0.12</v>
      </c>
      <c r="BI171" s="161">
        <f t="shared" si="67"/>
        <v>0.12</v>
      </c>
      <c r="BJ171" s="161">
        <f t="shared" si="67"/>
        <v>0.12</v>
      </c>
      <c r="BK171" s="161">
        <v>0.11</v>
      </c>
      <c r="BL171" s="161">
        <f t="shared" si="66"/>
        <v>0.11</v>
      </c>
      <c r="BM171" s="162">
        <f t="shared" si="66"/>
        <v>0.11</v>
      </c>
      <c r="BN171" s="161">
        <f t="shared" si="66"/>
        <v>0.11</v>
      </c>
      <c r="BO171" s="161">
        <f t="shared" si="66"/>
        <v>0.11</v>
      </c>
      <c r="BP171" s="161">
        <f t="shared" si="66"/>
        <v>0.11</v>
      </c>
      <c r="BQ171" s="161">
        <f t="shared" si="66"/>
        <v>0.1</v>
      </c>
      <c r="BR171" s="162">
        <f t="shared" si="66"/>
        <v>0.1</v>
      </c>
      <c r="BS171" s="161">
        <f t="shared" si="66"/>
        <v>0.1</v>
      </c>
      <c r="BT171" s="161">
        <f t="shared" si="13"/>
        <v>0.1</v>
      </c>
      <c r="BU171" s="161">
        <f t="shared" si="13"/>
        <v>0.1</v>
      </c>
      <c r="BV171" s="161">
        <f t="shared" si="13"/>
        <v>0.1</v>
      </c>
      <c r="BW171" s="162">
        <f t="shared" si="13"/>
        <v>0.1</v>
      </c>
      <c r="BX171" s="161">
        <f t="shared" si="23"/>
        <v>0.1</v>
      </c>
      <c r="BY171" s="161">
        <f t="shared" si="23"/>
        <v>0.09</v>
      </c>
      <c r="BZ171" s="161">
        <f t="shared" si="65"/>
        <v>0.09</v>
      </c>
      <c r="CA171" s="161">
        <f t="shared" si="64"/>
        <v>0.09</v>
      </c>
      <c r="CB171" s="162">
        <f t="shared" si="64"/>
        <v>0.09</v>
      </c>
      <c r="CC171" s="161">
        <f t="shared" si="64"/>
        <v>0.09</v>
      </c>
      <c r="CD171" s="161">
        <f t="shared" si="64"/>
        <v>0.09</v>
      </c>
      <c r="CE171" s="161">
        <f t="shared" si="63"/>
        <v>0.09</v>
      </c>
      <c r="CF171" s="161">
        <f t="shared" si="63"/>
        <v>0.09</v>
      </c>
      <c r="CG171" s="162">
        <f t="shared" si="63"/>
        <v>0.09</v>
      </c>
      <c r="CH171" s="161">
        <f t="shared" si="63"/>
        <v>0.09</v>
      </c>
      <c r="CI171" s="161">
        <f t="shared" si="63"/>
        <v>0.09</v>
      </c>
      <c r="CJ171" s="161">
        <f t="shared" si="63"/>
        <v>0.09</v>
      </c>
      <c r="CK171" s="161">
        <f t="shared" si="63"/>
        <v>0.09</v>
      </c>
      <c r="CL171" s="162">
        <f t="shared" si="63"/>
        <v>0.09</v>
      </c>
      <c r="CM171" s="161">
        <f t="shared" si="63"/>
        <v>0.09</v>
      </c>
      <c r="CN171" s="161">
        <f t="shared" si="63"/>
        <v>0.09</v>
      </c>
      <c r="CO171" s="161">
        <f t="shared" si="15"/>
        <v>0.09</v>
      </c>
      <c r="CP171" s="161">
        <f t="shared" si="15"/>
        <v>0.09</v>
      </c>
      <c r="CQ171" s="162">
        <v>0.08</v>
      </c>
      <c r="CR171" s="161">
        <v>0.08</v>
      </c>
      <c r="CS171" s="161">
        <f t="shared" si="17"/>
        <v>0.08</v>
      </c>
      <c r="CT171" s="161">
        <f t="shared" si="17"/>
        <v>0.08</v>
      </c>
      <c r="CU171" s="161">
        <f t="shared" si="17"/>
        <v>0.08</v>
      </c>
      <c r="CV171" s="161">
        <f t="shared" si="17"/>
        <v>0.08</v>
      </c>
      <c r="CW171" s="163">
        <f t="shared" si="17"/>
        <v>0.08</v>
      </c>
    </row>
    <row r="172" spans="1:101" ht="12.75">
      <c r="A172" s="2">
        <v>0.42</v>
      </c>
      <c r="B172" s="160">
        <v>1.19</v>
      </c>
      <c r="C172" s="161">
        <v>0.83</v>
      </c>
      <c r="D172" s="161">
        <v>0.67</v>
      </c>
      <c r="E172" s="162">
        <v>0.57</v>
      </c>
      <c r="F172" s="161">
        <v>0.5</v>
      </c>
      <c r="G172" s="161">
        <v>0.46</v>
      </c>
      <c r="H172" s="161">
        <v>0.42</v>
      </c>
      <c r="I172" s="161">
        <v>0.39</v>
      </c>
      <c r="J172" s="162">
        <v>0.37</v>
      </c>
      <c r="K172" s="161">
        <f t="shared" si="18"/>
        <v>0.33999999999999986</v>
      </c>
      <c r="L172" s="161">
        <f t="shared" si="2"/>
        <v>0.32999999999999996</v>
      </c>
      <c r="M172" s="161">
        <f t="shared" si="2"/>
        <v>0.32</v>
      </c>
      <c r="N172" s="161">
        <f t="shared" si="2"/>
        <v>0.31</v>
      </c>
      <c r="O172" s="162">
        <v>0.3</v>
      </c>
      <c r="P172" s="161">
        <f t="shared" si="27"/>
        <v>0.27999999999999997</v>
      </c>
      <c r="Q172" s="161">
        <f t="shared" si="27"/>
        <v>0.26999999999999996</v>
      </c>
      <c r="R172" s="161">
        <f t="shared" si="27"/>
        <v>0.26</v>
      </c>
      <c r="S172" s="161">
        <f t="shared" si="27"/>
        <v>0.25</v>
      </c>
      <c r="T172" s="162">
        <f>T171-0.01</f>
        <v>0.24</v>
      </c>
      <c r="U172" s="161">
        <v>0.23</v>
      </c>
      <c r="V172" s="161">
        <f>V171-0.01</f>
        <v>0.22</v>
      </c>
      <c r="W172" s="161">
        <v>0.22</v>
      </c>
      <c r="X172" s="161">
        <f>X171-0.01</f>
        <v>0.21</v>
      </c>
      <c r="Y172" s="162">
        <v>0.21</v>
      </c>
      <c r="Z172" s="161">
        <v>0.2</v>
      </c>
      <c r="AA172" s="161">
        <v>0.19</v>
      </c>
      <c r="AB172" s="161">
        <f t="shared" si="19"/>
        <v>0.19</v>
      </c>
      <c r="AC172" s="161">
        <v>0.18</v>
      </c>
      <c r="AD172" s="162">
        <f t="shared" si="3"/>
        <v>0.18</v>
      </c>
      <c r="AE172" s="161">
        <v>0.17</v>
      </c>
      <c r="AF172" s="161">
        <f t="shared" si="3"/>
        <v>0.17</v>
      </c>
      <c r="AG172" s="161">
        <f t="shared" si="4"/>
        <v>0.17</v>
      </c>
      <c r="AH172" s="161">
        <v>0.16</v>
      </c>
      <c r="AI172" s="162">
        <f t="shared" si="5"/>
        <v>0.16</v>
      </c>
      <c r="AJ172" s="161">
        <f t="shared" si="5"/>
        <v>0.16</v>
      </c>
      <c r="AK172" s="161">
        <f t="shared" si="6"/>
        <v>0.16</v>
      </c>
      <c r="AL172" s="161">
        <v>0.15</v>
      </c>
      <c r="AM172" s="161">
        <f t="shared" si="7"/>
        <v>0.15</v>
      </c>
      <c r="AN172" s="162">
        <f t="shared" si="7"/>
        <v>0.15</v>
      </c>
      <c r="AO172" s="161">
        <f t="shared" si="8"/>
        <v>0.15</v>
      </c>
      <c r="AP172" s="161">
        <v>0.14</v>
      </c>
      <c r="AQ172" s="161">
        <f t="shared" si="9"/>
        <v>0.14</v>
      </c>
      <c r="AR172" s="161">
        <f t="shared" si="9"/>
        <v>0.14</v>
      </c>
      <c r="AS172" s="162">
        <f t="shared" si="9"/>
        <v>0.14</v>
      </c>
      <c r="AT172" s="161">
        <f t="shared" si="9"/>
        <v>0.14</v>
      </c>
      <c r="AU172" s="161">
        <v>0.13</v>
      </c>
      <c r="AV172" s="161">
        <f t="shared" si="9"/>
        <v>0.13</v>
      </c>
      <c r="AW172" s="161">
        <f t="shared" si="10"/>
        <v>0.13</v>
      </c>
      <c r="AX172" s="162">
        <f t="shared" si="10"/>
        <v>0.13</v>
      </c>
      <c r="AY172" s="161">
        <f t="shared" si="10"/>
        <v>0.13</v>
      </c>
      <c r="AZ172" s="161">
        <f t="shared" si="10"/>
        <v>0.13</v>
      </c>
      <c r="BA172" s="161">
        <v>0.12</v>
      </c>
      <c r="BB172" s="161">
        <v>0.12</v>
      </c>
      <c r="BC172" s="162">
        <f t="shared" si="11"/>
        <v>0.12</v>
      </c>
      <c r="BD172" s="161">
        <f t="shared" si="11"/>
        <v>0.12</v>
      </c>
      <c r="BE172" s="161">
        <f t="shared" si="11"/>
        <v>0.12</v>
      </c>
      <c r="BF172" s="161">
        <f t="shared" si="11"/>
        <v>0.12</v>
      </c>
      <c r="BG172" s="161">
        <f t="shared" si="11"/>
        <v>0.12</v>
      </c>
      <c r="BH172" s="162">
        <f t="shared" si="68"/>
        <v>0.12</v>
      </c>
      <c r="BI172" s="161">
        <f t="shared" si="67"/>
        <v>0.12</v>
      </c>
      <c r="BJ172" s="161">
        <v>0.11</v>
      </c>
      <c r="BK172" s="161">
        <f t="shared" si="67"/>
        <v>0.11</v>
      </c>
      <c r="BL172" s="161">
        <f t="shared" si="66"/>
        <v>0.11</v>
      </c>
      <c r="BM172" s="162">
        <f t="shared" si="66"/>
        <v>0.11</v>
      </c>
      <c r="BN172" s="161">
        <f t="shared" si="66"/>
        <v>0.11</v>
      </c>
      <c r="BO172" s="161">
        <f t="shared" si="66"/>
        <v>0.11</v>
      </c>
      <c r="BP172" s="161">
        <v>0.1</v>
      </c>
      <c r="BQ172" s="161">
        <f t="shared" si="66"/>
        <v>0.1</v>
      </c>
      <c r="BR172" s="162">
        <f t="shared" si="66"/>
        <v>0.1</v>
      </c>
      <c r="BS172" s="161">
        <f t="shared" si="66"/>
        <v>0.1</v>
      </c>
      <c r="BT172" s="161">
        <f t="shared" si="13"/>
        <v>0.1</v>
      </c>
      <c r="BU172" s="161">
        <f t="shared" si="13"/>
        <v>0.1</v>
      </c>
      <c r="BV172" s="161">
        <f t="shared" si="13"/>
        <v>0.1</v>
      </c>
      <c r="BW172" s="162">
        <f t="shared" si="13"/>
        <v>0.1</v>
      </c>
      <c r="BX172" s="161">
        <f t="shared" si="23"/>
        <v>0.1</v>
      </c>
      <c r="BY172" s="161">
        <f t="shared" si="23"/>
        <v>0.09</v>
      </c>
      <c r="BZ172" s="161">
        <f t="shared" si="65"/>
        <v>0.09</v>
      </c>
      <c r="CA172" s="161">
        <f t="shared" si="64"/>
        <v>0.09</v>
      </c>
      <c r="CB172" s="162">
        <f t="shared" si="64"/>
        <v>0.09</v>
      </c>
      <c r="CC172" s="161">
        <f t="shared" si="64"/>
        <v>0.09</v>
      </c>
      <c r="CD172" s="161">
        <f t="shared" si="64"/>
        <v>0.09</v>
      </c>
      <c r="CE172" s="161">
        <f t="shared" si="63"/>
        <v>0.09</v>
      </c>
      <c r="CF172" s="161">
        <f t="shared" si="63"/>
        <v>0.09</v>
      </c>
      <c r="CG172" s="162">
        <f t="shared" si="63"/>
        <v>0.09</v>
      </c>
      <c r="CH172" s="161">
        <f t="shared" si="63"/>
        <v>0.09</v>
      </c>
      <c r="CI172" s="161">
        <f t="shared" si="63"/>
        <v>0.09</v>
      </c>
      <c r="CJ172" s="161">
        <f t="shared" si="63"/>
        <v>0.09</v>
      </c>
      <c r="CK172" s="161">
        <f t="shared" si="63"/>
        <v>0.09</v>
      </c>
      <c r="CL172" s="162">
        <f t="shared" si="63"/>
        <v>0.09</v>
      </c>
      <c r="CM172" s="161">
        <f t="shared" si="63"/>
        <v>0.09</v>
      </c>
      <c r="CN172" s="161">
        <f t="shared" si="63"/>
        <v>0.09</v>
      </c>
      <c r="CO172" s="161">
        <v>0.08</v>
      </c>
      <c r="CP172" s="161">
        <v>0.08</v>
      </c>
      <c r="CQ172" s="162">
        <f t="shared" si="16"/>
        <v>0.08</v>
      </c>
      <c r="CR172" s="161">
        <f t="shared" si="16"/>
        <v>0.08</v>
      </c>
      <c r="CS172" s="161">
        <f t="shared" si="17"/>
        <v>0.08</v>
      </c>
      <c r="CT172" s="161">
        <f t="shared" si="17"/>
        <v>0.08</v>
      </c>
      <c r="CU172" s="161">
        <f t="shared" si="17"/>
        <v>0.08</v>
      </c>
      <c r="CV172" s="161">
        <f t="shared" si="17"/>
        <v>0.08</v>
      </c>
      <c r="CW172" s="163">
        <f t="shared" si="17"/>
        <v>0.08</v>
      </c>
    </row>
    <row r="173" spans="1:101" ht="12.75">
      <c r="A173" s="2">
        <v>0.43</v>
      </c>
      <c r="B173" s="160">
        <v>1.16</v>
      </c>
      <c r="C173" s="161">
        <v>0.8</v>
      </c>
      <c r="D173" s="161">
        <v>0.65</v>
      </c>
      <c r="E173" s="162">
        <v>0.55</v>
      </c>
      <c r="F173" s="161">
        <v>0.49</v>
      </c>
      <c r="G173" s="161">
        <v>0.44</v>
      </c>
      <c r="H173" s="161">
        <v>0.41</v>
      </c>
      <c r="I173" s="161">
        <v>0.37</v>
      </c>
      <c r="J173" s="162">
        <v>0.35</v>
      </c>
      <c r="K173" s="161">
        <f t="shared" si="18"/>
        <v>0.32999999999999985</v>
      </c>
      <c r="L173" s="161">
        <f t="shared" si="2"/>
        <v>0.31999999999999995</v>
      </c>
      <c r="M173" s="161">
        <f t="shared" si="2"/>
        <v>0.31</v>
      </c>
      <c r="N173" s="161">
        <f t="shared" si="2"/>
        <v>0.3</v>
      </c>
      <c r="O173" s="162">
        <f t="shared" si="2"/>
        <v>0.29</v>
      </c>
      <c r="P173" s="161">
        <v>0.28</v>
      </c>
      <c r="Q173" s="161">
        <v>0.27</v>
      </c>
      <c r="R173" s="161">
        <f t="shared" si="27"/>
        <v>0.25</v>
      </c>
      <c r="S173" s="161">
        <f t="shared" si="27"/>
        <v>0.24</v>
      </c>
      <c r="T173" s="162">
        <f>T172-0.01</f>
        <v>0.22999999999999998</v>
      </c>
      <c r="U173" s="161">
        <f>U172-0.01</f>
        <v>0.22</v>
      </c>
      <c r="V173" s="161">
        <v>0.22</v>
      </c>
      <c r="W173" s="161">
        <f>W172-0.01</f>
        <v>0.21</v>
      </c>
      <c r="X173" s="161">
        <v>0.21</v>
      </c>
      <c r="Y173" s="162">
        <f>Y172-0.01</f>
        <v>0.19999999999999998</v>
      </c>
      <c r="Z173" s="161">
        <f t="shared" si="19"/>
        <v>0.2</v>
      </c>
      <c r="AA173" s="161">
        <f t="shared" si="19"/>
        <v>0.19</v>
      </c>
      <c r="AB173" s="161">
        <v>0.18</v>
      </c>
      <c r="AC173" s="161">
        <f t="shared" si="3"/>
        <v>0.18</v>
      </c>
      <c r="AD173" s="162">
        <v>0.17</v>
      </c>
      <c r="AE173" s="161">
        <f t="shared" si="3"/>
        <v>0.17</v>
      </c>
      <c r="AF173" s="161">
        <f t="shared" si="3"/>
        <v>0.17</v>
      </c>
      <c r="AG173" s="161">
        <v>0.16</v>
      </c>
      <c r="AH173" s="161">
        <f t="shared" si="4"/>
        <v>0.16</v>
      </c>
      <c r="AI173" s="162">
        <f t="shared" si="5"/>
        <v>0.16</v>
      </c>
      <c r="AJ173" s="161">
        <f t="shared" si="5"/>
        <v>0.16</v>
      </c>
      <c r="AK173" s="161">
        <v>0.15</v>
      </c>
      <c r="AL173" s="161">
        <f t="shared" si="6"/>
        <v>0.15</v>
      </c>
      <c r="AM173" s="161">
        <f t="shared" si="7"/>
        <v>0.15</v>
      </c>
      <c r="AN173" s="162">
        <f t="shared" si="7"/>
        <v>0.15</v>
      </c>
      <c r="AO173" s="161">
        <v>0.14</v>
      </c>
      <c r="AP173" s="161">
        <f t="shared" si="8"/>
        <v>0.14</v>
      </c>
      <c r="AQ173" s="161">
        <f t="shared" si="9"/>
        <v>0.14</v>
      </c>
      <c r="AR173" s="161">
        <f t="shared" si="9"/>
        <v>0.14</v>
      </c>
      <c r="AS173" s="162">
        <f t="shared" si="9"/>
        <v>0.14</v>
      </c>
      <c r="AT173" s="161">
        <v>0.13</v>
      </c>
      <c r="AU173" s="161">
        <f t="shared" si="9"/>
        <v>0.13</v>
      </c>
      <c r="AV173" s="161">
        <f t="shared" si="9"/>
        <v>0.13</v>
      </c>
      <c r="AW173" s="161">
        <f t="shared" si="10"/>
        <v>0.13</v>
      </c>
      <c r="AX173" s="162">
        <f t="shared" si="10"/>
        <v>0.13</v>
      </c>
      <c r="AY173" s="161">
        <v>0.12</v>
      </c>
      <c r="AZ173" s="161">
        <v>0.12</v>
      </c>
      <c r="BA173" s="161">
        <f t="shared" si="10"/>
        <v>0.12</v>
      </c>
      <c r="BB173" s="161">
        <f t="shared" si="11"/>
        <v>0.12</v>
      </c>
      <c r="BC173" s="162">
        <f t="shared" si="11"/>
        <v>0.12</v>
      </c>
      <c r="BD173" s="161">
        <f t="shared" si="11"/>
        <v>0.12</v>
      </c>
      <c r="BE173" s="161">
        <f t="shared" si="11"/>
        <v>0.12</v>
      </c>
      <c r="BF173" s="161">
        <f t="shared" si="11"/>
        <v>0.12</v>
      </c>
      <c r="BG173" s="161">
        <f t="shared" si="11"/>
        <v>0.12</v>
      </c>
      <c r="BH173" s="162">
        <f t="shared" si="68"/>
        <v>0.12</v>
      </c>
      <c r="BI173" s="161">
        <v>0.11</v>
      </c>
      <c r="BJ173" s="161">
        <f t="shared" si="67"/>
        <v>0.11</v>
      </c>
      <c r="BK173" s="161">
        <f t="shared" si="67"/>
        <v>0.11</v>
      </c>
      <c r="BL173" s="161">
        <f t="shared" si="66"/>
        <v>0.11</v>
      </c>
      <c r="BM173" s="162">
        <f t="shared" si="66"/>
        <v>0.11</v>
      </c>
      <c r="BN173" s="161">
        <f t="shared" si="66"/>
        <v>0.11</v>
      </c>
      <c r="BO173" s="161">
        <f t="shared" si="66"/>
        <v>0.11</v>
      </c>
      <c r="BP173" s="161">
        <f t="shared" si="66"/>
        <v>0.1</v>
      </c>
      <c r="BQ173" s="161">
        <f t="shared" si="66"/>
        <v>0.1</v>
      </c>
      <c r="BR173" s="162">
        <f t="shared" si="66"/>
        <v>0.1</v>
      </c>
      <c r="BS173" s="161">
        <f t="shared" si="66"/>
        <v>0.1</v>
      </c>
      <c r="BT173" s="161">
        <f t="shared" si="13"/>
        <v>0.1</v>
      </c>
      <c r="BU173" s="161">
        <f t="shared" si="13"/>
        <v>0.1</v>
      </c>
      <c r="BV173" s="161">
        <f t="shared" si="13"/>
        <v>0.1</v>
      </c>
      <c r="BW173" s="162">
        <f t="shared" si="13"/>
        <v>0.1</v>
      </c>
      <c r="BX173" s="161">
        <f t="shared" si="23"/>
        <v>0.1</v>
      </c>
      <c r="BY173" s="161">
        <f t="shared" si="23"/>
        <v>0.09</v>
      </c>
      <c r="BZ173" s="161">
        <f t="shared" si="65"/>
        <v>0.09</v>
      </c>
      <c r="CA173" s="161">
        <f t="shared" si="64"/>
        <v>0.09</v>
      </c>
      <c r="CB173" s="162">
        <f t="shared" si="64"/>
        <v>0.09</v>
      </c>
      <c r="CC173" s="161">
        <f t="shared" si="64"/>
        <v>0.09</v>
      </c>
      <c r="CD173" s="161">
        <f t="shared" si="64"/>
        <v>0.09</v>
      </c>
      <c r="CE173" s="161">
        <f t="shared" si="63"/>
        <v>0.09</v>
      </c>
      <c r="CF173" s="161">
        <f t="shared" si="63"/>
        <v>0.09</v>
      </c>
      <c r="CG173" s="162">
        <f t="shared" si="63"/>
        <v>0.09</v>
      </c>
      <c r="CH173" s="161">
        <f t="shared" si="63"/>
        <v>0.09</v>
      </c>
      <c r="CI173" s="161">
        <f t="shared" si="63"/>
        <v>0.09</v>
      </c>
      <c r="CJ173" s="161">
        <f t="shared" si="63"/>
        <v>0.09</v>
      </c>
      <c r="CK173" s="161">
        <f t="shared" si="63"/>
        <v>0.09</v>
      </c>
      <c r="CL173" s="162">
        <v>0.08</v>
      </c>
      <c r="CM173" s="161">
        <v>0.08</v>
      </c>
      <c r="CN173" s="161">
        <v>0.08</v>
      </c>
      <c r="CO173" s="161">
        <f t="shared" si="15"/>
        <v>0.08</v>
      </c>
      <c r="CP173" s="161">
        <f t="shared" si="15"/>
        <v>0.08</v>
      </c>
      <c r="CQ173" s="162">
        <f t="shared" si="16"/>
        <v>0.08</v>
      </c>
      <c r="CR173" s="161">
        <f t="shared" si="16"/>
        <v>0.08</v>
      </c>
      <c r="CS173" s="161">
        <f t="shared" si="17"/>
        <v>0.08</v>
      </c>
      <c r="CT173" s="161">
        <f t="shared" si="17"/>
        <v>0.08</v>
      </c>
      <c r="CU173" s="161">
        <f t="shared" si="17"/>
        <v>0.08</v>
      </c>
      <c r="CV173" s="161">
        <f t="shared" si="17"/>
        <v>0.08</v>
      </c>
      <c r="CW173" s="163">
        <f t="shared" si="17"/>
        <v>0.08</v>
      </c>
    </row>
    <row r="174" spans="1:101" ht="13.5" thickBot="1">
      <c r="A174" s="2">
        <v>0.44</v>
      </c>
      <c r="B174" s="164">
        <v>1.12</v>
      </c>
      <c r="C174" s="165">
        <v>0.78</v>
      </c>
      <c r="D174" s="165">
        <v>0.62</v>
      </c>
      <c r="E174" s="166">
        <v>0.53</v>
      </c>
      <c r="F174" s="165">
        <v>0.47</v>
      </c>
      <c r="G174" s="165">
        <v>0.43</v>
      </c>
      <c r="H174" s="165">
        <v>0.39</v>
      </c>
      <c r="I174" s="165">
        <v>0.36</v>
      </c>
      <c r="J174" s="166">
        <v>0.34</v>
      </c>
      <c r="K174" s="167">
        <f t="shared" si="18"/>
        <v>0.31999999999999984</v>
      </c>
      <c r="L174" s="165">
        <f t="shared" si="2"/>
        <v>0.30999999999999994</v>
      </c>
      <c r="M174" s="165">
        <f t="shared" si="2"/>
        <v>0.3</v>
      </c>
      <c r="N174" s="165">
        <f t="shared" si="2"/>
        <v>0.29</v>
      </c>
      <c r="O174" s="166">
        <f t="shared" si="2"/>
        <v>0.27999999999999997</v>
      </c>
      <c r="P174" s="167">
        <f t="shared" si="27"/>
        <v>0.27</v>
      </c>
      <c r="Q174" s="165">
        <f t="shared" si="27"/>
        <v>0.26</v>
      </c>
      <c r="R174" s="165">
        <v>0.25</v>
      </c>
      <c r="S174" s="165">
        <v>0.24</v>
      </c>
      <c r="T174" s="166">
        <v>0.23</v>
      </c>
      <c r="U174" s="165">
        <v>0.22</v>
      </c>
      <c r="V174" s="165">
        <f>V173-0.01</f>
        <v>0.21</v>
      </c>
      <c r="W174" s="165">
        <v>0.21</v>
      </c>
      <c r="X174" s="165">
        <f>X173-0.01</f>
        <v>0.19999999999999998</v>
      </c>
      <c r="Y174" s="166">
        <v>0.2</v>
      </c>
      <c r="Z174" s="167">
        <v>0.19</v>
      </c>
      <c r="AA174" s="165">
        <v>0.18</v>
      </c>
      <c r="AB174" s="165">
        <f t="shared" si="19"/>
        <v>0.18</v>
      </c>
      <c r="AC174" s="165">
        <v>0.17</v>
      </c>
      <c r="AD174" s="166">
        <f t="shared" si="3"/>
        <v>0.17</v>
      </c>
      <c r="AE174" s="165">
        <v>0.16</v>
      </c>
      <c r="AF174" s="165">
        <v>0.16</v>
      </c>
      <c r="AG174" s="165">
        <f t="shared" si="4"/>
        <v>0.16</v>
      </c>
      <c r="AH174" s="165">
        <f t="shared" si="4"/>
        <v>0.16</v>
      </c>
      <c r="AI174" s="166">
        <f t="shared" si="5"/>
        <v>0.16</v>
      </c>
      <c r="AJ174" s="165">
        <v>0.15</v>
      </c>
      <c r="AK174" s="165">
        <f t="shared" si="6"/>
        <v>0.15</v>
      </c>
      <c r="AL174" s="165">
        <f t="shared" si="6"/>
        <v>0.15</v>
      </c>
      <c r="AM174" s="165">
        <f t="shared" si="7"/>
        <v>0.15</v>
      </c>
      <c r="AN174" s="166">
        <v>0.14</v>
      </c>
      <c r="AO174" s="165">
        <f t="shared" si="8"/>
        <v>0.14</v>
      </c>
      <c r="AP174" s="165">
        <f t="shared" si="8"/>
        <v>0.14</v>
      </c>
      <c r="AQ174" s="165">
        <f t="shared" si="9"/>
        <v>0.14</v>
      </c>
      <c r="AR174" s="165">
        <f t="shared" si="9"/>
        <v>0.14</v>
      </c>
      <c r="AS174" s="166">
        <v>0.13</v>
      </c>
      <c r="AT174" s="165">
        <f t="shared" si="9"/>
        <v>0.13</v>
      </c>
      <c r="AU174" s="165">
        <f t="shared" si="9"/>
        <v>0.13</v>
      </c>
      <c r="AV174" s="165">
        <f t="shared" si="9"/>
        <v>0.13</v>
      </c>
      <c r="AW174" s="165">
        <f t="shared" si="10"/>
        <v>0.13</v>
      </c>
      <c r="AX174" s="166">
        <v>0.12</v>
      </c>
      <c r="AY174" s="165">
        <f t="shared" si="10"/>
        <v>0.12</v>
      </c>
      <c r="AZ174" s="165">
        <f t="shared" si="10"/>
        <v>0.12</v>
      </c>
      <c r="BA174" s="165">
        <f t="shared" si="10"/>
        <v>0.12</v>
      </c>
      <c r="BB174" s="165">
        <f t="shared" si="11"/>
        <v>0.12</v>
      </c>
      <c r="BC174" s="166">
        <f t="shared" si="11"/>
        <v>0.12</v>
      </c>
      <c r="BD174" s="165">
        <f t="shared" si="11"/>
        <v>0.12</v>
      </c>
      <c r="BE174" s="165">
        <f t="shared" si="11"/>
        <v>0.12</v>
      </c>
      <c r="BF174" s="165">
        <f t="shared" si="11"/>
        <v>0.12</v>
      </c>
      <c r="BG174" s="165">
        <v>0.11</v>
      </c>
      <c r="BH174" s="166">
        <v>0.11</v>
      </c>
      <c r="BI174" s="165">
        <f t="shared" si="67"/>
        <v>0.11</v>
      </c>
      <c r="BJ174" s="165">
        <f t="shared" si="67"/>
        <v>0.11</v>
      </c>
      <c r="BK174" s="165">
        <f t="shared" si="67"/>
        <v>0.11</v>
      </c>
      <c r="BL174" s="165">
        <f t="shared" si="66"/>
        <v>0.11</v>
      </c>
      <c r="BM174" s="166">
        <f t="shared" si="66"/>
        <v>0.11</v>
      </c>
      <c r="BN174" s="165">
        <f t="shared" si="66"/>
        <v>0.11</v>
      </c>
      <c r="BO174" s="165">
        <v>0.1</v>
      </c>
      <c r="BP174" s="165">
        <f t="shared" si="66"/>
        <v>0.1</v>
      </c>
      <c r="BQ174" s="165">
        <f t="shared" si="66"/>
        <v>0.1</v>
      </c>
      <c r="BR174" s="166">
        <f t="shared" si="66"/>
        <v>0.1</v>
      </c>
      <c r="BS174" s="165">
        <f t="shared" si="66"/>
        <v>0.1</v>
      </c>
      <c r="BT174" s="165">
        <f t="shared" si="13"/>
        <v>0.1</v>
      </c>
      <c r="BU174" s="165">
        <f t="shared" si="13"/>
        <v>0.1</v>
      </c>
      <c r="BV174" s="165">
        <f t="shared" si="13"/>
        <v>0.1</v>
      </c>
      <c r="BW174" s="166">
        <f t="shared" si="13"/>
        <v>0.1</v>
      </c>
      <c r="BX174" s="165">
        <f t="shared" si="23"/>
        <v>0.1</v>
      </c>
      <c r="BY174" s="165">
        <f t="shared" si="23"/>
        <v>0.09</v>
      </c>
      <c r="BZ174" s="165">
        <f t="shared" si="65"/>
        <v>0.09</v>
      </c>
      <c r="CA174" s="165">
        <f t="shared" si="64"/>
        <v>0.09</v>
      </c>
      <c r="CB174" s="166">
        <f t="shared" si="64"/>
        <v>0.09</v>
      </c>
      <c r="CC174" s="165">
        <f t="shared" si="64"/>
        <v>0.09</v>
      </c>
      <c r="CD174" s="165">
        <f t="shared" si="64"/>
        <v>0.09</v>
      </c>
      <c r="CE174" s="165">
        <f t="shared" si="63"/>
        <v>0.09</v>
      </c>
      <c r="CF174" s="165">
        <f t="shared" si="63"/>
        <v>0.09</v>
      </c>
      <c r="CG174" s="166">
        <f t="shared" si="63"/>
        <v>0.09</v>
      </c>
      <c r="CH174" s="165">
        <f t="shared" si="63"/>
        <v>0.09</v>
      </c>
      <c r="CI174" s="165">
        <f t="shared" si="63"/>
        <v>0.09</v>
      </c>
      <c r="CJ174" s="165">
        <v>0.08</v>
      </c>
      <c r="CK174" s="165">
        <v>0.08</v>
      </c>
      <c r="CL174" s="166">
        <f t="shared" si="63"/>
        <v>0.08</v>
      </c>
      <c r="CM174" s="165">
        <f t="shared" si="63"/>
        <v>0.08</v>
      </c>
      <c r="CN174" s="165">
        <f t="shared" si="63"/>
        <v>0.08</v>
      </c>
      <c r="CO174" s="165">
        <f t="shared" si="15"/>
        <v>0.08</v>
      </c>
      <c r="CP174" s="165">
        <f t="shared" si="15"/>
        <v>0.08</v>
      </c>
      <c r="CQ174" s="166">
        <f t="shared" si="16"/>
        <v>0.08</v>
      </c>
      <c r="CR174" s="165">
        <f t="shared" si="16"/>
        <v>0.08</v>
      </c>
      <c r="CS174" s="165">
        <f t="shared" si="17"/>
        <v>0.08</v>
      </c>
      <c r="CT174" s="165">
        <f t="shared" si="17"/>
        <v>0.08</v>
      </c>
      <c r="CU174" s="165">
        <f t="shared" si="17"/>
        <v>0.08</v>
      </c>
      <c r="CV174" s="165">
        <f t="shared" si="17"/>
        <v>0.08</v>
      </c>
      <c r="CW174" s="168">
        <f t="shared" si="17"/>
        <v>0.08</v>
      </c>
    </row>
    <row r="175" spans="1:101" ht="12.75">
      <c r="A175" s="2">
        <v>0.45</v>
      </c>
      <c r="B175" s="160">
        <v>1.08</v>
      </c>
      <c r="C175" s="161">
        <v>0.75</v>
      </c>
      <c r="D175" s="161">
        <v>0.6</v>
      </c>
      <c r="E175" s="162">
        <v>0.51</v>
      </c>
      <c r="F175" s="161">
        <v>0.45</v>
      </c>
      <c r="G175" s="161">
        <v>0.41</v>
      </c>
      <c r="H175" s="161">
        <v>0.38</v>
      </c>
      <c r="I175" s="161">
        <v>0.35</v>
      </c>
      <c r="J175" s="162">
        <v>0.33</v>
      </c>
      <c r="K175" s="161">
        <f t="shared" si="18"/>
        <v>0.30999999999999983</v>
      </c>
      <c r="L175" s="161">
        <f t="shared" si="2"/>
        <v>0.29999999999999993</v>
      </c>
      <c r="M175" s="161">
        <f t="shared" si="2"/>
        <v>0.29</v>
      </c>
      <c r="N175" s="161">
        <f t="shared" si="2"/>
        <v>0.27999999999999997</v>
      </c>
      <c r="O175" s="162">
        <f t="shared" si="2"/>
        <v>0.26999999999999996</v>
      </c>
      <c r="P175" s="161">
        <f t="shared" si="27"/>
        <v>0.26</v>
      </c>
      <c r="Q175" s="161">
        <f t="shared" si="27"/>
        <v>0.25</v>
      </c>
      <c r="R175" s="161">
        <f t="shared" si="27"/>
        <v>0.24</v>
      </c>
      <c r="S175" s="161">
        <f t="shared" si="27"/>
        <v>0.22999999999999998</v>
      </c>
      <c r="T175" s="162">
        <f>T174-0.01</f>
        <v>0.22</v>
      </c>
      <c r="U175" s="161">
        <f>U174-0.01</f>
        <v>0.21</v>
      </c>
      <c r="V175" s="161">
        <v>0.21</v>
      </c>
      <c r="W175" s="161">
        <f>W174-0.01</f>
        <v>0.19999999999999998</v>
      </c>
      <c r="X175" s="161">
        <v>0.2</v>
      </c>
      <c r="Y175" s="162">
        <f>Y174-0.01</f>
        <v>0.19</v>
      </c>
      <c r="Z175" s="161">
        <f t="shared" si="19"/>
        <v>0.19</v>
      </c>
      <c r="AA175" s="161">
        <f t="shared" si="19"/>
        <v>0.18</v>
      </c>
      <c r="AB175" s="161">
        <f t="shared" si="19"/>
        <v>0.18</v>
      </c>
      <c r="AC175" s="161">
        <f t="shared" si="3"/>
        <v>0.17</v>
      </c>
      <c r="AD175" s="162">
        <f t="shared" si="3"/>
        <v>0.17</v>
      </c>
      <c r="AE175" s="161">
        <f t="shared" si="3"/>
        <v>0.16</v>
      </c>
      <c r="AF175" s="161">
        <f t="shared" si="3"/>
        <v>0.16</v>
      </c>
      <c r="AG175" s="161">
        <f t="shared" si="4"/>
        <v>0.16</v>
      </c>
      <c r="AH175" s="161">
        <v>0.15</v>
      </c>
      <c r="AI175" s="162">
        <v>0.15</v>
      </c>
      <c r="AJ175" s="161">
        <f t="shared" si="5"/>
        <v>0.15</v>
      </c>
      <c r="AK175" s="161">
        <f t="shared" si="6"/>
        <v>0.15</v>
      </c>
      <c r="AL175" s="161">
        <f t="shared" si="6"/>
        <v>0.15</v>
      </c>
      <c r="AM175" s="161">
        <v>0.14</v>
      </c>
      <c r="AN175" s="162">
        <f t="shared" si="7"/>
        <v>0.14</v>
      </c>
      <c r="AO175" s="161">
        <f t="shared" si="8"/>
        <v>0.14</v>
      </c>
      <c r="AP175" s="161">
        <f t="shared" si="8"/>
        <v>0.14</v>
      </c>
      <c r="AQ175" s="161">
        <f t="shared" si="9"/>
        <v>0.14</v>
      </c>
      <c r="AR175" s="161">
        <v>0.13</v>
      </c>
      <c r="AS175" s="162">
        <f t="shared" si="9"/>
        <v>0.13</v>
      </c>
      <c r="AT175" s="161">
        <f t="shared" si="9"/>
        <v>0.13</v>
      </c>
      <c r="AU175" s="161">
        <f t="shared" si="9"/>
        <v>0.13</v>
      </c>
      <c r="AV175" s="161">
        <f t="shared" si="9"/>
        <v>0.13</v>
      </c>
      <c r="AW175" s="161">
        <v>0.12</v>
      </c>
      <c r="AX175" s="162">
        <f t="shared" si="10"/>
        <v>0.12</v>
      </c>
      <c r="AY175" s="161">
        <f t="shared" si="10"/>
        <v>0.12</v>
      </c>
      <c r="AZ175" s="161">
        <f t="shared" si="10"/>
        <v>0.12</v>
      </c>
      <c r="BA175" s="161">
        <f t="shared" si="10"/>
        <v>0.12</v>
      </c>
      <c r="BB175" s="161">
        <f t="shared" si="11"/>
        <v>0.12</v>
      </c>
      <c r="BC175" s="162">
        <f t="shared" si="11"/>
        <v>0.12</v>
      </c>
      <c r="BD175" s="161">
        <f t="shared" si="11"/>
        <v>0.12</v>
      </c>
      <c r="BE175" s="161">
        <v>0.11</v>
      </c>
      <c r="BF175" s="161">
        <v>0.11</v>
      </c>
      <c r="BG175" s="161">
        <f t="shared" si="11"/>
        <v>0.11</v>
      </c>
      <c r="BH175" s="162">
        <f t="shared" si="68"/>
        <v>0.11</v>
      </c>
      <c r="BI175" s="161">
        <f t="shared" si="67"/>
        <v>0.11</v>
      </c>
      <c r="BJ175" s="161">
        <f t="shared" si="67"/>
        <v>0.11</v>
      </c>
      <c r="BK175" s="161">
        <f t="shared" si="67"/>
        <v>0.11</v>
      </c>
      <c r="BL175" s="161">
        <f t="shared" si="66"/>
        <v>0.11</v>
      </c>
      <c r="BM175" s="162">
        <f t="shared" si="66"/>
        <v>0.11</v>
      </c>
      <c r="BN175" s="161">
        <f t="shared" si="66"/>
        <v>0.11</v>
      </c>
      <c r="BO175" s="161">
        <f t="shared" si="66"/>
        <v>0.1</v>
      </c>
      <c r="BP175" s="161">
        <f t="shared" si="66"/>
        <v>0.1</v>
      </c>
      <c r="BQ175" s="161">
        <f t="shared" si="66"/>
        <v>0.1</v>
      </c>
      <c r="BR175" s="162">
        <f t="shared" si="66"/>
        <v>0.1</v>
      </c>
      <c r="BS175" s="161">
        <f t="shared" si="66"/>
        <v>0.1</v>
      </c>
      <c r="BT175" s="161">
        <f t="shared" si="13"/>
        <v>0.1</v>
      </c>
      <c r="BU175" s="161">
        <f t="shared" si="13"/>
        <v>0.1</v>
      </c>
      <c r="BV175" s="161">
        <f t="shared" si="13"/>
        <v>0.1</v>
      </c>
      <c r="BW175" s="162">
        <f t="shared" si="13"/>
        <v>0.1</v>
      </c>
      <c r="BX175" s="161">
        <f t="shared" si="23"/>
        <v>0.1</v>
      </c>
      <c r="BY175" s="161">
        <f t="shared" si="23"/>
        <v>0.09</v>
      </c>
      <c r="BZ175" s="161">
        <f t="shared" si="65"/>
        <v>0.09</v>
      </c>
      <c r="CA175" s="161">
        <f t="shared" si="64"/>
        <v>0.09</v>
      </c>
      <c r="CB175" s="162">
        <f t="shared" si="64"/>
        <v>0.09</v>
      </c>
      <c r="CC175" s="161">
        <f t="shared" si="64"/>
        <v>0.09</v>
      </c>
      <c r="CD175" s="161">
        <f t="shared" si="64"/>
        <v>0.09</v>
      </c>
      <c r="CE175" s="161">
        <f t="shared" si="63"/>
        <v>0.09</v>
      </c>
      <c r="CF175" s="161">
        <f t="shared" si="63"/>
        <v>0.09</v>
      </c>
      <c r="CG175" s="162">
        <f t="shared" si="63"/>
        <v>0.09</v>
      </c>
      <c r="CH175" s="161">
        <f t="shared" si="63"/>
        <v>0.09</v>
      </c>
      <c r="CI175" s="161">
        <v>0.08</v>
      </c>
      <c r="CJ175" s="161">
        <f t="shared" si="63"/>
        <v>0.08</v>
      </c>
      <c r="CK175" s="161">
        <f t="shared" si="63"/>
        <v>0.08</v>
      </c>
      <c r="CL175" s="162">
        <f t="shared" si="63"/>
        <v>0.08</v>
      </c>
      <c r="CM175" s="161">
        <f t="shared" si="63"/>
        <v>0.08</v>
      </c>
      <c r="CN175" s="161">
        <f t="shared" si="63"/>
        <v>0.08</v>
      </c>
      <c r="CO175" s="161">
        <f t="shared" si="15"/>
        <v>0.08</v>
      </c>
      <c r="CP175" s="161">
        <f t="shared" si="15"/>
        <v>0.08</v>
      </c>
      <c r="CQ175" s="162">
        <f t="shared" si="16"/>
        <v>0.08</v>
      </c>
      <c r="CR175" s="161">
        <f t="shared" si="16"/>
        <v>0.08</v>
      </c>
      <c r="CS175" s="161">
        <f t="shared" si="17"/>
        <v>0.08</v>
      </c>
      <c r="CT175" s="161">
        <f t="shared" si="17"/>
        <v>0.08</v>
      </c>
      <c r="CU175" s="161">
        <f t="shared" si="17"/>
        <v>0.08</v>
      </c>
      <c r="CV175" s="161">
        <f t="shared" si="17"/>
        <v>0.08</v>
      </c>
      <c r="CW175" s="163">
        <f t="shared" si="17"/>
        <v>0.08</v>
      </c>
    </row>
    <row r="176" spans="1:101" ht="12.75">
      <c r="A176" s="2">
        <v>0.46</v>
      </c>
      <c r="B176" s="160">
        <v>1.03</v>
      </c>
      <c r="C176" s="161">
        <v>0.72</v>
      </c>
      <c r="D176" s="161">
        <v>0.57</v>
      </c>
      <c r="E176" s="162">
        <v>0.49</v>
      </c>
      <c r="F176" s="161">
        <v>0.43</v>
      </c>
      <c r="G176" s="161">
        <v>0.39</v>
      </c>
      <c r="H176" s="161">
        <v>0.36</v>
      </c>
      <c r="I176" s="161">
        <v>0.34</v>
      </c>
      <c r="J176" s="162">
        <v>0.32</v>
      </c>
      <c r="K176" s="161">
        <f t="shared" si="18"/>
        <v>0.2999999999999998</v>
      </c>
      <c r="L176" s="161">
        <f t="shared" si="2"/>
        <v>0.2899999999999999</v>
      </c>
      <c r="M176" s="161">
        <f t="shared" si="2"/>
        <v>0.27999999999999997</v>
      </c>
      <c r="N176" s="161">
        <f t="shared" si="2"/>
        <v>0.26999999999999996</v>
      </c>
      <c r="O176" s="162">
        <f t="shared" si="2"/>
        <v>0.25999999999999995</v>
      </c>
      <c r="P176" s="161">
        <f t="shared" si="27"/>
        <v>0.25</v>
      </c>
      <c r="Q176" s="161">
        <f t="shared" si="27"/>
        <v>0.24</v>
      </c>
      <c r="R176" s="161">
        <f t="shared" si="27"/>
        <v>0.22999999999999998</v>
      </c>
      <c r="S176" s="161">
        <f t="shared" si="27"/>
        <v>0.21999999999999997</v>
      </c>
      <c r="T176" s="162">
        <f>T175-0.01</f>
        <v>0.21</v>
      </c>
      <c r="U176" s="161">
        <f>U175-0.01</f>
        <v>0.19999999999999998</v>
      </c>
      <c r="V176" s="161">
        <f>V175-0.01</f>
        <v>0.19999999999999998</v>
      </c>
      <c r="W176" s="161">
        <f>W175-0.01</f>
        <v>0.18999999999999997</v>
      </c>
      <c r="X176" s="161">
        <f>X175-0.01</f>
        <v>0.19</v>
      </c>
      <c r="Y176" s="162">
        <v>0.18</v>
      </c>
      <c r="Z176" s="161">
        <v>0.18</v>
      </c>
      <c r="AA176" s="161">
        <f t="shared" si="19"/>
        <v>0.18</v>
      </c>
      <c r="AB176" s="161">
        <v>0.17</v>
      </c>
      <c r="AC176" s="161">
        <f t="shared" si="3"/>
        <v>0.17</v>
      </c>
      <c r="AD176" s="162">
        <v>0.16</v>
      </c>
      <c r="AE176" s="161">
        <f t="shared" si="3"/>
        <v>0.16</v>
      </c>
      <c r="AF176" s="161">
        <v>0.15</v>
      </c>
      <c r="AG176" s="161">
        <v>0.15</v>
      </c>
      <c r="AH176" s="161">
        <f t="shared" si="4"/>
        <v>0.15</v>
      </c>
      <c r="AI176" s="162">
        <f t="shared" si="5"/>
        <v>0.15</v>
      </c>
      <c r="AJ176" s="161">
        <f t="shared" si="5"/>
        <v>0.15</v>
      </c>
      <c r="AK176" s="161">
        <v>0.14</v>
      </c>
      <c r="AL176" s="161">
        <v>0.14</v>
      </c>
      <c r="AM176" s="161">
        <f t="shared" si="7"/>
        <v>0.14</v>
      </c>
      <c r="AN176" s="162">
        <f t="shared" si="7"/>
        <v>0.14</v>
      </c>
      <c r="AO176" s="161">
        <f t="shared" si="8"/>
        <v>0.14</v>
      </c>
      <c r="AP176" s="161">
        <v>0.13</v>
      </c>
      <c r="AQ176" s="161">
        <v>0.13</v>
      </c>
      <c r="AR176" s="161">
        <f t="shared" si="9"/>
        <v>0.13</v>
      </c>
      <c r="AS176" s="162">
        <f t="shared" si="9"/>
        <v>0.13</v>
      </c>
      <c r="AT176" s="161">
        <f t="shared" si="9"/>
        <v>0.13</v>
      </c>
      <c r="AU176" s="161">
        <f t="shared" si="9"/>
        <v>0.13</v>
      </c>
      <c r="AV176" s="161">
        <v>0.12</v>
      </c>
      <c r="AW176" s="161">
        <f t="shared" si="10"/>
        <v>0.12</v>
      </c>
      <c r="AX176" s="162">
        <f t="shared" si="10"/>
        <v>0.12</v>
      </c>
      <c r="AY176" s="161">
        <f t="shared" si="10"/>
        <v>0.12</v>
      </c>
      <c r="AZ176" s="161">
        <f t="shared" si="10"/>
        <v>0.12</v>
      </c>
      <c r="BA176" s="161">
        <f t="shared" si="10"/>
        <v>0.12</v>
      </c>
      <c r="BB176" s="161">
        <f t="shared" si="11"/>
        <v>0.12</v>
      </c>
      <c r="BC176" s="162">
        <v>0.11</v>
      </c>
      <c r="BD176" s="161">
        <v>0.11</v>
      </c>
      <c r="BE176" s="161">
        <f t="shared" si="11"/>
        <v>0.11</v>
      </c>
      <c r="BF176" s="161">
        <f t="shared" si="11"/>
        <v>0.11</v>
      </c>
      <c r="BG176" s="161">
        <f t="shared" si="11"/>
        <v>0.11</v>
      </c>
      <c r="BH176" s="162">
        <f t="shared" si="68"/>
        <v>0.11</v>
      </c>
      <c r="BI176" s="161">
        <f t="shared" si="67"/>
        <v>0.11</v>
      </c>
      <c r="BJ176" s="161">
        <f t="shared" si="67"/>
        <v>0.11</v>
      </c>
      <c r="BK176" s="161">
        <f t="shared" si="67"/>
        <v>0.11</v>
      </c>
      <c r="BL176" s="161">
        <f t="shared" si="66"/>
        <v>0.11</v>
      </c>
      <c r="BM176" s="162">
        <v>0.1</v>
      </c>
      <c r="BN176" s="161">
        <v>0.1</v>
      </c>
      <c r="BO176" s="161">
        <f t="shared" si="66"/>
        <v>0.1</v>
      </c>
      <c r="BP176" s="161">
        <f t="shared" si="66"/>
        <v>0.1</v>
      </c>
      <c r="BQ176" s="161">
        <f t="shared" si="66"/>
        <v>0.1</v>
      </c>
      <c r="BR176" s="162">
        <f t="shared" si="66"/>
        <v>0.1</v>
      </c>
      <c r="BS176" s="161">
        <f t="shared" si="66"/>
        <v>0.1</v>
      </c>
      <c r="BT176" s="161">
        <f t="shared" si="13"/>
        <v>0.1</v>
      </c>
      <c r="BU176" s="161">
        <f t="shared" si="13"/>
        <v>0.1</v>
      </c>
      <c r="BV176" s="161">
        <f t="shared" si="13"/>
        <v>0.1</v>
      </c>
      <c r="BW176" s="162">
        <v>0.09</v>
      </c>
      <c r="BX176" s="161">
        <v>0.09</v>
      </c>
      <c r="BY176" s="161">
        <f t="shared" si="23"/>
        <v>0.09</v>
      </c>
      <c r="BZ176" s="161">
        <f t="shared" si="65"/>
        <v>0.09</v>
      </c>
      <c r="CA176" s="161">
        <f t="shared" si="64"/>
        <v>0.09</v>
      </c>
      <c r="CB176" s="162">
        <f t="shared" si="64"/>
        <v>0.09</v>
      </c>
      <c r="CC176" s="161">
        <f t="shared" si="64"/>
        <v>0.09</v>
      </c>
      <c r="CD176" s="161">
        <f t="shared" si="64"/>
        <v>0.09</v>
      </c>
      <c r="CE176" s="161">
        <f t="shared" si="63"/>
        <v>0.09</v>
      </c>
      <c r="CF176" s="161">
        <f t="shared" si="63"/>
        <v>0.09</v>
      </c>
      <c r="CG176" s="162">
        <f t="shared" si="63"/>
        <v>0.09</v>
      </c>
      <c r="CH176" s="161">
        <f t="shared" si="63"/>
        <v>0.09</v>
      </c>
      <c r="CI176" s="161">
        <f t="shared" si="63"/>
        <v>0.08</v>
      </c>
      <c r="CJ176" s="161">
        <f t="shared" si="63"/>
        <v>0.08</v>
      </c>
      <c r="CK176" s="161">
        <f t="shared" si="63"/>
        <v>0.08</v>
      </c>
      <c r="CL176" s="162">
        <f t="shared" si="63"/>
        <v>0.08</v>
      </c>
      <c r="CM176" s="161">
        <f t="shared" si="63"/>
        <v>0.08</v>
      </c>
      <c r="CN176" s="161">
        <f t="shared" si="63"/>
        <v>0.08</v>
      </c>
      <c r="CO176" s="161">
        <f t="shared" si="15"/>
        <v>0.08</v>
      </c>
      <c r="CP176" s="161">
        <f t="shared" si="15"/>
        <v>0.08</v>
      </c>
      <c r="CQ176" s="162">
        <f t="shared" si="16"/>
        <v>0.08</v>
      </c>
      <c r="CR176" s="161">
        <f t="shared" si="16"/>
        <v>0.08</v>
      </c>
      <c r="CS176" s="161">
        <f t="shared" si="17"/>
        <v>0.08</v>
      </c>
      <c r="CT176" s="161">
        <f t="shared" si="17"/>
        <v>0.08</v>
      </c>
      <c r="CU176" s="161">
        <f t="shared" si="17"/>
        <v>0.08</v>
      </c>
      <c r="CV176" s="161">
        <f t="shared" si="17"/>
        <v>0.08</v>
      </c>
      <c r="CW176" s="163">
        <f t="shared" si="17"/>
        <v>0.08</v>
      </c>
    </row>
    <row r="177" spans="1:101" ht="12.75">
      <c r="A177" s="2">
        <v>0.47</v>
      </c>
      <c r="B177" s="160">
        <v>0.98</v>
      </c>
      <c r="C177" s="161">
        <v>0.68</v>
      </c>
      <c r="D177" s="161">
        <v>0.55</v>
      </c>
      <c r="E177" s="162">
        <v>0.47</v>
      </c>
      <c r="F177" s="161">
        <v>0.41</v>
      </c>
      <c r="G177" s="161">
        <v>0.38</v>
      </c>
      <c r="H177" s="161">
        <v>0.35</v>
      </c>
      <c r="I177" s="161">
        <v>0.32</v>
      </c>
      <c r="J177" s="162">
        <v>0.31</v>
      </c>
      <c r="K177" s="161">
        <f t="shared" si="18"/>
        <v>0.2899999999999998</v>
      </c>
      <c r="L177" s="161">
        <f t="shared" si="2"/>
        <v>0.2799999999999999</v>
      </c>
      <c r="M177" s="161">
        <f t="shared" si="2"/>
        <v>0.26999999999999996</v>
      </c>
      <c r="N177" s="161">
        <f t="shared" si="2"/>
        <v>0.25999999999999995</v>
      </c>
      <c r="O177" s="162">
        <f t="shared" si="2"/>
        <v>0.24999999999999994</v>
      </c>
      <c r="P177" s="161">
        <f t="shared" si="27"/>
        <v>0.24</v>
      </c>
      <c r="Q177" s="161">
        <f t="shared" si="27"/>
        <v>0.22999999999999998</v>
      </c>
      <c r="R177" s="161">
        <f t="shared" si="27"/>
        <v>0.21999999999999997</v>
      </c>
      <c r="S177" s="161">
        <v>0.22</v>
      </c>
      <c r="T177" s="162">
        <v>0.21</v>
      </c>
      <c r="U177" s="161">
        <v>0.2</v>
      </c>
      <c r="V177" s="161">
        <f>V176-0.01</f>
        <v>0.18999999999999997</v>
      </c>
      <c r="W177" s="161">
        <v>0.19</v>
      </c>
      <c r="X177" s="161">
        <f>X176-0.01</f>
        <v>0.18</v>
      </c>
      <c r="Y177" s="162">
        <v>0.18</v>
      </c>
      <c r="Z177" s="161">
        <f t="shared" si="19"/>
        <v>0.18</v>
      </c>
      <c r="AA177" s="161">
        <v>0.17</v>
      </c>
      <c r="AB177" s="161">
        <f t="shared" si="19"/>
        <v>0.17</v>
      </c>
      <c r="AC177" s="161">
        <v>0.16</v>
      </c>
      <c r="AD177" s="162">
        <f t="shared" si="3"/>
        <v>0.16</v>
      </c>
      <c r="AE177" s="161">
        <v>0.15</v>
      </c>
      <c r="AF177" s="161">
        <f t="shared" si="3"/>
        <v>0.15</v>
      </c>
      <c r="AG177" s="161">
        <f t="shared" si="4"/>
        <v>0.15</v>
      </c>
      <c r="AH177" s="161">
        <f t="shared" si="4"/>
        <v>0.15</v>
      </c>
      <c r="AI177" s="162">
        <v>0.14</v>
      </c>
      <c r="AJ177" s="161">
        <v>0.14</v>
      </c>
      <c r="AK177" s="161">
        <f t="shared" si="6"/>
        <v>0.14</v>
      </c>
      <c r="AL177" s="161">
        <f t="shared" si="6"/>
        <v>0.14</v>
      </c>
      <c r="AM177" s="161">
        <f t="shared" si="7"/>
        <v>0.14</v>
      </c>
      <c r="AN177" s="162">
        <v>0.13</v>
      </c>
      <c r="AO177" s="161">
        <v>0.13</v>
      </c>
      <c r="AP177" s="161">
        <f t="shared" si="8"/>
        <v>0.13</v>
      </c>
      <c r="AQ177" s="161">
        <f t="shared" si="9"/>
        <v>0.13</v>
      </c>
      <c r="AR177" s="161">
        <f t="shared" si="9"/>
        <v>0.13</v>
      </c>
      <c r="AS177" s="162">
        <f t="shared" si="9"/>
        <v>0.13</v>
      </c>
      <c r="AT177" s="161">
        <v>0.12</v>
      </c>
      <c r="AU177" s="161">
        <v>0.12</v>
      </c>
      <c r="AV177" s="161">
        <f t="shared" si="9"/>
        <v>0.12</v>
      </c>
      <c r="AW177" s="161">
        <f t="shared" si="10"/>
        <v>0.12</v>
      </c>
      <c r="AX177" s="162">
        <f t="shared" si="10"/>
        <v>0.12</v>
      </c>
      <c r="AY177" s="161">
        <f t="shared" si="10"/>
        <v>0.12</v>
      </c>
      <c r="AZ177" s="161">
        <f t="shared" si="10"/>
        <v>0.12</v>
      </c>
      <c r="BA177" s="161">
        <v>0.11</v>
      </c>
      <c r="BB177" s="161">
        <v>0.11</v>
      </c>
      <c r="BC177" s="162">
        <f t="shared" si="11"/>
        <v>0.11</v>
      </c>
      <c r="BD177" s="161">
        <f t="shared" si="11"/>
        <v>0.11</v>
      </c>
      <c r="BE177" s="161">
        <f t="shared" si="11"/>
        <v>0.11</v>
      </c>
      <c r="BF177" s="161">
        <f t="shared" si="11"/>
        <v>0.11</v>
      </c>
      <c r="BG177" s="161">
        <f t="shared" si="11"/>
        <v>0.11</v>
      </c>
      <c r="BH177" s="162">
        <f t="shared" si="68"/>
        <v>0.11</v>
      </c>
      <c r="BI177" s="161">
        <f t="shared" si="67"/>
        <v>0.11</v>
      </c>
      <c r="BJ177" s="161">
        <f t="shared" si="67"/>
        <v>0.11</v>
      </c>
      <c r="BK177" s="161">
        <v>0.1</v>
      </c>
      <c r="BL177" s="161">
        <v>0.1</v>
      </c>
      <c r="BM177" s="162">
        <f t="shared" si="66"/>
        <v>0.1</v>
      </c>
      <c r="BN177" s="161">
        <f t="shared" si="66"/>
        <v>0.1</v>
      </c>
      <c r="BO177" s="161">
        <f t="shared" si="66"/>
        <v>0.1</v>
      </c>
      <c r="BP177" s="161">
        <f t="shared" si="66"/>
        <v>0.1</v>
      </c>
      <c r="BQ177" s="161">
        <f t="shared" si="66"/>
        <v>0.1</v>
      </c>
      <c r="BR177" s="162">
        <f t="shared" si="66"/>
        <v>0.1</v>
      </c>
      <c r="BS177" s="161">
        <f t="shared" si="66"/>
        <v>0.1</v>
      </c>
      <c r="BT177" s="161">
        <f t="shared" si="13"/>
        <v>0.1</v>
      </c>
      <c r="BU177" s="161">
        <v>0.09</v>
      </c>
      <c r="BV177" s="161">
        <v>0.09</v>
      </c>
      <c r="BW177" s="162">
        <f t="shared" si="13"/>
        <v>0.09</v>
      </c>
      <c r="BX177" s="161">
        <f t="shared" si="23"/>
        <v>0.09</v>
      </c>
      <c r="BY177" s="161">
        <f t="shared" si="23"/>
        <v>0.09</v>
      </c>
      <c r="BZ177" s="161">
        <f t="shared" si="65"/>
        <v>0.09</v>
      </c>
      <c r="CA177" s="161">
        <f t="shared" si="64"/>
        <v>0.09</v>
      </c>
      <c r="CB177" s="162">
        <f t="shared" si="64"/>
        <v>0.09</v>
      </c>
      <c r="CC177" s="161">
        <f t="shared" si="64"/>
        <v>0.09</v>
      </c>
      <c r="CD177" s="161">
        <f t="shared" si="64"/>
        <v>0.09</v>
      </c>
      <c r="CE177" s="161">
        <f t="shared" si="63"/>
        <v>0.09</v>
      </c>
      <c r="CF177" s="161">
        <f t="shared" si="63"/>
        <v>0.09</v>
      </c>
      <c r="CG177" s="162">
        <f t="shared" si="63"/>
        <v>0.09</v>
      </c>
      <c r="CH177" s="161">
        <f t="shared" si="63"/>
        <v>0.09</v>
      </c>
      <c r="CI177" s="161">
        <f t="shared" si="63"/>
        <v>0.08</v>
      </c>
      <c r="CJ177" s="161">
        <f t="shared" si="63"/>
        <v>0.08</v>
      </c>
      <c r="CK177" s="161">
        <f t="shared" si="63"/>
        <v>0.08</v>
      </c>
      <c r="CL177" s="162">
        <f t="shared" si="63"/>
        <v>0.08</v>
      </c>
      <c r="CM177" s="161">
        <f t="shared" si="63"/>
        <v>0.08</v>
      </c>
      <c r="CN177" s="161">
        <f t="shared" si="63"/>
        <v>0.08</v>
      </c>
      <c r="CO177" s="161">
        <f t="shared" si="15"/>
        <v>0.08</v>
      </c>
      <c r="CP177" s="161">
        <f t="shared" si="15"/>
        <v>0.08</v>
      </c>
      <c r="CQ177" s="162">
        <f t="shared" si="16"/>
        <v>0.08</v>
      </c>
      <c r="CR177" s="161">
        <f t="shared" si="16"/>
        <v>0.08</v>
      </c>
      <c r="CS177" s="161">
        <f t="shared" si="17"/>
        <v>0.08</v>
      </c>
      <c r="CT177" s="161">
        <f t="shared" si="17"/>
        <v>0.08</v>
      </c>
      <c r="CU177" s="161">
        <f t="shared" si="17"/>
        <v>0.08</v>
      </c>
      <c r="CV177" s="161">
        <f t="shared" si="17"/>
        <v>0.08</v>
      </c>
      <c r="CW177" s="163">
        <f t="shared" si="17"/>
        <v>0.08</v>
      </c>
    </row>
    <row r="178" spans="1:101" ht="12.75">
      <c r="A178" s="2">
        <v>0.48</v>
      </c>
      <c r="B178" s="160">
        <v>0.94</v>
      </c>
      <c r="C178" s="161">
        <v>0.65</v>
      </c>
      <c r="D178" s="161">
        <v>0.52</v>
      </c>
      <c r="E178" s="162">
        <v>0.44</v>
      </c>
      <c r="F178" s="161">
        <v>0.4</v>
      </c>
      <c r="G178" s="161">
        <v>0.36</v>
      </c>
      <c r="H178" s="161">
        <v>0.33</v>
      </c>
      <c r="I178" s="161">
        <v>0.31</v>
      </c>
      <c r="J178" s="162">
        <v>0.29</v>
      </c>
      <c r="K178" s="161">
        <v>0.27</v>
      </c>
      <c r="L178" s="161">
        <f t="shared" si="2"/>
        <v>0.2699999999999999</v>
      </c>
      <c r="M178" s="161">
        <f t="shared" si="2"/>
        <v>0.25999999999999995</v>
      </c>
      <c r="N178" s="161">
        <f t="shared" si="2"/>
        <v>0.24999999999999994</v>
      </c>
      <c r="O178" s="162">
        <f t="shared" si="2"/>
        <v>0.23999999999999994</v>
      </c>
      <c r="P178" s="161">
        <f t="shared" si="27"/>
        <v>0.22999999999999998</v>
      </c>
      <c r="Q178" s="161">
        <f t="shared" si="27"/>
        <v>0.21999999999999997</v>
      </c>
      <c r="R178" s="161">
        <v>0.22</v>
      </c>
      <c r="S178" s="161">
        <f t="shared" si="27"/>
        <v>0.21</v>
      </c>
      <c r="T178" s="162">
        <f>T177-0.01</f>
        <v>0.19999999999999998</v>
      </c>
      <c r="U178" s="161">
        <f>U177-0.01</f>
        <v>0.19</v>
      </c>
      <c r="V178" s="161">
        <v>0.19</v>
      </c>
      <c r="W178" s="161">
        <f>W177-0.01</f>
        <v>0.18</v>
      </c>
      <c r="X178" s="161">
        <v>0.18</v>
      </c>
      <c r="Y178" s="162">
        <f>Y177-0.01</f>
        <v>0.16999999999999998</v>
      </c>
      <c r="Z178" s="161">
        <v>0.17</v>
      </c>
      <c r="AA178" s="161">
        <f t="shared" si="19"/>
        <v>0.17</v>
      </c>
      <c r="AB178" s="161">
        <v>0.16</v>
      </c>
      <c r="AC178" s="161">
        <f t="shared" si="3"/>
        <v>0.16</v>
      </c>
      <c r="AD178" s="162">
        <v>0.15</v>
      </c>
      <c r="AE178" s="161">
        <f t="shared" si="3"/>
        <v>0.15</v>
      </c>
      <c r="AF178" s="161">
        <f t="shared" si="3"/>
        <v>0.15</v>
      </c>
      <c r="AG178" s="161">
        <v>0.14</v>
      </c>
      <c r="AH178" s="161">
        <v>0.14</v>
      </c>
      <c r="AI178" s="162">
        <f t="shared" si="5"/>
        <v>0.14</v>
      </c>
      <c r="AJ178" s="161">
        <f t="shared" si="5"/>
        <v>0.14</v>
      </c>
      <c r="AK178" s="161">
        <f t="shared" si="6"/>
        <v>0.14</v>
      </c>
      <c r="AL178" s="161">
        <v>0.13</v>
      </c>
      <c r="AM178" s="161">
        <v>0.13</v>
      </c>
      <c r="AN178" s="162">
        <f t="shared" si="7"/>
        <v>0.13</v>
      </c>
      <c r="AO178" s="161">
        <f t="shared" si="8"/>
        <v>0.13</v>
      </c>
      <c r="AP178" s="161">
        <f t="shared" si="8"/>
        <v>0.13</v>
      </c>
      <c r="AQ178" s="161">
        <f t="shared" si="9"/>
        <v>0.13</v>
      </c>
      <c r="AR178" s="161">
        <v>0.12</v>
      </c>
      <c r="AS178" s="162">
        <v>0.12</v>
      </c>
      <c r="AT178" s="161">
        <f t="shared" si="9"/>
        <v>0.12</v>
      </c>
      <c r="AU178" s="161">
        <f t="shared" si="9"/>
        <v>0.12</v>
      </c>
      <c r="AV178" s="161">
        <f t="shared" si="9"/>
        <v>0.12</v>
      </c>
      <c r="AW178" s="161">
        <f t="shared" si="10"/>
        <v>0.12</v>
      </c>
      <c r="AX178" s="162">
        <f t="shared" si="10"/>
        <v>0.12</v>
      </c>
      <c r="AY178" s="161">
        <v>0.11</v>
      </c>
      <c r="AZ178" s="161">
        <v>0.11</v>
      </c>
      <c r="BA178" s="161">
        <f t="shared" si="10"/>
        <v>0.11</v>
      </c>
      <c r="BB178" s="161">
        <f t="shared" si="11"/>
        <v>0.11</v>
      </c>
      <c r="BC178" s="162">
        <f t="shared" si="11"/>
        <v>0.11</v>
      </c>
      <c r="BD178" s="161">
        <f t="shared" si="11"/>
        <v>0.11</v>
      </c>
      <c r="BE178" s="161">
        <f t="shared" si="11"/>
        <v>0.11</v>
      </c>
      <c r="BF178" s="161">
        <f t="shared" si="11"/>
        <v>0.11</v>
      </c>
      <c r="BG178" s="161">
        <f t="shared" si="11"/>
        <v>0.11</v>
      </c>
      <c r="BH178" s="162">
        <f t="shared" si="68"/>
        <v>0.11</v>
      </c>
      <c r="BI178" s="161">
        <v>0.1</v>
      </c>
      <c r="BJ178" s="161">
        <v>0.1</v>
      </c>
      <c r="BK178" s="161">
        <f t="shared" si="67"/>
        <v>0.1</v>
      </c>
      <c r="BL178" s="161">
        <f t="shared" si="66"/>
        <v>0.1</v>
      </c>
      <c r="BM178" s="162">
        <f t="shared" si="66"/>
        <v>0.1</v>
      </c>
      <c r="BN178" s="161">
        <f t="shared" si="66"/>
        <v>0.1</v>
      </c>
      <c r="BO178" s="161">
        <f t="shared" si="66"/>
        <v>0.1</v>
      </c>
      <c r="BP178" s="161">
        <f t="shared" si="66"/>
        <v>0.1</v>
      </c>
      <c r="BQ178" s="161">
        <f t="shared" si="66"/>
        <v>0.1</v>
      </c>
      <c r="BR178" s="162">
        <f t="shared" si="66"/>
        <v>0.1</v>
      </c>
      <c r="BS178" s="161">
        <v>0.09</v>
      </c>
      <c r="BT178" s="161">
        <v>0.09</v>
      </c>
      <c r="BU178" s="161">
        <f t="shared" si="13"/>
        <v>0.09</v>
      </c>
      <c r="BV178" s="161">
        <f t="shared" si="13"/>
        <v>0.09</v>
      </c>
      <c r="BW178" s="162">
        <f t="shared" si="13"/>
        <v>0.09</v>
      </c>
      <c r="BX178" s="161">
        <f t="shared" si="23"/>
        <v>0.09</v>
      </c>
      <c r="BY178" s="161">
        <f t="shared" si="23"/>
        <v>0.09</v>
      </c>
      <c r="BZ178" s="161">
        <f t="shared" si="65"/>
        <v>0.09</v>
      </c>
      <c r="CA178" s="161">
        <f t="shared" si="64"/>
        <v>0.09</v>
      </c>
      <c r="CB178" s="162">
        <f t="shared" si="64"/>
        <v>0.09</v>
      </c>
      <c r="CC178" s="161">
        <f t="shared" si="64"/>
        <v>0.09</v>
      </c>
      <c r="CD178" s="161">
        <f t="shared" si="64"/>
        <v>0.09</v>
      </c>
      <c r="CE178" s="161">
        <f t="shared" si="63"/>
        <v>0.09</v>
      </c>
      <c r="CF178" s="161">
        <f t="shared" si="63"/>
        <v>0.09</v>
      </c>
      <c r="CG178" s="162">
        <f t="shared" si="63"/>
        <v>0.09</v>
      </c>
      <c r="CH178" s="161">
        <f t="shared" si="63"/>
        <v>0.09</v>
      </c>
      <c r="CI178" s="161">
        <f t="shared" si="63"/>
        <v>0.08</v>
      </c>
      <c r="CJ178" s="161">
        <f t="shared" si="63"/>
        <v>0.08</v>
      </c>
      <c r="CK178" s="161">
        <f t="shared" si="63"/>
        <v>0.08</v>
      </c>
      <c r="CL178" s="162">
        <f t="shared" si="63"/>
        <v>0.08</v>
      </c>
      <c r="CM178" s="161">
        <f t="shared" si="63"/>
        <v>0.08</v>
      </c>
      <c r="CN178" s="161">
        <f t="shared" si="63"/>
        <v>0.08</v>
      </c>
      <c r="CO178" s="161">
        <f t="shared" si="15"/>
        <v>0.08</v>
      </c>
      <c r="CP178" s="161">
        <f t="shared" si="15"/>
        <v>0.08</v>
      </c>
      <c r="CQ178" s="162">
        <f t="shared" si="16"/>
        <v>0.08</v>
      </c>
      <c r="CR178" s="161">
        <f t="shared" si="16"/>
        <v>0.08</v>
      </c>
      <c r="CS178" s="161">
        <f t="shared" si="17"/>
        <v>0.08</v>
      </c>
      <c r="CT178" s="161">
        <f t="shared" si="17"/>
        <v>0.08</v>
      </c>
      <c r="CU178" s="161">
        <f t="shared" si="17"/>
        <v>0.08</v>
      </c>
      <c r="CV178" s="161">
        <f t="shared" si="17"/>
        <v>0.08</v>
      </c>
      <c r="CW178" s="163">
        <f t="shared" si="17"/>
        <v>0.08</v>
      </c>
    </row>
    <row r="179" spans="1:101" ht="12.75">
      <c r="A179" s="2">
        <v>0.49</v>
      </c>
      <c r="B179" s="160">
        <v>0.89</v>
      </c>
      <c r="C179" s="161">
        <v>0.61</v>
      </c>
      <c r="D179" s="161">
        <v>0.5</v>
      </c>
      <c r="E179" s="162">
        <v>0.42</v>
      </c>
      <c r="F179" s="161">
        <v>0.38</v>
      </c>
      <c r="G179" s="161">
        <v>0.35</v>
      </c>
      <c r="H179" s="161">
        <v>0.32</v>
      </c>
      <c r="I179" s="161">
        <v>0.29</v>
      </c>
      <c r="J179" s="162">
        <v>0.28</v>
      </c>
      <c r="K179" s="161">
        <f t="shared" si="18"/>
        <v>0.26</v>
      </c>
      <c r="L179" s="161">
        <v>0.25</v>
      </c>
      <c r="M179" s="161">
        <f t="shared" si="2"/>
        <v>0.24999999999999994</v>
      </c>
      <c r="N179" s="161">
        <f t="shared" si="2"/>
        <v>0.23999999999999994</v>
      </c>
      <c r="O179" s="162">
        <f t="shared" si="2"/>
        <v>0.22999999999999993</v>
      </c>
      <c r="P179" s="161">
        <f t="shared" si="27"/>
        <v>0.21999999999999997</v>
      </c>
      <c r="Q179" s="161">
        <v>0.22</v>
      </c>
      <c r="R179" s="161">
        <f t="shared" si="27"/>
        <v>0.21</v>
      </c>
      <c r="S179" s="161">
        <f t="shared" si="27"/>
        <v>0.19999999999999998</v>
      </c>
      <c r="T179" s="162">
        <f>T178-0.01</f>
        <v>0.18999999999999997</v>
      </c>
      <c r="U179" s="161">
        <v>0.19</v>
      </c>
      <c r="V179" s="161">
        <f>V178-0.01</f>
        <v>0.18</v>
      </c>
      <c r="W179" s="161">
        <v>0.18</v>
      </c>
      <c r="X179" s="161">
        <f>X178-0.01</f>
        <v>0.16999999999999998</v>
      </c>
      <c r="Y179" s="162">
        <v>0.17</v>
      </c>
      <c r="Z179" s="161">
        <f t="shared" si="19"/>
        <v>0.17</v>
      </c>
      <c r="AA179" s="161">
        <v>0.16</v>
      </c>
      <c r="AB179" s="161">
        <f t="shared" si="19"/>
        <v>0.16</v>
      </c>
      <c r="AC179" s="161">
        <v>0.15</v>
      </c>
      <c r="AD179" s="162">
        <f t="shared" si="3"/>
        <v>0.15</v>
      </c>
      <c r="AE179" s="161">
        <v>0.14</v>
      </c>
      <c r="AF179" s="161">
        <v>0.14</v>
      </c>
      <c r="AG179" s="161">
        <f t="shared" si="4"/>
        <v>0.14</v>
      </c>
      <c r="AH179" s="161">
        <f t="shared" si="4"/>
        <v>0.14</v>
      </c>
      <c r="AI179" s="162">
        <f t="shared" si="5"/>
        <v>0.14</v>
      </c>
      <c r="AJ179" s="161">
        <v>0.13</v>
      </c>
      <c r="AK179" s="161">
        <v>0.13</v>
      </c>
      <c r="AL179" s="161">
        <f t="shared" si="6"/>
        <v>0.13</v>
      </c>
      <c r="AM179" s="161">
        <f t="shared" si="7"/>
        <v>0.13</v>
      </c>
      <c r="AN179" s="162">
        <f t="shared" si="7"/>
        <v>0.13</v>
      </c>
      <c r="AO179" s="161">
        <v>0.12</v>
      </c>
      <c r="AP179" s="161">
        <v>0.12</v>
      </c>
      <c r="AQ179" s="161">
        <v>0.12</v>
      </c>
      <c r="AR179" s="161">
        <f t="shared" si="9"/>
        <v>0.12</v>
      </c>
      <c r="AS179" s="162">
        <f t="shared" si="9"/>
        <v>0.12</v>
      </c>
      <c r="AT179" s="161">
        <f t="shared" si="9"/>
        <v>0.12</v>
      </c>
      <c r="AU179" s="161">
        <f t="shared" si="9"/>
        <v>0.12</v>
      </c>
      <c r="AV179" s="161">
        <f t="shared" si="9"/>
        <v>0.12</v>
      </c>
      <c r="AW179" s="161">
        <v>0.11</v>
      </c>
      <c r="AX179" s="162">
        <v>0.11</v>
      </c>
      <c r="AY179" s="161">
        <f t="shared" si="10"/>
        <v>0.11</v>
      </c>
      <c r="AZ179" s="161">
        <f t="shared" si="10"/>
        <v>0.11</v>
      </c>
      <c r="BA179" s="161">
        <f t="shared" si="10"/>
        <v>0.11</v>
      </c>
      <c r="BB179" s="161">
        <f t="shared" si="11"/>
        <v>0.11</v>
      </c>
      <c r="BC179" s="162">
        <f t="shared" si="11"/>
        <v>0.11</v>
      </c>
      <c r="BD179" s="161">
        <f t="shared" si="11"/>
        <v>0.11</v>
      </c>
      <c r="BE179" s="161">
        <f t="shared" si="11"/>
        <v>0.11</v>
      </c>
      <c r="BF179" s="161">
        <f t="shared" si="11"/>
        <v>0.11</v>
      </c>
      <c r="BG179" s="161">
        <f t="shared" si="11"/>
        <v>0.11</v>
      </c>
      <c r="BH179" s="162">
        <f t="shared" si="68"/>
        <v>0.11</v>
      </c>
      <c r="BI179" s="161">
        <f t="shared" si="67"/>
        <v>0.1</v>
      </c>
      <c r="BJ179" s="161">
        <f t="shared" si="67"/>
        <v>0.1</v>
      </c>
      <c r="BK179" s="161">
        <f t="shared" si="67"/>
        <v>0.1</v>
      </c>
      <c r="BL179" s="161">
        <f t="shared" si="66"/>
        <v>0.1</v>
      </c>
      <c r="BM179" s="162">
        <f t="shared" si="66"/>
        <v>0.1</v>
      </c>
      <c r="BN179" s="161">
        <f t="shared" si="66"/>
        <v>0.1</v>
      </c>
      <c r="BO179" s="161">
        <f t="shared" si="66"/>
        <v>0.1</v>
      </c>
      <c r="BP179" s="161">
        <f t="shared" si="66"/>
        <v>0.1</v>
      </c>
      <c r="BQ179" s="161">
        <f t="shared" si="66"/>
        <v>0.1</v>
      </c>
      <c r="BR179" s="162">
        <f t="shared" si="66"/>
        <v>0.1</v>
      </c>
      <c r="BS179" s="161">
        <f t="shared" si="66"/>
        <v>0.09</v>
      </c>
      <c r="BT179" s="161">
        <f t="shared" si="13"/>
        <v>0.09</v>
      </c>
      <c r="BU179" s="161">
        <f t="shared" si="13"/>
        <v>0.09</v>
      </c>
      <c r="BV179" s="161">
        <f t="shared" si="13"/>
        <v>0.09</v>
      </c>
      <c r="BW179" s="162">
        <f t="shared" si="13"/>
        <v>0.09</v>
      </c>
      <c r="BX179" s="161">
        <f t="shared" si="23"/>
        <v>0.09</v>
      </c>
      <c r="BY179" s="161">
        <f t="shared" si="23"/>
        <v>0.09</v>
      </c>
      <c r="BZ179" s="161">
        <f t="shared" si="65"/>
        <v>0.09</v>
      </c>
      <c r="CA179" s="161">
        <f t="shared" si="64"/>
        <v>0.09</v>
      </c>
      <c r="CB179" s="162">
        <f t="shared" si="64"/>
        <v>0.09</v>
      </c>
      <c r="CC179" s="161">
        <f t="shared" si="64"/>
        <v>0.09</v>
      </c>
      <c r="CD179" s="161">
        <f t="shared" si="64"/>
        <v>0.09</v>
      </c>
      <c r="CE179" s="161">
        <f t="shared" si="63"/>
        <v>0.09</v>
      </c>
      <c r="CF179" s="161">
        <f t="shared" si="63"/>
        <v>0.09</v>
      </c>
      <c r="CG179" s="162">
        <f t="shared" si="63"/>
        <v>0.09</v>
      </c>
      <c r="CH179" s="161">
        <f t="shared" si="63"/>
        <v>0.09</v>
      </c>
      <c r="CI179" s="161">
        <f t="shared" si="63"/>
        <v>0.08</v>
      </c>
      <c r="CJ179" s="161">
        <f t="shared" si="63"/>
        <v>0.08</v>
      </c>
      <c r="CK179" s="161">
        <f t="shared" si="63"/>
        <v>0.08</v>
      </c>
      <c r="CL179" s="162">
        <f t="shared" si="63"/>
        <v>0.08</v>
      </c>
      <c r="CM179" s="161">
        <f t="shared" si="63"/>
        <v>0.08</v>
      </c>
      <c r="CN179" s="161">
        <f t="shared" si="63"/>
        <v>0.08</v>
      </c>
      <c r="CO179" s="161">
        <f t="shared" si="15"/>
        <v>0.08</v>
      </c>
      <c r="CP179" s="161">
        <f t="shared" si="15"/>
        <v>0.08</v>
      </c>
      <c r="CQ179" s="162">
        <f t="shared" si="16"/>
        <v>0.08</v>
      </c>
      <c r="CR179" s="161">
        <f t="shared" si="16"/>
        <v>0.08</v>
      </c>
      <c r="CS179" s="161">
        <f t="shared" si="17"/>
        <v>0.08</v>
      </c>
      <c r="CT179" s="161">
        <f t="shared" si="17"/>
        <v>0.08</v>
      </c>
      <c r="CU179" s="161">
        <f t="shared" si="17"/>
        <v>0.08</v>
      </c>
      <c r="CV179" s="161">
        <f t="shared" si="17"/>
        <v>0.08</v>
      </c>
      <c r="CW179" s="163">
        <f t="shared" si="17"/>
        <v>0.08</v>
      </c>
    </row>
    <row r="180" spans="1:101" ht="13.5" thickBot="1">
      <c r="A180" s="2">
        <v>0.5</v>
      </c>
      <c r="B180" s="164">
        <v>0.84</v>
      </c>
      <c r="C180" s="165">
        <v>0.58</v>
      </c>
      <c r="D180" s="165">
        <v>0.47</v>
      </c>
      <c r="E180" s="166">
        <v>0.4</v>
      </c>
      <c r="F180" s="165">
        <v>0.36</v>
      </c>
      <c r="G180" s="165">
        <v>0.33</v>
      </c>
      <c r="H180" s="165">
        <v>0.3</v>
      </c>
      <c r="I180" s="165">
        <v>0.28</v>
      </c>
      <c r="J180" s="166">
        <v>0.18</v>
      </c>
      <c r="K180" s="167">
        <f t="shared" si="18"/>
        <v>0.25</v>
      </c>
      <c r="L180" s="165">
        <f t="shared" si="2"/>
        <v>0.24</v>
      </c>
      <c r="M180" s="165">
        <f t="shared" si="2"/>
        <v>0.23999999999999994</v>
      </c>
      <c r="N180" s="165">
        <f t="shared" si="2"/>
        <v>0.22999999999999993</v>
      </c>
      <c r="O180" s="166">
        <f t="shared" si="2"/>
        <v>0.21999999999999992</v>
      </c>
      <c r="P180" s="167">
        <v>0.22</v>
      </c>
      <c r="Q180" s="165">
        <f>Q179-0.01</f>
        <v>0.21</v>
      </c>
      <c r="R180" s="165">
        <f>R179-0.01</f>
        <v>0.19999999999999998</v>
      </c>
      <c r="S180" s="165">
        <f>S179-0.01</f>
        <v>0.18999999999999997</v>
      </c>
      <c r="T180" s="166">
        <v>0.19</v>
      </c>
      <c r="U180" s="165">
        <f>U179-0.01</f>
        <v>0.18</v>
      </c>
      <c r="V180" s="165">
        <v>0.18</v>
      </c>
      <c r="W180" s="165">
        <f>W179-0.01</f>
        <v>0.16999999999999998</v>
      </c>
      <c r="X180" s="165">
        <v>0.17</v>
      </c>
      <c r="Y180" s="166">
        <f>Y179-0.01</f>
        <v>0.16</v>
      </c>
      <c r="Z180" s="167">
        <v>0.16</v>
      </c>
      <c r="AA180" s="165">
        <f>AA179</f>
        <v>0.16</v>
      </c>
      <c r="AB180" s="165">
        <v>0.15</v>
      </c>
      <c r="AC180" s="165">
        <f t="shared" si="3"/>
        <v>0.15</v>
      </c>
      <c r="AD180" s="166">
        <v>0.14</v>
      </c>
      <c r="AE180" s="165">
        <f t="shared" si="3"/>
        <v>0.14</v>
      </c>
      <c r="AF180" s="165">
        <f t="shared" si="3"/>
        <v>0.14</v>
      </c>
      <c r="AG180" s="165">
        <f t="shared" si="4"/>
        <v>0.14</v>
      </c>
      <c r="AH180" s="165">
        <v>0.13</v>
      </c>
      <c r="AI180" s="166">
        <v>0.13</v>
      </c>
      <c r="AJ180" s="165">
        <f>AJ179</f>
        <v>0.13</v>
      </c>
      <c r="AK180" s="165">
        <f t="shared" si="6"/>
        <v>0.13</v>
      </c>
      <c r="AL180" s="165">
        <v>0.13</v>
      </c>
      <c r="AM180" s="165">
        <v>0.12</v>
      </c>
      <c r="AN180" s="166">
        <v>0.12</v>
      </c>
      <c r="AO180" s="165">
        <f t="shared" si="8"/>
        <v>0.12</v>
      </c>
      <c r="AP180" s="165">
        <f t="shared" si="8"/>
        <v>0.12</v>
      </c>
      <c r="AQ180" s="165">
        <f t="shared" si="9"/>
        <v>0.12</v>
      </c>
      <c r="AR180" s="165">
        <f t="shared" si="9"/>
        <v>0.12</v>
      </c>
      <c r="AS180" s="166">
        <f t="shared" si="9"/>
        <v>0.12</v>
      </c>
      <c r="AT180" s="165">
        <f t="shared" si="9"/>
        <v>0.12</v>
      </c>
      <c r="AU180" s="165">
        <v>0.11</v>
      </c>
      <c r="AV180" s="165">
        <v>0.11</v>
      </c>
      <c r="AW180" s="165">
        <f t="shared" si="10"/>
        <v>0.11</v>
      </c>
      <c r="AX180" s="166">
        <f t="shared" si="10"/>
        <v>0.11</v>
      </c>
      <c r="AY180" s="165">
        <f t="shared" si="10"/>
        <v>0.11</v>
      </c>
      <c r="AZ180" s="165">
        <f t="shared" si="10"/>
        <v>0.11</v>
      </c>
      <c r="BA180" s="165">
        <f t="shared" si="10"/>
        <v>0.11</v>
      </c>
      <c r="BB180" s="165">
        <f t="shared" si="11"/>
        <v>0.11</v>
      </c>
      <c r="BC180" s="166">
        <f t="shared" si="11"/>
        <v>0.11</v>
      </c>
      <c r="BD180" s="165">
        <f t="shared" si="11"/>
        <v>0.11</v>
      </c>
      <c r="BE180" s="165">
        <f t="shared" si="11"/>
        <v>0.11</v>
      </c>
      <c r="BF180" s="165">
        <f t="shared" si="11"/>
        <v>0.11</v>
      </c>
      <c r="BG180" s="165">
        <f t="shared" si="11"/>
        <v>0.11</v>
      </c>
      <c r="BH180" s="166">
        <f t="shared" si="68"/>
        <v>0.11</v>
      </c>
      <c r="BI180" s="165">
        <f t="shared" si="67"/>
        <v>0.1</v>
      </c>
      <c r="BJ180" s="165">
        <f t="shared" si="67"/>
        <v>0.1</v>
      </c>
      <c r="BK180" s="165">
        <f t="shared" si="67"/>
        <v>0.1</v>
      </c>
      <c r="BL180" s="165">
        <f t="shared" si="66"/>
        <v>0.1</v>
      </c>
      <c r="BM180" s="166">
        <f t="shared" si="66"/>
        <v>0.1</v>
      </c>
      <c r="BN180" s="165">
        <f t="shared" si="66"/>
        <v>0.1</v>
      </c>
      <c r="BO180" s="165">
        <f t="shared" si="66"/>
        <v>0.1</v>
      </c>
      <c r="BP180" s="165">
        <f t="shared" si="66"/>
        <v>0.1</v>
      </c>
      <c r="BQ180" s="165">
        <f t="shared" si="66"/>
        <v>0.1</v>
      </c>
      <c r="BR180" s="166">
        <f t="shared" si="66"/>
        <v>0.1</v>
      </c>
      <c r="BS180" s="165">
        <f t="shared" si="66"/>
        <v>0.09</v>
      </c>
      <c r="BT180" s="165">
        <f t="shared" si="13"/>
        <v>0.09</v>
      </c>
      <c r="BU180" s="165">
        <f t="shared" si="13"/>
        <v>0.09</v>
      </c>
      <c r="BV180" s="165">
        <f t="shared" si="13"/>
        <v>0.09</v>
      </c>
      <c r="BW180" s="166">
        <f t="shared" si="13"/>
        <v>0.09</v>
      </c>
      <c r="BX180" s="165">
        <f t="shared" si="23"/>
        <v>0.09</v>
      </c>
      <c r="BY180" s="165">
        <f t="shared" si="23"/>
        <v>0.09</v>
      </c>
      <c r="BZ180" s="165">
        <f t="shared" si="65"/>
        <v>0.09</v>
      </c>
      <c r="CA180" s="165">
        <f t="shared" si="64"/>
        <v>0.09</v>
      </c>
      <c r="CB180" s="166">
        <f t="shared" si="64"/>
        <v>0.09</v>
      </c>
      <c r="CC180" s="165">
        <f t="shared" si="64"/>
        <v>0.09</v>
      </c>
      <c r="CD180" s="165">
        <f t="shared" si="64"/>
        <v>0.09</v>
      </c>
      <c r="CE180" s="165">
        <f t="shared" si="63"/>
        <v>0.09</v>
      </c>
      <c r="CF180" s="165">
        <f t="shared" si="63"/>
        <v>0.09</v>
      </c>
      <c r="CG180" s="166">
        <f t="shared" si="63"/>
        <v>0.09</v>
      </c>
      <c r="CH180" s="165">
        <f t="shared" si="63"/>
        <v>0.09</v>
      </c>
      <c r="CI180" s="165">
        <f t="shared" si="63"/>
        <v>0.08</v>
      </c>
      <c r="CJ180" s="165">
        <f t="shared" si="63"/>
        <v>0.08</v>
      </c>
      <c r="CK180" s="165">
        <f t="shared" si="63"/>
        <v>0.08</v>
      </c>
      <c r="CL180" s="166">
        <f t="shared" si="63"/>
        <v>0.08</v>
      </c>
      <c r="CM180" s="165">
        <f t="shared" si="63"/>
        <v>0.08</v>
      </c>
      <c r="CN180" s="165">
        <f t="shared" si="63"/>
        <v>0.08</v>
      </c>
      <c r="CO180" s="165">
        <f t="shared" si="15"/>
        <v>0.08</v>
      </c>
      <c r="CP180" s="165">
        <f t="shared" si="15"/>
        <v>0.08</v>
      </c>
      <c r="CQ180" s="166">
        <f t="shared" si="16"/>
        <v>0.08</v>
      </c>
      <c r="CR180" s="165">
        <f t="shared" si="16"/>
        <v>0.08</v>
      </c>
      <c r="CS180" s="165">
        <f t="shared" si="17"/>
        <v>0.08</v>
      </c>
      <c r="CT180" s="165">
        <f t="shared" si="17"/>
        <v>0.08</v>
      </c>
      <c r="CU180" s="165">
        <f t="shared" si="17"/>
        <v>0.08</v>
      </c>
      <c r="CV180" s="165">
        <f t="shared" si="17"/>
        <v>0.08</v>
      </c>
      <c r="CW180" s="168">
        <f t="shared" si="17"/>
        <v>0.08</v>
      </c>
    </row>
    <row r="181" spans="1:21" ht="12.75">
      <c r="A181"/>
      <c r="B181"/>
      <c r="C181"/>
      <c r="D181"/>
      <c r="E181"/>
      <c r="F181"/>
      <c r="G181"/>
      <c r="H181"/>
      <c r="I181"/>
      <c r="J181"/>
      <c r="K181"/>
      <c r="L181"/>
      <c r="M181"/>
      <c r="N181"/>
      <c r="O181"/>
      <c r="P181"/>
      <c r="Q181"/>
      <c r="R181"/>
      <c r="S181"/>
      <c r="T181"/>
      <c r="U181"/>
    </row>
    <row r="182" spans="1:21" ht="12.75">
      <c r="A182"/>
      <c r="B182"/>
      <c r="C182"/>
      <c r="D182"/>
      <c r="E182"/>
      <c r="F182"/>
      <c r="G182"/>
      <c r="H182"/>
      <c r="I182"/>
      <c r="J182"/>
      <c r="K182"/>
      <c r="L182"/>
      <c r="M182"/>
      <c r="N182"/>
      <c r="O182"/>
      <c r="P182"/>
      <c r="Q182"/>
      <c r="R182"/>
      <c r="S182"/>
      <c r="T182"/>
      <c r="U182"/>
    </row>
    <row r="183" spans="1:21" ht="12.75">
      <c r="A183"/>
      <c r="B183"/>
      <c r="C183"/>
      <c r="D183"/>
      <c r="E183"/>
      <c r="F183"/>
      <c r="G183"/>
      <c r="H183"/>
      <c r="I183"/>
      <c r="J183"/>
      <c r="K183"/>
      <c r="L183"/>
      <c r="M183"/>
      <c r="N183"/>
      <c r="O183"/>
      <c r="P183"/>
      <c r="Q183"/>
      <c r="R183"/>
      <c r="S183"/>
      <c r="T183"/>
      <c r="U183"/>
    </row>
    <row r="184" spans="1:21" ht="12.75">
      <c r="A184"/>
      <c r="B184"/>
      <c r="C184"/>
      <c r="D184"/>
      <c r="E184"/>
      <c r="F184"/>
      <c r="G184"/>
      <c r="H184"/>
      <c r="I184"/>
      <c r="J184"/>
      <c r="K184"/>
      <c r="L184"/>
      <c r="M184"/>
      <c r="N184"/>
      <c r="O184"/>
      <c r="P184"/>
      <c r="Q184"/>
      <c r="R184"/>
      <c r="S184"/>
      <c r="T184"/>
      <c r="U184"/>
    </row>
    <row r="185" spans="1:21" ht="12.75">
      <c r="A185"/>
      <c r="B185"/>
      <c r="C185"/>
      <c r="D185"/>
      <c r="E185"/>
      <c r="F185"/>
      <c r="G185"/>
      <c r="H185"/>
      <c r="I185"/>
      <c r="J185"/>
      <c r="K185"/>
      <c r="L185"/>
      <c r="M185"/>
      <c r="N185"/>
      <c r="O185"/>
      <c r="P185"/>
      <c r="Q185"/>
      <c r="R185"/>
      <c r="S185"/>
      <c r="T185"/>
      <c r="U185"/>
    </row>
    <row r="186" spans="1:21" ht="12.75">
      <c r="A186"/>
      <c r="B186"/>
      <c r="C186"/>
      <c r="D186"/>
      <c r="E186"/>
      <c r="F186"/>
      <c r="G186"/>
      <c r="H186"/>
      <c r="I186"/>
      <c r="J186"/>
      <c r="K186"/>
      <c r="L186"/>
      <c r="M186"/>
      <c r="N186"/>
      <c r="O186"/>
      <c r="P186"/>
      <c r="Q186"/>
      <c r="R186"/>
      <c r="S186"/>
      <c r="T186"/>
      <c r="U186"/>
    </row>
    <row r="187" spans="1:21" ht="12.75">
      <c r="A187"/>
      <c r="B187"/>
      <c r="C187"/>
      <c r="D187"/>
      <c r="E187"/>
      <c r="F187"/>
      <c r="G187"/>
      <c r="H187"/>
      <c r="I187"/>
      <c r="J187"/>
      <c r="K187"/>
      <c r="L187"/>
      <c r="M187"/>
      <c r="N187"/>
      <c r="O187"/>
      <c r="P187"/>
      <c r="Q187"/>
      <c r="R187"/>
      <c r="S187"/>
      <c r="T187"/>
      <c r="U187"/>
    </row>
    <row r="188" spans="1:21" ht="12.75">
      <c r="A188"/>
      <c r="B188"/>
      <c r="C188"/>
      <c r="D188"/>
      <c r="E188"/>
      <c r="F188"/>
      <c r="G188"/>
      <c r="H188"/>
      <c r="I188"/>
      <c r="J188"/>
      <c r="K188"/>
      <c r="L188"/>
      <c r="M188"/>
      <c r="N188"/>
      <c r="O188"/>
      <c r="P188"/>
      <c r="Q188"/>
      <c r="R188"/>
      <c r="S188"/>
      <c r="T188"/>
      <c r="U188"/>
    </row>
    <row r="189" spans="1:21" ht="12.75">
      <c r="A189"/>
      <c r="B189"/>
      <c r="C189"/>
      <c r="D189"/>
      <c r="E189"/>
      <c r="F189"/>
      <c r="G189"/>
      <c r="H189"/>
      <c r="I189"/>
      <c r="J189"/>
      <c r="K189"/>
      <c r="L189"/>
      <c r="M189"/>
      <c r="N189"/>
      <c r="O189"/>
      <c r="P189"/>
      <c r="Q189"/>
      <c r="R189"/>
      <c r="S189"/>
      <c r="T189"/>
      <c r="U189"/>
    </row>
    <row r="190" spans="1:21" ht="12.75">
      <c r="A190"/>
      <c r="B190"/>
      <c r="C190"/>
      <c r="D190"/>
      <c r="E190"/>
      <c r="F190"/>
      <c r="G190"/>
      <c r="H190"/>
      <c r="I190"/>
      <c r="J190"/>
      <c r="K190"/>
      <c r="L190"/>
      <c r="M190"/>
      <c r="N190"/>
      <c r="O190"/>
      <c r="P190"/>
      <c r="Q190"/>
      <c r="R190"/>
      <c r="S190"/>
      <c r="T190"/>
      <c r="U190"/>
    </row>
    <row r="191" spans="1:21" ht="12.75">
      <c r="A191"/>
      <c r="B191"/>
      <c r="C191"/>
      <c r="D191"/>
      <c r="E191"/>
      <c r="F191"/>
      <c r="G191"/>
      <c r="H191"/>
      <c r="I191"/>
      <c r="J191"/>
      <c r="K191"/>
      <c r="L191"/>
      <c r="M191"/>
      <c r="N191"/>
      <c r="O191"/>
      <c r="P191"/>
      <c r="Q191"/>
      <c r="R191"/>
      <c r="S191"/>
      <c r="T191"/>
      <c r="U191"/>
    </row>
    <row r="192" spans="1:21" ht="12.75">
      <c r="A192"/>
      <c r="B192"/>
      <c r="C192"/>
      <c r="D192"/>
      <c r="E192"/>
      <c r="F192"/>
      <c r="G192"/>
      <c r="H192"/>
      <c r="I192"/>
      <c r="J192"/>
      <c r="K192"/>
      <c r="L192"/>
      <c r="M192"/>
      <c r="N192"/>
      <c r="O192"/>
      <c r="P192"/>
      <c r="Q192"/>
      <c r="R192"/>
      <c r="S192"/>
      <c r="T192"/>
      <c r="U192"/>
    </row>
    <row r="193" spans="1:21" ht="12.75">
      <c r="A193"/>
      <c r="B193"/>
      <c r="C193"/>
      <c r="D193"/>
      <c r="E193"/>
      <c r="F193"/>
      <c r="G193"/>
      <c r="H193"/>
      <c r="I193"/>
      <c r="J193"/>
      <c r="K193"/>
      <c r="L193"/>
      <c r="M193"/>
      <c r="N193"/>
      <c r="O193"/>
      <c r="P193"/>
      <c r="Q193"/>
      <c r="R193"/>
      <c r="S193"/>
      <c r="T193"/>
      <c r="U193"/>
    </row>
    <row r="194" spans="1:21" ht="12.75">
      <c r="A194"/>
      <c r="B194"/>
      <c r="C194"/>
      <c r="D194"/>
      <c r="E194"/>
      <c r="F194"/>
      <c r="G194"/>
      <c r="H194"/>
      <c r="I194"/>
      <c r="J194"/>
      <c r="K194"/>
      <c r="L194"/>
      <c r="M194"/>
      <c r="N194"/>
      <c r="O194"/>
      <c r="P194"/>
      <c r="Q194"/>
      <c r="R194"/>
      <c r="S194"/>
      <c r="T194"/>
      <c r="U194"/>
    </row>
    <row r="195" spans="1:21" ht="12.75">
      <c r="A195"/>
      <c r="B195"/>
      <c r="C195"/>
      <c r="D195"/>
      <c r="E195"/>
      <c r="F195"/>
      <c r="G195"/>
      <c r="H195"/>
      <c r="I195"/>
      <c r="J195"/>
      <c r="K195"/>
      <c r="L195"/>
      <c r="M195"/>
      <c r="N195"/>
      <c r="O195"/>
      <c r="P195"/>
      <c r="Q195"/>
      <c r="R195"/>
      <c r="S195"/>
      <c r="T195"/>
      <c r="U195"/>
    </row>
    <row r="196" spans="1:21" ht="12.75">
      <c r="A196"/>
      <c r="B196"/>
      <c r="C196"/>
      <c r="D196"/>
      <c r="E196"/>
      <c r="F196"/>
      <c r="G196"/>
      <c r="H196"/>
      <c r="I196"/>
      <c r="J196"/>
      <c r="K196"/>
      <c r="L196"/>
      <c r="M196"/>
      <c r="N196"/>
      <c r="O196"/>
      <c r="P196"/>
      <c r="Q196"/>
      <c r="R196"/>
      <c r="S196"/>
      <c r="T196"/>
      <c r="U196"/>
    </row>
    <row r="197" spans="1:21" ht="12.75">
      <c r="A197"/>
      <c r="B197"/>
      <c r="C197"/>
      <c r="D197"/>
      <c r="E197"/>
      <c r="F197"/>
      <c r="G197"/>
      <c r="H197"/>
      <c r="I197"/>
      <c r="J197"/>
      <c r="K197"/>
      <c r="L197"/>
      <c r="M197"/>
      <c r="N197"/>
      <c r="O197"/>
      <c r="P197"/>
      <c r="Q197"/>
      <c r="R197"/>
      <c r="S197"/>
      <c r="T197"/>
      <c r="U197"/>
    </row>
    <row r="198" spans="1:21" ht="12.75">
      <c r="A198"/>
      <c r="B198"/>
      <c r="C198"/>
      <c r="D198"/>
      <c r="E198"/>
      <c r="F198"/>
      <c r="G198"/>
      <c r="H198"/>
      <c r="I198"/>
      <c r="J198"/>
      <c r="K198"/>
      <c r="L198"/>
      <c r="M198"/>
      <c r="N198"/>
      <c r="O198"/>
      <c r="P198"/>
      <c r="Q198"/>
      <c r="R198"/>
      <c r="S198"/>
      <c r="T198"/>
      <c r="U198"/>
    </row>
    <row r="199" spans="1:21" ht="12.75">
      <c r="A199"/>
      <c r="B199"/>
      <c r="C199"/>
      <c r="D199"/>
      <c r="E199"/>
      <c r="F199"/>
      <c r="G199"/>
      <c r="H199"/>
      <c r="I199"/>
      <c r="J199"/>
      <c r="K199"/>
      <c r="L199"/>
      <c r="M199"/>
      <c r="N199"/>
      <c r="O199"/>
      <c r="P199"/>
      <c r="Q199"/>
      <c r="R199"/>
      <c r="S199"/>
      <c r="T199"/>
      <c r="U199"/>
    </row>
    <row r="200" spans="1:21" ht="12.75">
      <c r="A200"/>
      <c r="B200"/>
      <c r="C200"/>
      <c r="D200"/>
      <c r="E200"/>
      <c r="F200"/>
      <c r="G200"/>
      <c r="H200"/>
      <c r="I200"/>
      <c r="J200"/>
      <c r="K200"/>
      <c r="L200"/>
      <c r="M200"/>
      <c r="N200"/>
      <c r="O200"/>
      <c r="P200"/>
      <c r="Q200"/>
      <c r="R200"/>
      <c r="S200"/>
      <c r="T200"/>
      <c r="U200"/>
    </row>
    <row r="201" spans="1:21" ht="12.75">
      <c r="A201"/>
      <c r="B201"/>
      <c r="C201"/>
      <c r="D201"/>
      <c r="E201"/>
      <c r="F201"/>
      <c r="G201"/>
      <c r="H201"/>
      <c r="I201"/>
      <c r="J201"/>
      <c r="K201"/>
      <c r="L201"/>
      <c r="M201"/>
      <c r="N201"/>
      <c r="O201"/>
      <c r="P201"/>
      <c r="Q201"/>
      <c r="R201"/>
      <c r="S201"/>
      <c r="T201"/>
      <c r="U201"/>
    </row>
    <row r="202" spans="1:21" ht="12.75">
      <c r="A202"/>
      <c r="B202"/>
      <c r="C202"/>
      <c r="D202"/>
      <c r="E202"/>
      <c r="F202"/>
      <c r="G202"/>
      <c r="H202"/>
      <c r="I202"/>
      <c r="J202"/>
      <c r="K202"/>
      <c r="L202"/>
      <c r="M202"/>
      <c r="N202"/>
      <c r="O202"/>
      <c r="P202"/>
      <c r="Q202"/>
      <c r="R202"/>
      <c r="S202"/>
      <c r="T202"/>
      <c r="U202"/>
    </row>
    <row r="203" spans="1:21" ht="12.75">
      <c r="A203"/>
      <c r="B203"/>
      <c r="C203"/>
      <c r="D203"/>
      <c r="E203"/>
      <c r="F203"/>
      <c r="G203"/>
      <c r="H203"/>
      <c r="I203"/>
      <c r="J203"/>
      <c r="K203"/>
      <c r="L203"/>
      <c r="M203"/>
      <c r="N203"/>
      <c r="O203"/>
      <c r="P203"/>
      <c r="Q203"/>
      <c r="R203"/>
      <c r="S203"/>
      <c r="T203"/>
      <c r="U203"/>
    </row>
    <row r="204" spans="1:21" ht="12.75">
      <c r="A204"/>
      <c r="B204"/>
      <c r="C204"/>
      <c r="D204"/>
      <c r="E204"/>
      <c r="F204"/>
      <c r="G204"/>
      <c r="H204"/>
      <c r="I204"/>
      <c r="J204"/>
      <c r="K204"/>
      <c r="L204"/>
      <c r="M204"/>
      <c r="N204"/>
      <c r="O204"/>
      <c r="P204"/>
      <c r="Q204"/>
      <c r="R204"/>
      <c r="S204"/>
      <c r="T204"/>
      <c r="U204"/>
    </row>
    <row r="205" spans="1:21" ht="12.75">
      <c r="A205"/>
      <c r="B205"/>
      <c r="C205"/>
      <c r="D205"/>
      <c r="E205"/>
      <c r="F205"/>
      <c r="G205"/>
      <c r="H205"/>
      <c r="I205"/>
      <c r="J205"/>
      <c r="K205"/>
      <c r="L205"/>
      <c r="M205"/>
      <c r="N205"/>
      <c r="O205"/>
      <c r="P205"/>
      <c r="Q205"/>
      <c r="R205"/>
      <c r="S205"/>
      <c r="T205"/>
      <c r="U205"/>
    </row>
    <row r="206" spans="1:21" ht="12.75">
      <c r="A206"/>
      <c r="B206"/>
      <c r="C206"/>
      <c r="D206"/>
      <c r="E206"/>
      <c r="F206"/>
      <c r="G206"/>
      <c r="H206"/>
      <c r="I206"/>
      <c r="J206"/>
      <c r="K206"/>
      <c r="L206"/>
      <c r="M206"/>
      <c r="N206"/>
      <c r="O206"/>
      <c r="P206"/>
      <c r="Q206"/>
      <c r="R206"/>
      <c r="S206"/>
      <c r="T206"/>
      <c r="U206"/>
    </row>
    <row r="207" spans="1:21" ht="12.75">
      <c r="A207"/>
      <c r="B207"/>
      <c r="C207"/>
      <c r="D207"/>
      <c r="E207"/>
      <c r="F207"/>
      <c r="G207"/>
      <c r="H207"/>
      <c r="I207"/>
      <c r="J207"/>
      <c r="K207"/>
      <c r="L207"/>
      <c r="M207"/>
      <c r="N207"/>
      <c r="O207"/>
      <c r="P207"/>
      <c r="Q207"/>
      <c r="R207"/>
      <c r="S207"/>
      <c r="T207"/>
      <c r="U207"/>
    </row>
    <row r="208" spans="1:21" ht="12.75">
      <c r="A208"/>
      <c r="B208"/>
      <c r="C208"/>
      <c r="D208"/>
      <c r="E208"/>
      <c r="F208"/>
      <c r="G208"/>
      <c r="H208"/>
      <c r="I208"/>
      <c r="J208"/>
      <c r="K208"/>
      <c r="L208"/>
      <c r="M208"/>
      <c r="N208"/>
      <c r="O208"/>
      <c r="P208"/>
      <c r="Q208"/>
      <c r="R208"/>
      <c r="S208"/>
      <c r="T208"/>
      <c r="U208"/>
    </row>
    <row r="209" spans="1:21" ht="12.75">
      <c r="A209"/>
      <c r="B209"/>
      <c r="C209"/>
      <c r="D209"/>
      <c r="E209"/>
      <c r="F209"/>
      <c r="G209"/>
      <c r="H209"/>
      <c r="I209"/>
      <c r="J209"/>
      <c r="K209"/>
      <c r="L209"/>
      <c r="M209"/>
      <c r="N209"/>
      <c r="O209"/>
      <c r="P209"/>
      <c r="Q209"/>
      <c r="R209"/>
      <c r="S209"/>
      <c r="T209"/>
      <c r="U209"/>
    </row>
    <row r="217" spans="1:28" ht="12.75">
      <c r="A217"/>
      <c r="B217"/>
      <c r="C217"/>
      <c r="D217"/>
      <c r="E217"/>
      <c r="F217"/>
      <c r="G217"/>
      <c r="H217"/>
      <c r="I217"/>
      <c r="J217"/>
      <c r="K217"/>
      <c r="L217"/>
      <c r="M217"/>
      <c r="N217"/>
      <c r="O217"/>
      <c r="P217"/>
      <c r="Q217"/>
      <c r="R217"/>
      <c r="S217"/>
      <c r="T217"/>
      <c r="U217"/>
      <c r="V217"/>
      <c r="W217"/>
      <c r="X217"/>
      <c r="Y217"/>
      <c r="Z217"/>
      <c r="AA217"/>
      <c r="AB217"/>
    </row>
    <row r="218" spans="1:28" ht="12.75">
      <c r="A218"/>
      <c r="B218"/>
      <c r="C218"/>
      <c r="D218"/>
      <c r="E218"/>
      <c r="F218"/>
      <c r="G218"/>
      <c r="H218"/>
      <c r="I218"/>
      <c r="J218"/>
      <c r="K218"/>
      <c r="L218"/>
      <c r="M218"/>
      <c r="N218"/>
      <c r="O218"/>
      <c r="P218"/>
      <c r="Q218"/>
      <c r="R218"/>
      <c r="S218"/>
      <c r="T218"/>
      <c r="U218"/>
      <c r="V218"/>
      <c r="W218"/>
      <c r="X218"/>
      <c r="Y218"/>
      <c r="Z218"/>
      <c r="AA218"/>
      <c r="AB218"/>
    </row>
    <row r="219" spans="1:28" ht="12.75">
      <c r="A219"/>
      <c r="B219"/>
      <c r="C219"/>
      <c r="D219"/>
      <c r="E219"/>
      <c r="F219"/>
      <c r="G219"/>
      <c r="H219"/>
      <c r="I219"/>
      <c r="J219"/>
      <c r="K219"/>
      <c r="L219"/>
      <c r="M219"/>
      <c r="N219"/>
      <c r="O219"/>
      <c r="P219"/>
      <c r="Q219"/>
      <c r="R219"/>
      <c r="S219"/>
      <c r="T219"/>
      <c r="U219"/>
      <c r="V219"/>
      <c r="W219"/>
      <c r="X219"/>
      <c r="Y219"/>
      <c r="Z219"/>
      <c r="AA219"/>
      <c r="AB219"/>
    </row>
    <row r="220" spans="1:28" ht="12.75">
      <c r="A220"/>
      <c r="B220"/>
      <c r="C220"/>
      <c r="D220"/>
      <c r="E220"/>
      <c r="F220"/>
      <c r="G220"/>
      <c r="H220"/>
      <c r="I220"/>
      <c r="J220"/>
      <c r="K220"/>
      <c r="L220"/>
      <c r="M220"/>
      <c r="N220"/>
      <c r="O220"/>
      <c r="P220"/>
      <c r="Q220"/>
      <c r="R220"/>
      <c r="S220"/>
      <c r="T220"/>
      <c r="U220"/>
      <c r="V220"/>
      <c r="W220"/>
      <c r="X220"/>
      <c r="Y220"/>
      <c r="Z220"/>
      <c r="AA220"/>
      <c r="AB220"/>
    </row>
    <row r="221" spans="1:28" ht="12.75">
      <c r="A221"/>
      <c r="B221"/>
      <c r="C221"/>
      <c r="D221"/>
      <c r="E221"/>
      <c r="F221"/>
      <c r="G221"/>
      <c r="H221"/>
      <c r="I221"/>
      <c r="J221"/>
      <c r="K221"/>
      <c r="L221"/>
      <c r="M221"/>
      <c r="N221"/>
      <c r="O221"/>
      <c r="P221"/>
      <c r="Q221"/>
      <c r="R221"/>
      <c r="S221"/>
      <c r="T221"/>
      <c r="U221"/>
      <c r="V221"/>
      <c r="W221"/>
      <c r="X221"/>
      <c r="Y221"/>
      <c r="Z221"/>
      <c r="AA221"/>
      <c r="AB221"/>
    </row>
    <row r="222" spans="1:28" ht="12.75">
      <c r="A222"/>
      <c r="B222"/>
      <c r="C222"/>
      <c r="D222"/>
      <c r="E222"/>
      <c r="F222"/>
      <c r="G222"/>
      <c r="H222"/>
      <c r="I222"/>
      <c r="J222"/>
      <c r="K222"/>
      <c r="L222"/>
      <c r="M222"/>
      <c r="N222"/>
      <c r="O222"/>
      <c r="P222"/>
      <c r="Q222"/>
      <c r="R222"/>
      <c r="S222"/>
      <c r="T222"/>
      <c r="U222"/>
      <c r="V222"/>
      <c r="W222"/>
      <c r="X222"/>
      <c r="Y222"/>
      <c r="Z222"/>
      <c r="AA222"/>
      <c r="AB222"/>
    </row>
    <row r="223" spans="1:28" ht="12.75">
      <c r="A223"/>
      <c r="B223"/>
      <c r="C223"/>
      <c r="D223"/>
      <c r="E223"/>
      <c r="F223"/>
      <c r="G223"/>
      <c r="H223"/>
      <c r="I223"/>
      <c r="J223"/>
      <c r="K223"/>
      <c r="L223"/>
      <c r="M223"/>
      <c r="N223"/>
      <c r="O223"/>
      <c r="P223"/>
      <c r="Q223"/>
      <c r="R223"/>
      <c r="S223"/>
      <c r="T223"/>
      <c r="U223"/>
      <c r="V223"/>
      <c r="W223"/>
      <c r="X223"/>
      <c r="Y223"/>
      <c r="Z223"/>
      <c r="AA223"/>
      <c r="AB223"/>
    </row>
    <row r="224" spans="1:28" ht="12.75">
      <c r="A224"/>
      <c r="B224"/>
      <c r="C224"/>
      <c r="D224"/>
      <c r="E224"/>
      <c r="F224"/>
      <c r="G224"/>
      <c r="H224"/>
      <c r="I224"/>
      <c r="J224"/>
      <c r="K224"/>
      <c r="L224"/>
      <c r="M224"/>
      <c r="N224"/>
      <c r="O224"/>
      <c r="P224"/>
      <c r="Q224"/>
      <c r="R224"/>
      <c r="S224"/>
      <c r="T224"/>
      <c r="U224"/>
      <c r="V224"/>
      <c r="W224"/>
      <c r="X224"/>
      <c r="Y224"/>
      <c r="Z224"/>
      <c r="AA224"/>
      <c r="AB224"/>
    </row>
    <row r="225" spans="1:28" ht="12.75">
      <c r="A225"/>
      <c r="B225"/>
      <c r="C225"/>
      <c r="D225"/>
      <c r="E225"/>
      <c r="F225"/>
      <c r="G225"/>
      <c r="H225"/>
      <c r="I225"/>
      <c r="J225"/>
      <c r="K225"/>
      <c r="L225"/>
      <c r="M225"/>
      <c r="N225"/>
      <c r="O225"/>
      <c r="P225"/>
      <c r="Q225"/>
      <c r="R225"/>
      <c r="S225"/>
      <c r="T225"/>
      <c r="U225"/>
      <c r="V225"/>
      <c r="W225"/>
      <c r="X225"/>
      <c r="Y225"/>
      <c r="Z225"/>
      <c r="AA225"/>
      <c r="AB225"/>
    </row>
    <row r="226" spans="1:28" ht="12.75">
      <c r="A226"/>
      <c r="B226"/>
      <c r="C226"/>
      <c r="D226"/>
      <c r="E226"/>
      <c r="F226"/>
      <c r="G226"/>
      <c r="H226"/>
      <c r="I226"/>
      <c r="J226"/>
      <c r="K226"/>
      <c r="L226"/>
      <c r="M226"/>
      <c r="N226"/>
      <c r="O226"/>
      <c r="P226"/>
      <c r="Q226"/>
      <c r="R226"/>
      <c r="S226"/>
      <c r="T226"/>
      <c r="U226"/>
      <c r="V226"/>
      <c r="W226"/>
      <c r="X226"/>
      <c r="Y226"/>
      <c r="Z226"/>
      <c r="AA226"/>
      <c r="AB226"/>
    </row>
    <row r="227" spans="1:28" ht="12.75">
      <c r="A227"/>
      <c r="B227"/>
      <c r="C227"/>
      <c r="D227"/>
      <c r="E227"/>
      <c r="F227"/>
      <c r="G227"/>
      <c r="H227"/>
      <c r="I227"/>
      <c r="J227"/>
      <c r="K227"/>
      <c r="L227"/>
      <c r="M227"/>
      <c r="N227"/>
      <c r="O227"/>
      <c r="P227"/>
      <c r="Q227"/>
      <c r="R227"/>
      <c r="S227"/>
      <c r="T227"/>
      <c r="U227"/>
      <c r="V227"/>
      <c r="W227"/>
      <c r="X227"/>
      <c r="Y227"/>
      <c r="Z227"/>
      <c r="AA227"/>
      <c r="AB227"/>
    </row>
    <row r="228" spans="1:28" ht="12.75">
      <c r="A228"/>
      <c r="B228"/>
      <c r="C228"/>
      <c r="D228"/>
      <c r="E228"/>
      <c r="F228"/>
      <c r="G228"/>
      <c r="H228"/>
      <c r="I228"/>
      <c r="J228"/>
      <c r="K228"/>
      <c r="L228"/>
      <c r="M228"/>
      <c r="N228"/>
      <c r="O228"/>
      <c r="P228"/>
      <c r="Q228"/>
      <c r="R228"/>
      <c r="S228"/>
      <c r="T228"/>
      <c r="U228"/>
      <c r="V228"/>
      <c r="W228"/>
      <c r="X228"/>
      <c r="Y228"/>
      <c r="Z228"/>
      <c r="AA228"/>
      <c r="AB228"/>
    </row>
    <row r="229" spans="1:28" ht="12.75">
      <c r="A229"/>
      <c r="B229"/>
      <c r="C229"/>
      <c r="D229"/>
      <c r="E229"/>
      <c r="F229"/>
      <c r="G229"/>
      <c r="H229"/>
      <c r="I229"/>
      <c r="J229"/>
      <c r="K229"/>
      <c r="L229"/>
      <c r="M229"/>
      <c r="N229"/>
      <c r="O229"/>
      <c r="P229"/>
      <c r="Q229"/>
      <c r="R229"/>
      <c r="S229"/>
      <c r="T229"/>
      <c r="U229"/>
      <c r="V229"/>
      <c r="W229"/>
      <c r="X229"/>
      <c r="Y229"/>
      <c r="Z229"/>
      <c r="AA229"/>
      <c r="AB229"/>
    </row>
    <row r="230" spans="1:28" ht="12.75">
      <c r="A230"/>
      <c r="B230"/>
      <c r="C230"/>
      <c r="D230"/>
      <c r="E230"/>
      <c r="F230"/>
      <c r="G230"/>
      <c r="H230"/>
      <c r="I230"/>
      <c r="J230"/>
      <c r="K230"/>
      <c r="L230"/>
      <c r="M230"/>
      <c r="N230"/>
      <c r="O230"/>
      <c r="P230"/>
      <c r="Q230"/>
      <c r="R230"/>
      <c r="S230"/>
      <c r="T230"/>
      <c r="U230"/>
      <c r="V230"/>
      <c r="W230"/>
      <c r="X230"/>
      <c r="Y230"/>
      <c r="Z230"/>
      <c r="AA230"/>
      <c r="AB230"/>
    </row>
    <row r="231" spans="1:28" ht="12.75">
      <c r="A231"/>
      <c r="B231"/>
      <c r="C231"/>
      <c r="D231"/>
      <c r="E231"/>
      <c r="F231"/>
      <c r="G231"/>
      <c r="H231"/>
      <c r="I231"/>
      <c r="J231"/>
      <c r="K231"/>
      <c r="L231"/>
      <c r="M231"/>
      <c r="N231"/>
      <c r="O231"/>
      <c r="P231"/>
      <c r="Q231"/>
      <c r="R231"/>
      <c r="S231"/>
      <c r="T231"/>
      <c r="U231"/>
      <c r="V231"/>
      <c r="W231"/>
      <c r="X231"/>
      <c r="Y231"/>
      <c r="Z231"/>
      <c r="AA231"/>
      <c r="AB231"/>
    </row>
    <row r="232" spans="1:28" ht="12.75">
      <c r="A232"/>
      <c r="B232"/>
      <c r="C232"/>
      <c r="D232"/>
      <c r="E232"/>
      <c r="F232"/>
      <c r="G232"/>
      <c r="H232"/>
      <c r="I232"/>
      <c r="J232"/>
      <c r="K232"/>
      <c r="L232"/>
      <c r="M232"/>
      <c r="N232"/>
      <c r="O232"/>
      <c r="P232"/>
      <c r="Q232"/>
      <c r="R232"/>
      <c r="S232"/>
      <c r="T232"/>
      <c r="U232"/>
      <c r="V232"/>
      <c r="W232"/>
      <c r="X232"/>
      <c r="Y232"/>
      <c r="Z232"/>
      <c r="AA232"/>
      <c r="AB232"/>
    </row>
    <row r="233" spans="1:28" ht="12.75">
      <c r="A233"/>
      <c r="B233"/>
      <c r="C233"/>
      <c r="D233"/>
      <c r="E233"/>
      <c r="F233"/>
      <c r="G233"/>
      <c r="H233"/>
      <c r="I233"/>
      <c r="J233"/>
      <c r="K233"/>
      <c r="L233"/>
      <c r="M233"/>
      <c r="N233"/>
      <c r="O233"/>
      <c r="P233"/>
      <c r="Q233"/>
      <c r="R233"/>
      <c r="S233"/>
      <c r="T233"/>
      <c r="U233"/>
      <c r="V233"/>
      <c r="W233"/>
      <c r="X233"/>
      <c r="Y233"/>
      <c r="Z233"/>
      <c r="AA233"/>
      <c r="AB233"/>
    </row>
    <row r="234" spans="1:28" ht="12.75">
      <c r="A234"/>
      <c r="B234"/>
      <c r="C234"/>
      <c r="D234"/>
      <c r="E234"/>
      <c r="F234"/>
      <c r="G234"/>
      <c r="H234"/>
      <c r="I234"/>
      <c r="J234"/>
      <c r="K234"/>
      <c r="L234"/>
      <c r="M234"/>
      <c r="N234"/>
      <c r="O234"/>
      <c r="P234"/>
      <c r="Q234"/>
      <c r="R234"/>
      <c r="S234"/>
      <c r="T234"/>
      <c r="U234"/>
      <c r="V234"/>
      <c r="W234"/>
      <c r="X234"/>
      <c r="Y234"/>
      <c r="Z234"/>
      <c r="AA234"/>
      <c r="AB234"/>
    </row>
    <row r="235" spans="1:28" ht="12.75">
      <c r="A235"/>
      <c r="B235"/>
      <c r="C235"/>
      <c r="D235"/>
      <c r="E235"/>
      <c r="F235"/>
      <c r="G235"/>
      <c r="H235"/>
      <c r="I235"/>
      <c r="J235"/>
      <c r="K235"/>
      <c r="L235"/>
      <c r="M235"/>
      <c r="N235"/>
      <c r="O235"/>
      <c r="P235"/>
      <c r="Q235"/>
      <c r="R235"/>
      <c r="S235"/>
      <c r="T235"/>
      <c r="U235"/>
      <c r="V235"/>
      <c r="W235"/>
      <c r="X235"/>
      <c r="Y235"/>
      <c r="Z235"/>
      <c r="AA235"/>
      <c r="AB235"/>
    </row>
    <row r="236" spans="1:28" ht="12.75">
      <c r="A236"/>
      <c r="B236"/>
      <c r="C236"/>
      <c r="D236"/>
      <c r="E236"/>
      <c r="F236"/>
      <c r="G236"/>
      <c r="H236"/>
      <c r="I236"/>
      <c r="J236"/>
      <c r="K236"/>
      <c r="L236"/>
      <c r="M236"/>
      <c r="N236"/>
      <c r="O236"/>
      <c r="P236"/>
      <c r="Q236"/>
      <c r="R236"/>
      <c r="S236"/>
      <c r="T236"/>
      <c r="U236"/>
      <c r="V236"/>
      <c r="W236"/>
      <c r="X236"/>
      <c r="Y236"/>
      <c r="Z236"/>
      <c r="AA236"/>
      <c r="AB236"/>
    </row>
    <row r="237" spans="1:28" ht="12.75">
      <c r="A237"/>
      <c r="B237"/>
      <c r="C237"/>
      <c r="D237"/>
      <c r="E237"/>
      <c r="F237"/>
      <c r="G237"/>
      <c r="H237"/>
      <c r="I237"/>
      <c r="J237"/>
      <c r="K237"/>
      <c r="L237"/>
      <c r="M237"/>
      <c r="N237"/>
      <c r="O237"/>
      <c r="P237"/>
      <c r="Q237"/>
      <c r="R237"/>
      <c r="S237"/>
      <c r="T237"/>
      <c r="U237"/>
      <c r="V237"/>
      <c r="W237"/>
      <c r="X237"/>
      <c r="Y237"/>
      <c r="Z237"/>
      <c r="AA237"/>
      <c r="AB237"/>
    </row>
    <row r="238" spans="1:28" ht="12.75">
      <c r="A238"/>
      <c r="B238"/>
      <c r="C238"/>
      <c r="D238"/>
      <c r="E238"/>
      <c r="F238"/>
      <c r="G238"/>
      <c r="H238"/>
      <c r="I238"/>
      <c r="J238"/>
      <c r="K238"/>
      <c r="L238"/>
      <c r="M238"/>
      <c r="N238"/>
      <c r="O238"/>
      <c r="P238"/>
      <c r="Q238"/>
      <c r="R238"/>
      <c r="S238"/>
      <c r="T238"/>
      <c r="U238"/>
      <c r="V238"/>
      <c r="W238"/>
      <c r="X238"/>
      <c r="Y238"/>
      <c r="Z238"/>
      <c r="AA238"/>
      <c r="AB238"/>
    </row>
    <row r="239" spans="1:28" ht="12.75">
      <c r="A239"/>
      <c r="B239"/>
      <c r="C239"/>
      <c r="D239"/>
      <c r="E239"/>
      <c r="F239"/>
      <c r="G239"/>
      <c r="H239"/>
      <c r="I239"/>
      <c r="J239"/>
      <c r="K239"/>
      <c r="L239"/>
      <c r="M239"/>
      <c r="N239"/>
      <c r="O239"/>
      <c r="P239"/>
      <c r="Q239"/>
      <c r="R239"/>
      <c r="S239"/>
      <c r="T239"/>
      <c r="U239"/>
      <c r="V239"/>
      <c r="W239"/>
      <c r="X239"/>
      <c r="Y239"/>
      <c r="Z239"/>
      <c r="AA239"/>
      <c r="AB239"/>
    </row>
    <row r="240" spans="1:28" ht="12.75">
      <c r="A240"/>
      <c r="B240"/>
      <c r="C240"/>
      <c r="D240"/>
      <c r="E240"/>
      <c r="F240"/>
      <c r="G240"/>
      <c r="H240"/>
      <c r="I240"/>
      <c r="J240"/>
      <c r="K240"/>
      <c r="L240"/>
      <c r="M240"/>
      <c r="N240"/>
      <c r="O240"/>
      <c r="P240"/>
      <c r="Q240"/>
      <c r="R240"/>
      <c r="S240"/>
      <c r="T240"/>
      <c r="U240"/>
      <c r="V240"/>
      <c r="W240"/>
      <c r="X240"/>
      <c r="Y240"/>
      <c r="Z240"/>
      <c r="AA240"/>
      <c r="AB240"/>
    </row>
    <row r="241" spans="1:28" ht="12.75">
      <c r="A241"/>
      <c r="B241"/>
      <c r="C241"/>
      <c r="D241"/>
      <c r="E241"/>
      <c r="F241"/>
      <c r="G241"/>
      <c r="H241"/>
      <c r="I241"/>
      <c r="J241"/>
      <c r="K241"/>
      <c r="L241"/>
      <c r="M241"/>
      <c r="N241"/>
      <c r="O241"/>
      <c r="P241"/>
      <c r="Q241"/>
      <c r="R241"/>
      <c r="S241"/>
      <c r="T241"/>
      <c r="U241"/>
      <c r="V241"/>
      <c r="W241"/>
      <c r="X241"/>
      <c r="Y241"/>
      <c r="Z241"/>
      <c r="AA241"/>
      <c r="AB241"/>
    </row>
    <row r="242" spans="1:28" ht="12.75">
      <c r="A242"/>
      <c r="B242"/>
      <c r="C242"/>
      <c r="D242"/>
      <c r="E242"/>
      <c r="F242"/>
      <c r="G242"/>
      <c r="H242"/>
      <c r="I242"/>
      <c r="J242"/>
      <c r="K242"/>
      <c r="L242"/>
      <c r="M242"/>
      <c r="N242"/>
      <c r="O242"/>
      <c r="P242"/>
      <c r="Q242"/>
      <c r="R242"/>
      <c r="S242"/>
      <c r="T242"/>
      <c r="U242"/>
      <c r="V242"/>
      <c r="W242"/>
      <c r="X242"/>
      <c r="Y242"/>
      <c r="Z242"/>
      <c r="AA242"/>
      <c r="AB242"/>
    </row>
    <row r="243" spans="1:28" ht="12.75">
      <c r="A243"/>
      <c r="B243"/>
      <c r="C243"/>
      <c r="D243"/>
      <c r="E243"/>
      <c r="F243"/>
      <c r="G243"/>
      <c r="H243"/>
      <c r="I243"/>
      <c r="J243"/>
      <c r="K243"/>
      <c r="L243"/>
      <c r="M243"/>
      <c r="N243"/>
      <c r="O243"/>
      <c r="P243"/>
      <c r="Q243"/>
      <c r="R243"/>
      <c r="S243"/>
      <c r="T243"/>
      <c r="U243"/>
      <c r="V243"/>
      <c r="W243"/>
      <c r="X243"/>
      <c r="Y243"/>
      <c r="Z243"/>
      <c r="AA243"/>
      <c r="AB243"/>
    </row>
    <row r="244" spans="1:28" ht="12.75">
      <c r="A244"/>
      <c r="B244"/>
      <c r="C244"/>
      <c r="D244"/>
      <c r="E244"/>
      <c r="F244"/>
      <c r="G244"/>
      <c r="H244"/>
      <c r="I244"/>
      <c r="J244"/>
      <c r="K244"/>
      <c r="L244"/>
      <c r="M244"/>
      <c r="N244"/>
      <c r="O244"/>
      <c r="P244"/>
      <c r="Q244"/>
      <c r="R244"/>
      <c r="S244"/>
      <c r="T244"/>
      <c r="U244"/>
      <c r="V244"/>
      <c r="W244"/>
      <c r="X244"/>
      <c r="Y244"/>
      <c r="Z244"/>
      <c r="AA244"/>
      <c r="AB244"/>
    </row>
    <row r="245" spans="1:28" ht="12.75">
      <c r="A245"/>
      <c r="B245"/>
      <c r="C245"/>
      <c r="D245"/>
      <c r="E245"/>
      <c r="F245"/>
      <c r="G245"/>
      <c r="H245"/>
      <c r="I245"/>
      <c r="J245"/>
      <c r="K245"/>
      <c r="L245"/>
      <c r="M245"/>
      <c r="N245"/>
      <c r="O245"/>
      <c r="P245"/>
      <c r="Q245"/>
      <c r="R245"/>
      <c r="S245"/>
      <c r="T245"/>
      <c r="U245"/>
      <c r="V245"/>
      <c r="W245"/>
      <c r="X245"/>
      <c r="Y245"/>
      <c r="Z245"/>
      <c r="AA245"/>
      <c r="AB245"/>
    </row>
    <row r="246" spans="1:28" ht="12.75">
      <c r="A246"/>
      <c r="B246"/>
      <c r="C246"/>
      <c r="D246"/>
      <c r="E246"/>
      <c r="F246"/>
      <c r="G246"/>
      <c r="H246"/>
      <c r="I246"/>
      <c r="J246"/>
      <c r="K246"/>
      <c r="L246"/>
      <c r="M246"/>
      <c r="N246"/>
      <c r="O246"/>
      <c r="P246"/>
      <c r="Q246"/>
      <c r="R246"/>
      <c r="S246"/>
      <c r="T246"/>
      <c r="U246"/>
      <c r="V246"/>
      <c r="W246"/>
      <c r="X246"/>
      <c r="Y246"/>
      <c r="Z246"/>
      <c r="AA246"/>
      <c r="AB246"/>
    </row>
    <row r="256" spans="1:43"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row>
    <row r="257" spans="1:43"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row>
    <row r="258" spans="1:43"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row>
    <row r="259" spans="1:43"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row>
    <row r="260" spans="1:43"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row>
    <row r="261" spans="1:43"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row>
    <row r="262" spans="1:43"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row>
    <row r="263" spans="1:43"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row>
    <row r="264" spans="1:43"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row>
    <row r="265" spans="1:43"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row>
    <row r="266" spans="1:43"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row>
    <row r="267" spans="1:43"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row>
    <row r="268" spans="1:43"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row>
    <row r="269" spans="1:43"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row>
    <row r="270" spans="1:43"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row>
    <row r="271" spans="1:43"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row>
    <row r="272" spans="1:43"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row>
    <row r="273" spans="1:43"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row>
    <row r="274" spans="1:43"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row>
    <row r="275" spans="1:43"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row>
    <row r="276" spans="1:43"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row>
    <row r="277" spans="1:43"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row>
    <row r="278" spans="1:43"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row>
    <row r="279" spans="1:43"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row>
    <row r="280" spans="1:43"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row>
    <row r="281" spans="1:43"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row>
    <row r="282" spans="1:43"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row>
    <row r="283" spans="1:43"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row>
    <row r="284" spans="1:43"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row>
    <row r="285" spans="1:43"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row>
    <row r="286" spans="1:43"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row>
    <row r="287" spans="1:43"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row>
    <row r="288" spans="1:43"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row>
    <row r="289" spans="1:43"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row>
    <row r="290" spans="1:43"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row>
    <row r="291" spans="1:43"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row>
    <row r="292" spans="1:43"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row>
    <row r="293" spans="1:43"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row>
    <row r="294" spans="1:43"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row>
    <row r="295" spans="1:43"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row>
    <row r="296" spans="1:43"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row>
    <row r="297" spans="1:43"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row>
    <row r="298" spans="1:92"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row>
    <row r="299" spans="1:92"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row>
    <row r="300" spans="1:92"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row>
    <row r="301" spans="1:92"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row>
    <row r="302" spans="1:92"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row>
    <row r="303" spans="1:92"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row>
    <row r="304" spans="1:92"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row>
    <row r="305" spans="1:92"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row>
    <row r="306" spans="1:92"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row>
    <row r="307" spans="1:92"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row>
    <row r="308" spans="1:92"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row>
    <row r="309" spans="1:92"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row>
    <row r="310" spans="1:92"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row>
    <row r="311" spans="1:92"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row>
    <row r="312" spans="1:92"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row>
    <row r="313" spans="1:92"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row>
    <row r="314" spans="1:92"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row>
    <row r="315" spans="1:92"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row>
    <row r="316" spans="1:92"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row>
    <row r="317" spans="1:92"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row>
    <row r="318" spans="1:92"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row>
    <row r="319" spans="1:92"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row>
    <row r="320" spans="1:92"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row>
    <row r="321" spans="1:92"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row>
  </sheetData>
  <sheetProtection password="B271" sheet="1" objects="1" scenarios="1"/>
  <mergeCells count="9">
    <mergeCell ref="F126:G126"/>
    <mergeCell ref="H126:I126"/>
    <mergeCell ref="J126:K126"/>
    <mergeCell ref="H114:I114"/>
    <mergeCell ref="F114:G114"/>
    <mergeCell ref="J114:K114"/>
    <mergeCell ref="F120:G120"/>
    <mergeCell ref="H120:I120"/>
    <mergeCell ref="J120:K120"/>
  </mergeCells>
  <printOptions gridLines="1"/>
  <pageMargins left="0.75" right="0.75" top="1" bottom="1" header="0.5" footer="0.5"/>
  <pageSetup fitToHeight="1" fitToWidth="1" horizontalDpi="120" verticalDpi="120" orientation="landscape" paperSize="3" scale="15"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A1:K90"/>
  <sheetViews>
    <sheetView workbookViewId="0" topLeftCell="A1">
      <selection activeCell="C17" sqref="C17"/>
    </sheetView>
  </sheetViews>
  <sheetFormatPr defaultColWidth="9.140625" defaultRowHeight="12.75"/>
  <cols>
    <col min="2" max="2" width="14.57421875" style="0" bestFit="1" customWidth="1"/>
    <col min="3" max="3" width="43.28125" style="0" bestFit="1" customWidth="1"/>
    <col min="4" max="4" width="3.00390625" style="0" customWidth="1"/>
    <col min="5" max="5" width="5.00390625" style="0" customWidth="1"/>
    <col min="6" max="6" width="3.00390625" style="0" customWidth="1"/>
    <col min="7" max="7" width="5.00390625" style="0" customWidth="1"/>
    <col min="8" max="8" width="3.00390625" style="0" customWidth="1"/>
    <col min="9" max="9" width="5.00390625" style="0" customWidth="1"/>
    <col min="10" max="10" width="3.00390625" style="0" customWidth="1"/>
    <col min="11" max="11" width="5.00390625" style="0" customWidth="1"/>
    <col min="12" max="12" width="3.00390625" style="0" customWidth="1"/>
    <col min="13" max="16384" width="0" style="0" hidden="1" customWidth="1"/>
  </cols>
  <sheetData>
    <row r="1" ht="12.75">
      <c r="C1" s="2" t="s">
        <v>37</v>
      </c>
    </row>
    <row r="2" spans="3:4" ht="12.75">
      <c r="C2" t="s">
        <v>255</v>
      </c>
      <c r="D2" s="2" t="s">
        <v>32</v>
      </c>
    </row>
    <row r="3" spans="4:11" ht="12.75">
      <c r="D3" s="2" t="s">
        <v>33</v>
      </c>
      <c r="E3" s="2" t="s">
        <v>38</v>
      </c>
      <c r="F3" s="2" t="s">
        <v>34</v>
      </c>
      <c r="G3" s="2" t="s">
        <v>38</v>
      </c>
      <c r="H3" s="2" t="s">
        <v>35</v>
      </c>
      <c r="I3" s="2" t="s">
        <v>38</v>
      </c>
      <c r="J3" s="2" t="s">
        <v>36</v>
      </c>
      <c r="K3" s="2" t="s">
        <v>38</v>
      </c>
    </row>
    <row r="4" spans="1:10" ht="12.75">
      <c r="A4">
        <v>1</v>
      </c>
      <c r="B4" s="2" t="s">
        <v>37</v>
      </c>
      <c r="C4" s="122" t="s">
        <v>232</v>
      </c>
      <c r="D4">
        <v>75</v>
      </c>
      <c r="F4">
        <v>84</v>
      </c>
      <c r="H4">
        <v>89</v>
      </c>
      <c r="J4">
        <v>92</v>
      </c>
    </row>
    <row r="5" spans="1:10" ht="12.75">
      <c r="A5">
        <v>1</v>
      </c>
      <c r="B5" s="2" t="s">
        <v>37</v>
      </c>
      <c r="C5" s="122" t="s">
        <v>233</v>
      </c>
      <c r="D5">
        <v>70</v>
      </c>
      <c r="F5">
        <v>79</v>
      </c>
      <c r="H5">
        <v>85</v>
      </c>
      <c r="J5">
        <v>88</v>
      </c>
    </row>
    <row r="6" spans="1:10" ht="12.75">
      <c r="A6">
        <v>1</v>
      </c>
      <c r="B6" s="2" t="s">
        <v>37</v>
      </c>
      <c r="C6" s="122" t="s">
        <v>234</v>
      </c>
      <c r="D6">
        <v>69</v>
      </c>
      <c r="F6">
        <v>78</v>
      </c>
      <c r="H6">
        <v>85</v>
      </c>
      <c r="J6">
        <v>88</v>
      </c>
    </row>
    <row r="7" spans="1:10" ht="12.75">
      <c r="A7">
        <v>1</v>
      </c>
      <c r="B7" s="2" t="s">
        <v>37</v>
      </c>
      <c r="C7" s="122" t="s">
        <v>235</v>
      </c>
      <c r="D7">
        <v>67</v>
      </c>
      <c r="F7">
        <v>77</v>
      </c>
      <c r="H7">
        <v>82</v>
      </c>
      <c r="J7">
        <v>86</v>
      </c>
    </row>
    <row r="8" spans="1:10" ht="12.75">
      <c r="A8">
        <v>1</v>
      </c>
      <c r="B8" s="2" t="s">
        <v>37</v>
      </c>
      <c r="C8" s="122" t="s">
        <v>236</v>
      </c>
      <c r="D8">
        <v>64</v>
      </c>
      <c r="F8">
        <v>72</v>
      </c>
      <c r="H8">
        <v>78</v>
      </c>
      <c r="J8">
        <v>81</v>
      </c>
    </row>
    <row r="9" spans="1:10" ht="12.75">
      <c r="A9">
        <v>1</v>
      </c>
      <c r="B9" s="2" t="s">
        <v>37</v>
      </c>
      <c r="C9" s="122" t="s">
        <v>237</v>
      </c>
      <c r="D9">
        <v>63</v>
      </c>
      <c r="F9">
        <v>74</v>
      </c>
      <c r="H9">
        <v>82</v>
      </c>
      <c r="J9">
        <v>85</v>
      </c>
    </row>
    <row r="10" spans="1:10" ht="12.75">
      <c r="A10">
        <v>1</v>
      </c>
      <c r="B10" s="2" t="s">
        <v>37</v>
      </c>
      <c r="C10" s="122" t="s">
        <v>238</v>
      </c>
      <c r="D10">
        <v>61</v>
      </c>
      <c r="F10">
        <v>73</v>
      </c>
      <c r="H10">
        <v>81</v>
      </c>
      <c r="J10">
        <v>84</v>
      </c>
    </row>
    <row r="11" spans="1:10" ht="12.75">
      <c r="A11">
        <v>1</v>
      </c>
      <c r="B11" s="2" t="s">
        <v>37</v>
      </c>
      <c r="C11" s="122" t="s">
        <v>239</v>
      </c>
      <c r="D11">
        <v>59</v>
      </c>
      <c r="F11">
        <v>70</v>
      </c>
      <c r="H11">
        <v>78</v>
      </c>
      <c r="J11">
        <v>81</v>
      </c>
    </row>
    <row r="12" spans="1:10" ht="12.75">
      <c r="A12">
        <v>1</v>
      </c>
      <c r="B12" s="2" t="s">
        <v>37</v>
      </c>
      <c r="C12" s="122" t="s">
        <v>240</v>
      </c>
      <c r="D12">
        <v>50</v>
      </c>
      <c r="F12">
        <v>60</v>
      </c>
      <c r="H12">
        <v>67</v>
      </c>
      <c r="J12">
        <v>70</v>
      </c>
    </row>
    <row r="13" spans="1:10" ht="12.75">
      <c r="A13">
        <v>1</v>
      </c>
      <c r="B13" s="2" t="s">
        <v>37</v>
      </c>
      <c r="C13" s="122" t="s">
        <v>241</v>
      </c>
      <c r="D13">
        <v>68</v>
      </c>
      <c r="F13">
        <v>79</v>
      </c>
      <c r="H13">
        <v>86</v>
      </c>
      <c r="J13">
        <v>89</v>
      </c>
    </row>
    <row r="14" spans="1:10" ht="12.75">
      <c r="A14">
        <v>1</v>
      </c>
      <c r="B14" s="2" t="s">
        <v>37</v>
      </c>
      <c r="C14" s="122" t="s">
        <v>242</v>
      </c>
      <c r="D14">
        <v>50</v>
      </c>
      <c r="F14">
        <v>69</v>
      </c>
      <c r="H14">
        <v>79</v>
      </c>
      <c r="J14">
        <v>84</v>
      </c>
    </row>
    <row r="15" spans="1:10" ht="12.75">
      <c r="A15">
        <v>1</v>
      </c>
      <c r="B15" s="2" t="s">
        <v>37</v>
      </c>
      <c r="C15" s="122" t="s">
        <v>243</v>
      </c>
      <c r="D15">
        <v>50</v>
      </c>
      <c r="F15">
        <v>61</v>
      </c>
      <c r="H15">
        <v>74</v>
      </c>
      <c r="J15">
        <v>80</v>
      </c>
    </row>
    <row r="16" spans="1:10" ht="12.75">
      <c r="A16">
        <v>1</v>
      </c>
      <c r="B16" s="2" t="s">
        <v>37</v>
      </c>
      <c r="C16" s="122" t="s">
        <v>244</v>
      </c>
      <c r="D16">
        <v>50</v>
      </c>
      <c r="F16">
        <v>66</v>
      </c>
      <c r="H16">
        <v>77</v>
      </c>
      <c r="J16">
        <v>83</v>
      </c>
    </row>
    <row r="17" spans="1:10" ht="12.75">
      <c r="A17">
        <v>1</v>
      </c>
      <c r="B17" s="2" t="s">
        <v>37</v>
      </c>
      <c r="C17" s="122" t="s">
        <v>245</v>
      </c>
      <c r="D17">
        <v>50</v>
      </c>
      <c r="F17">
        <v>60</v>
      </c>
      <c r="H17">
        <v>73</v>
      </c>
      <c r="J17">
        <v>79</v>
      </c>
    </row>
    <row r="18" spans="1:10" ht="12.75">
      <c r="A18">
        <v>1</v>
      </c>
      <c r="B18" s="2" t="s">
        <v>37</v>
      </c>
      <c r="C18" s="122" t="s">
        <v>246</v>
      </c>
      <c r="D18">
        <v>72</v>
      </c>
      <c r="F18">
        <v>82</v>
      </c>
      <c r="H18">
        <v>87</v>
      </c>
      <c r="J18">
        <v>89</v>
      </c>
    </row>
    <row r="19" spans="1:10" ht="12.75">
      <c r="A19">
        <v>2</v>
      </c>
      <c r="B19" s="2" t="s">
        <v>39</v>
      </c>
      <c r="C19" s="122" t="s">
        <v>232</v>
      </c>
      <c r="D19" s="1">
        <v>71</v>
      </c>
      <c r="F19">
        <v>81</v>
      </c>
      <c r="H19">
        <v>86</v>
      </c>
      <c r="J19">
        <v>90</v>
      </c>
    </row>
    <row r="20" spans="1:10" ht="12.75">
      <c r="A20">
        <v>2</v>
      </c>
      <c r="B20" s="2" t="s">
        <v>39</v>
      </c>
      <c r="C20" s="122" t="s">
        <v>233</v>
      </c>
      <c r="D20">
        <v>66</v>
      </c>
      <c r="F20">
        <v>76</v>
      </c>
      <c r="H20">
        <v>82</v>
      </c>
      <c r="J20">
        <v>85</v>
      </c>
    </row>
    <row r="21" spans="1:10" ht="12.75">
      <c r="A21">
        <v>2</v>
      </c>
      <c r="B21" s="2" t="s">
        <v>39</v>
      </c>
      <c r="C21" s="122" t="s">
        <v>234</v>
      </c>
      <c r="D21">
        <v>65</v>
      </c>
      <c r="F21">
        <v>74</v>
      </c>
      <c r="H21">
        <v>82</v>
      </c>
      <c r="J21">
        <v>85</v>
      </c>
    </row>
    <row r="22" spans="1:10" ht="12.75">
      <c r="A22">
        <v>2</v>
      </c>
      <c r="B22" s="2" t="s">
        <v>39</v>
      </c>
      <c r="C22" s="122" t="s">
        <v>235</v>
      </c>
      <c r="D22">
        <v>63</v>
      </c>
      <c r="F22">
        <v>73</v>
      </c>
      <c r="H22">
        <v>79</v>
      </c>
      <c r="J22">
        <v>83</v>
      </c>
    </row>
    <row r="23" spans="1:10" ht="12.75">
      <c r="A23">
        <v>2</v>
      </c>
      <c r="B23" s="2" t="s">
        <v>39</v>
      </c>
      <c r="C23" s="122" t="s">
        <v>236</v>
      </c>
      <c r="D23">
        <v>60</v>
      </c>
      <c r="F23">
        <v>68</v>
      </c>
      <c r="H23">
        <v>74</v>
      </c>
      <c r="J23">
        <v>78</v>
      </c>
    </row>
    <row r="24" spans="1:10" ht="12.75">
      <c r="A24">
        <v>2</v>
      </c>
      <c r="B24" s="2" t="s">
        <v>39</v>
      </c>
      <c r="C24" s="122" t="s">
        <v>237</v>
      </c>
      <c r="D24">
        <v>59</v>
      </c>
      <c r="F24">
        <v>70</v>
      </c>
      <c r="H24">
        <v>79</v>
      </c>
      <c r="J24">
        <v>82</v>
      </c>
    </row>
    <row r="25" spans="1:10" ht="12.75">
      <c r="A25">
        <v>2</v>
      </c>
      <c r="B25" s="2" t="s">
        <v>39</v>
      </c>
      <c r="C25" s="122" t="s">
        <v>238</v>
      </c>
      <c r="D25">
        <v>57</v>
      </c>
      <c r="F25">
        <v>69</v>
      </c>
      <c r="H25">
        <v>78</v>
      </c>
      <c r="J25">
        <v>81</v>
      </c>
    </row>
    <row r="26" spans="1:10" ht="12.75">
      <c r="A26">
        <v>2</v>
      </c>
      <c r="B26" s="2" t="s">
        <v>39</v>
      </c>
      <c r="C26" s="122" t="s">
        <v>239</v>
      </c>
      <c r="D26">
        <v>55</v>
      </c>
      <c r="F26">
        <v>66</v>
      </c>
      <c r="H26">
        <v>74</v>
      </c>
      <c r="J26">
        <v>78</v>
      </c>
    </row>
    <row r="27" spans="1:10" ht="12.75">
      <c r="A27">
        <v>2</v>
      </c>
      <c r="B27" s="2" t="s">
        <v>39</v>
      </c>
      <c r="C27" s="122" t="s">
        <v>240</v>
      </c>
      <c r="D27">
        <v>50</v>
      </c>
      <c r="F27">
        <v>56</v>
      </c>
      <c r="H27">
        <v>63</v>
      </c>
      <c r="J27">
        <v>66</v>
      </c>
    </row>
    <row r="28" spans="1:10" ht="12.75">
      <c r="A28">
        <v>2</v>
      </c>
      <c r="B28" s="2" t="s">
        <v>39</v>
      </c>
      <c r="C28" s="122" t="s">
        <v>241</v>
      </c>
      <c r="D28">
        <v>64</v>
      </c>
      <c r="F28">
        <v>76</v>
      </c>
      <c r="H28">
        <v>83</v>
      </c>
      <c r="J28">
        <v>86</v>
      </c>
    </row>
    <row r="29" spans="1:10" ht="12.75">
      <c r="A29">
        <v>2</v>
      </c>
      <c r="B29" s="2" t="s">
        <v>39</v>
      </c>
      <c r="C29" s="122" t="s">
        <v>242</v>
      </c>
      <c r="D29">
        <v>50</v>
      </c>
      <c r="F29">
        <v>65</v>
      </c>
      <c r="H29">
        <v>76</v>
      </c>
      <c r="J29">
        <v>81</v>
      </c>
    </row>
    <row r="30" spans="1:10" ht="12.75">
      <c r="A30">
        <v>2</v>
      </c>
      <c r="B30" s="2" t="s">
        <v>39</v>
      </c>
      <c r="C30" s="122" t="s">
        <v>243</v>
      </c>
      <c r="D30">
        <v>50</v>
      </c>
      <c r="F30">
        <v>57</v>
      </c>
      <c r="H30">
        <v>70</v>
      </c>
      <c r="J30">
        <v>77</v>
      </c>
    </row>
    <row r="31" spans="1:10" ht="12.75">
      <c r="A31">
        <v>2</v>
      </c>
      <c r="B31" s="2" t="s">
        <v>39</v>
      </c>
      <c r="C31" s="122" t="s">
        <v>244</v>
      </c>
      <c r="D31">
        <v>50</v>
      </c>
      <c r="F31">
        <v>62</v>
      </c>
      <c r="H31">
        <v>73</v>
      </c>
      <c r="J31">
        <v>80</v>
      </c>
    </row>
    <row r="32" spans="1:10" ht="12.75">
      <c r="A32">
        <v>2</v>
      </c>
      <c r="B32" s="2" t="s">
        <v>39</v>
      </c>
      <c r="C32" s="122" t="s">
        <v>245</v>
      </c>
      <c r="D32">
        <v>50</v>
      </c>
      <c r="F32">
        <v>56</v>
      </c>
      <c r="H32">
        <v>69</v>
      </c>
      <c r="J32">
        <v>76</v>
      </c>
    </row>
    <row r="33" spans="1:10" ht="12.75">
      <c r="A33">
        <v>2</v>
      </c>
      <c r="B33" s="2" t="s">
        <v>39</v>
      </c>
      <c r="C33" s="122" t="s">
        <v>246</v>
      </c>
      <c r="D33">
        <v>68</v>
      </c>
      <c r="F33">
        <v>79</v>
      </c>
      <c r="H33">
        <v>84</v>
      </c>
      <c r="J33">
        <v>86</v>
      </c>
    </row>
    <row r="34" spans="1:10" ht="12.75">
      <c r="A34">
        <v>3</v>
      </c>
      <c r="B34" s="2" t="s">
        <v>40</v>
      </c>
      <c r="C34" s="122" t="s">
        <v>232</v>
      </c>
      <c r="D34">
        <v>68</v>
      </c>
      <c r="F34">
        <v>78</v>
      </c>
      <c r="H34">
        <v>84</v>
      </c>
      <c r="J34">
        <v>88</v>
      </c>
    </row>
    <row r="35" spans="1:10" ht="12.75">
      <c r="A35">
        <v>3</v>
      </c>
      <c r="B35" s="2" t="s">
        <v>40</v>
      </c>
      <c r="C35" s="122" t="s">
        <v>233</v>
      </c>
      <c r="D35">
        <v>62</v>
      </c>
      <c r="F35">
        <v>72</v>
      </c>
      <c r="H35">
        <v>79</v>
      </c>
      <c r="J35">
        <v>83</v>
      </c>
    </row>
    <row r="36" spans="1:10" ht="12.75">
      <c r="A36">
        <v>3</v>
      </c>
      <c r="B36" s="2" t="s">
        <v>40</v>
      </c>
      <c r="C36" s="122" t="s">
        <v>234</v>
      </c>
      <c r="D36">
        <v>61</v>
      </c>
      <c r="F36">
        <v>71</v>
      </c>
      <c r="H36">
        <v>79</v>
      </c>
      <c r="J36">
        <v>83</v>
      </c>
    </row>
    <row r="37" spans="1:10" ht="12.75">
      <c r="A37">
        <v>3</v>
      </c>
      <c r="B37" s="2" t="s">
        <v>40</v>
      </c>
      <c r="C37" s="122" t="s">
        <v>235</v>
      </c>
      <c r="D37">
        <v>59</v>
      </c>
      <c r="F37">
        <v>70</v>
      </c>
      <c r="H37">
        <v>76</v>
      </c>
      <c r="J37">
        <v>80</v>
      </c>
    </row>
    <row r="38" spans="1:10" ht="12.75">
      <c r="A38">
        <v>3</v>
      </c>
      <c r="B38" s="2" t="s">
        <v>40</v>
      </c>
      <c r="C38" s="122" t="s">
        <v>236</v>
      </c>
      <c r="D38">
        <v>56</v>
      </c>
      <c r="F38">
        <v>64</v>
      </c>
      <c r="H38">
        <v>71</v>
      </c>
      <c r="J38">
        <v>74</v>
      </c>
    </row>
    <row r="39" spans="1:10" ht="12.75">
      <c r="A39">
        <v>3</v>
      </c>
      <c r="B39" s="2" t="s">
        <v>40</v>
      </c>
      <c r="C39" s="122" t="s">
        <v>237</v>
      </c>
      <c r="D39">
        <v>55</v>
      </c>
      <c r="F39">
        <v>66</v>
      </c>
      <c r="H39">
        <v>76</v>
      </c>
      <c r="J39">
        <v>80</v>
      </c>
    </row>
    <row r="40" spans="1:10" ht="12.75">
      <c r="A40">
        <v>3</v>
      </c>
      <c r="B40" s="2" t="s">
        <v>40</v>
      </c>
      <c r="C40" s="122" t="s">
        <v>238</v>
      </c>
      <c r="D40">
        <v>53</v>
      </c>
      <c r="F40">
        <v>65</v>
      </c>
      <c r="H40">
        <v>74</v>
      </c>
      <c r="J40">
        <v>78</v>
      </c>
    </row>
    <row r="41" spans="1:10" ht="12.75">
      <c r="A41">
        <v>3</v>
      </c>
      <c r="B41" s="2" t="s">
        <v>40</v>
      </c>
      <c r="C41" s="122" t="s">
        <v>239</v>
      </c>
      <c r="D41">
        <v>51</v>
      </c>
      <c r="F41">
        <v>62</v>
      </c>
      <c r="H41">
        <v>71</v>
      </c>
      <c r="J41">
        <v>74</v>
      </c>
    </row>
    <row r="42" spans="1:10" ht="12.75">
      <c r="A42">
        <v>3</v>
      </c>
      <c r="B42" s="2" t="s">
        <v>40</v>
      </c>
      <c r="C42" s="122" t="s">
        <v>240</v>
      </c>
      <c r="D42">
        <v>50</v>
      </c>
      <c r="F42">
        <v>52</v>
      </c>
      <c r="H42">
        <v>59</v>
      </c>
      <c r="J42">
        <v>62</v>
      </c>
    </row>
    <row r="43" spans="1:10" ht="12.75">
      <c r="A43">
        <v>3</v>
      </c>
      <c r="B43" s="2" t="s">
        <v>40</v>
      </c>
      <c r="C43" s="122" t="s">
        <v>241</v>
      </c>
      <c r="D43">
        <v>60</v>
      </c>
      <c r="F43">
        <v>72</v>
      </c>
      <c r="H43">
        <v>80</v>
      </c>
      <c r="J43">
        <v>84</v>
      </c>
    </row>
    <row r="44" spans="1:10" ht="12.75">
      <c r="A44">
        <v>3</v>
      </c>
      <c r="B44" s="2" t="s">
        <v>40</v>
      </c>
      <c r="C44" s="122" t="s">
        <v>242</v>
      </c>
      <c r="D44">
        <v>50</v>
      </c>
      <c r="F44">
        <v>61</v>
      </c>
      <c r="H44">
        <v>72</v>
      </c>
      <c r="J44">
        <v>78</v>
      </c>
    </row>
    <row r="45" spans="1:10" ht="12.75">
      <c r="A45">
        <v>3</v>
      </c>
      <c r="B45" s="2" t="s">
        <v>40</v>
      </c>
      <c r="C45" s="122" t="s">
        <v>243</v>
      </c>
      <c r="D45">
        <v>50</v>
      </c>
      <c r="F45">
        <v>53</v>
      </c>
      <c r="H45">
        <v>66</v>
      </c>
      <c r="J45">
        <v>73</v>
      </c>
    </row>
    <row r="46" spans="1:10" ht="12.75">
      <c r="A46">
        <v>3</v>
      </c>
      <c r="B46" s="2" t="s">
        <v>40</v>
      </c>
      <c r="C46" s="122" t="s">
        <v>244</v>
      </c>
      <c r="D46">
        <v>50</v>
      </c>
      <c r="F46">
        <v>58</v>
      </c>
      <c r="H46">
        <v>70</v>
      </c>
      <c r="J46">
        <v>77</v>
      </c>
    </row>
    <row r="47" spans="1:10" ht="12.75">
      <c r="A47">
        <v>3</v>
      </c>
      <c r="B47" s="2" t="s">
        <v>40</v>
      </c>
      <c r="C47" s="122" t="s">
        <v>245</v>
      </c>
      <c r="D47">
        <v>50</v>
      </c>
      <c r="F47">
        <v>52</v>
      </c>
      <c r="H47">
        <v>65</v>
      </c>
      <c r="J47">
        <v>72</v>
      </c>
    </row>
    <row r="48" spans="1:10" ht="12.75">
      <c r="A48">
        <v>3</v>
      </c>
      <c r="B48" s="2" t="s">
        <v>40</v>
      </c>
      <c r="C48" s="122" t="s">
        <v>246</v>
      </c>
      <c r="D48">
        <v>64</v>
      </c>
      <c r="F48">
        <v>76</v>
      </c>
      <c r="H48">
        <v>81</v>
      </c>
      <c r="J48">
        <v>84</v>
      </c>
    </row>
    <row r="49" spans="1:10" ht="12.75">
      <c r="A49">
        <v>4</v>
      </c>
      <c r="B49" s="2" t="s">
        <v>41</v>
      </c>
      <c r="C49" s="122" t="s">
        <v>232</v>
      </c>
      <c r="D49">
        <v>64</v>
      </c>
      <c r="F49">
        <v>74</v>
      </c>
      <c r="H49">
        <v>81</v>
      </c>
      <c r="J49">
        <v>85</v>
      </c>
    </row>
    <row r="50" spans="1:10" ht="12.75">
      <c r="A50">
        <v>4</v>
      </c>
      <c r="B50" s="2" t="s">
        <v>41</v>
      </c>
      <c r="C50" s="122" t="s">
        <v>233</v>
      </c>
      <c r="D50">
        <v>59</v>
      </c>
      <c r="F50">
        <v>69</v>
      </c>
      <c r="H50">
        <v>76</v>
      </c>
      <c r="J50">
        <v>80</v>
      </c>
    </row>
    <row r="51" spans="1:10" ht="12.75">
      <c r="A51">
        <v>4</v>
      </c>
      <c r="B51" s="2" t="s">
        <v>41</v>
      </c>
      <c r="C51" s="122" t="s">
        <v>234</v>
      </c>
      <c r="D51">
        <v>58</v>
      </c>
      <c r="F51">
        <v>67</v>
      </c>
      <c r="H51">
        <v>76</v>
      </c>
      <c r="J51">
        <v>80</v>
      </c>
    </row>
    <row r="52" spans="1:10" ht="12.75">
      <c r="A52">
        <v>4</v>
      </c>
      <c r="B52" s="2" t="s">
        <v>41</v>
      </c>
      <c r="C52" s="122" t="s">
        <v>235</v>
      </c>
      <c r="D52">
        <v>55</v>
      </c>
      <c r="F52">
        <v>66</v>
      </c>
      <c r="H52">
        <v>72</v>
      </c>
      <c r="J52">
        <v>78</v>
      </c>
    </row>
    <row r="53" spans="1:10" ht="12.75">
      <c r="A53">
        <v>4</v>
      </c>
      <c r="B53" s="2" t="s">
        <v>41</v>
      </c>
      <c r="C53" s="122" t="s">
        <v>236</v>
      </c>
      <c r="D53">
        <v>52</v>
      </c>
      <c r="F53">
        <v>61</v>
      </c>
      <c r="H53">
        <v>67</v>
      </c>
      <c r="J53">
        <v>71</v>
      </c>
    </row>
    <row r="54" spans="1:10" ht="12.75">
      <c r="A54">
        <v>4</v>
      </c>
      <c r="B54" s="2" t="s">
        <v>41</v>
      </c>
      <c r="C54" s="122" t="s">
        <v>237</v>
      </c>
      <c r="D54">
        <v>51</v>
      </c>
      <c r="F54">
        <v>63</v>
      </c>
      <c r="H54">
        <v>72</v>
      </c>
      <c r="J54">
        <v>76</v>
      </c>
    </row>
    <row r="55" spans="1:10" ht="12.75">
      <c r="A55">
        <v>4</v>
      </c>
      <c r="B55" s="2" t="s">
        <v>41</v>
      </c>
      <c r="C55" s="122" t="s">
        <v>238</v>
      </c>
      <c r="D55">
        <v>50</v>
      </c>
      <c r="F55">
        <v>62</v>
      </c>
      <c r="H55">
        <v>71</v>
      </c>
      <c r="J55">
        <v>74</v>
      </c>
    </row>
    <row r="56" spans="1:10" ht="12.75">
      <c r="A56">
        <v>4</v>
      </c>
      <c r="B56" s="2" t="s">
        <v>41</v>
      </c>
      <c r="C56" s="122" t="s">
        <v>239</v>
      </c>
      <c r="D56">
        <v>50</v>
      </c>
      <c r="F56">
        <v>59</v>
      </c>
      <c r="H56">
        <v>67</v>
      </c>
      <c r="J56">
        <v>71</v>
      </c>
    </row>
    <row r="57" spans="1:10" ht="12.75">
      <c r="A57">
        <v>4</v>
      </c>
      <c r="B57" s="2" t="s">
        <v>41</v>
      </c>
      <c r="C57" s="122" t="s">
        <v>240</v>
      </c>
      <c r="D57">
        <v>50</v>
      </c>
      <c r="F57">
        <v>50</v>
      </c>
      <c r="H57">
        <v>55</v>
      </c>
      <c r="J57">
        <v>59</v>
      </c>
    </row>
    <row r="58" spans="1:10" ht="12.75">
      <c r="A58">
        <v>4</v>
      </c>
      <c r="B58" s="2" t="s">
        <v>41</v>
      </c>
      <c r="C58" s="122" t="s">
        <v>241</v>
      </c>
      <c r="D58">
        <v>56</v>
      </c>
      <c r="F58">
        <v>69</v>
      </c>
      <c r="H58">
        <v>78</v>
      </c>
      <c r="J58">
        <v>81</v>
      </c>
    </row>
    <row r="59" spans="1:10" ht="12.75">
      <c r="A59">
        <v>4</v>
      </c>
      <c r="B59" s="2" t="s">
        <v>41</v>
      </c>
      <c r="C59" s="122" t="s">
        <v>242</v>
      </c>
      <c r="D59">
        <v>50</v>
      </c>
      <c r="F59">
        <v>58</v>
      </c>
      <c r="H59">
        <v>69</v>
      </c>
      <c r="J59">
        <v>74</v>
      </c>
    </row>
    <row r="60" spans="1:10" ht="12.75">
      <c r="A60">
        <v>4</v>
      </c>
      <c r="B60" s="2" t="s">
        <v>41</v>
      </c>
      <c r="C60" s="122" t="s">
        <v>243</v>
      </c>
      <c r="D60">
        <v>50</v>
      </c>
      <c r="F60">
        <v>50</v>
      </c>
      <c r="H60">
        <v>63</v>
      </c>
      <c r="J60">
        <v>70</v>
      </c>
    </row>
    <row r="61" spans="1:10" ht="12.75">
      <c r="A61">
        <v>4</v>
      </c>
      <c r="B61" s="2" t="s">
        <v>41</v>
      </c>
      <c r="C61" s="122" t="s">
        <v>244</v>
      </c>
      <c r="D61">
        <v>50</v>
      </c>
      <c r="F61">
        <v>54</v>
      </c>
      <c r="H61">
        <v>66</v>
      </c>
      <c r="J61">
        <v>73</v>
      </c>
    </row>
    <row r="62" spans="1:10" ht="12.75">
      <c r="A62">
        <v>4</v>
      </c>
      <c r="B62" s="2" t="s">
        <v>41</v>
      </c>
      <c r="C62" s="122" t="s">
        <v>245</v>
      </c>
      <c r="D62">
        <v>50</v>
      </c>
      <c r="F62">
        <v>50</v>
      </c>
      <c r="H62">
        <v>62</v>
      </c>
      <c r="J62">
        <v>69</v>
      </c>
    </row>
    <row r="63" spans="1:10" ht="12.75">
      <c r="A63">
        <v>4</v>
      </c>
      <c r="B63" s="2" t="s">
        <v>41</v>
      </c>
      <c r="C63" s="122" t="s">
        <v>246</v>
      </c>
      <c r="D63">
        <v>61</v>
      </c>
      <c r="F63">
        <v>72</v>
      </c>
      <c r="H63">
        <v>79</v>
      </c>
      <c r="J63">
        <v>81</v>
      </c>
    </row>
    <row r="64" spans="1:10" ht="12.75">
      <c r="A64">
        <v>5</v>
      </c>
      <c r="B64" s="2" t="s">
        <v>42</v>
      </c>
      <c r="C64" s="122" t="s">
        <v>232</v>
      </c>
      <c r="D64">
        <v>61</v>
      </c>
      <c r="F64">
        <v>71</v>
      </c>
      <c r="H64">
        <v>79</v>
      </c>
      <c r="J64">
        <v>83</v>
      </c>
    </row>
    <row r="65" spans="1:10" ht="12.75">
      <c r="A65">
        <v>5</v>
      </c>
      <c r="B65" s="2" t="s">
        <v>42</v>
      </c>
      <c r="C65" s="122" t="s">
        <v>233</v>
      </c>
      <c r="D65">
        <v>55</v>
      </c>
      <c r="F65">
        <v>65</v>
      </c>
      <c r="H65">
        <v>73</v>
      </c>
      <c r="J65">
        <v>78</v>
      </c>
    </row>
    <row r="66" spans="1:10" ht="12.75">
      <c r="A66">
        <v>5</v>
      </c>
      <c r="B66" s="2" t="s">
        <v>42</v>
      </c>
      <c r="C66" s="122" t="s">
        <v>234</v>
      </c>
      <c r="D66">
        <v>54</v>
      </c>
      <c r="F66">
        <v>64</v>
      </c>
      <c r="H66">
        <v>73</v>
      </c>
      <c r="J66">
        <v>78</v>
      </c>
    </row>
    <row r="67" spans="1:10" ht="12.75">
      <c r="A67">
        <v>5</v>
      </c>
      <c r="B67" s="2" t="s">
        <v>42</v>
      </c>
      <c r="C67" s="122" t="s">
        <v>235</v>
      </c>
      <c r="D67">
        <v>51</v>
      </c>
      <c r="F67">
        <v>63</v>
      </c>
      <c r="H67">
        <v>69</v>
      </c>
      <c r="J67">
        <v>75</v>
      </c>
    </row>
    <row r="68" spans="1:10" ht="12.75">
      <c r="A68">
        <v>5</v>
      </c>
      <c r="B68" s="2" t="s">
        <v>42</v>
      </c>
      <c r="C68" s="122" t="s">
        <v>236</v>
      </c>
      <c r="D68">
        <v>50</v>
      </c>
      <c r="F68">
        <v>57</v>
      </c>
      <c r="H68">
        <v>64</v>
      </c>
      <c r="J68">
        <v>67</v>
      </c>
    </row>
    <row r="69" spans="1:10" ht="12.75">
      <c r="A69">
        <v>5</v>
      </c>
      <c r="B69" s="2" t="s">
        <v>42</v>
      </c>
      <c r="C69" s="122" t="s">
        <v>237</v>
      </c>
      <c r="D69">
        <v>50</v>
      </c>
      <c r="F69">
        <v>59</v>
      </c>
      <c r="H69">
        <v>69</v>
      </c>
      <c r="J69">
        <v>73</v>
      </c>
    </row>
    <row r="70" spans="1:10" ht="12.75">
      <c r="A70">
        <v>5</v>
      </c>
      <c r="B70" s="2" t="s">
        <v>42</v>
      </c>
      <c r="C70" s="122" t="s">
        <v>238</v>
      </c>
      <c r="D70">
        <v>50</v>
      </c>
      <c r="F70">
        <v>58</v>
      </c>
      <c r="H70">
        <v>67</v>
      </c>
      <c r="J70">
        <v>71</v>
      </c>
    </row>
    <row r="71" spans="1:10" ht="12.75">
      <c r="A71">
        <v>5</v>
      </c>
      <c r="B71" s="2" t="s">
        <v>42</v>
      </c>
      <c r="C71" s="122" t="s">
        <v>239</v>
      </c>
      <c r="D71">
        <v>50</v>
      </c>
      <c r="F71">
        <v>55</v>
      </c>
      <c r="H71">
        <v>64</v>
      </c>
      <c r="J71">
        <v>67</v>
      </c>
    </row>
    <row r="72" spans="1:10" ht="12.75">
      <c r="A72">
        <v>5</v>
      </c>
      <c r="B72" s="2" t="s">
        <v>42</v>
      </c>
      <c r="C72" s="122" t="s">
        <v>240</v>
      </c>
      <c r="D72">
        <v>50</v>
      </c>
      <c r="F72">
        <v>50</v>
      </c>
      <c r="H72">
        <v>51</v>
      </c>
      <c r="J72">
        <v>55</v>
      </c>
    </row>
    <row r="73" spans="1:10" ht="12.75">
      <c r="A73">
        <v>5</v>
      </c>
      <c r="B73" s="2" t="s">
        <v>42</v>
      </c>
      <c r="C73" s="122" t="s">
        <v>241</v>
      </c>
      <c r="D73">
        <v>52</v>
      </c>
      <c r="F73">
        <v>65</v>
      </c>
      <c r="H73">
        <v>75</v>
      </c>
      <c r="J73">
        <v>79</v>
      </c>
    </row>
    <row r="74" spans="1:10" ht="12.75">
      <c r="A74">
        <v>5</v>
      </c>
      <c r="B74" s="2" t="s">
        <v>42</v>
      </c>
      <c r="C74" s="122" t="s">
        <v>242</v>
      </c>
      <c r="D74">
        <v>50</v>
      </c>
      <c r="F74">
        <v>54</v>
      </c>
      <c r="H74">
        <v>65</v>
      </c>
      <c r="J74">
        <v>71</v>
      </c>
    </row>
    <row r="75" spans="1:10" ht="12.75">
      <c r="A75">
        <v>5</v>
      </c>
      <c r="B75" s="2" t="s">
        <v>42</v>
      </c>
      <c r="C75" s="122" t="s">
        <v>243</v>
      </c>
      <c r="D75">
        <v>50</v>
      </c>
      <c r="F75">
        <v>50</v>
      </c>
      <c r="H75">
        <v>59</v>
      </c>
      <c r="J75">
        <v>66</v>
      </c>
    </row>
    <row r="76" spans="1:10" ht="12.75">
      <c r="A76">
        <v>5</v>
      </c>
      <c r="B76" s="2" t="s">
        <v>42</v>
      </c>
      <c r="C76" s="122" t="s">
        <v>244</v>
      </c>
      <c r="D76">
        <v>50</v>
      </c>
      <c r="F76">
        <v>50</v>
      </c>
      <c r="H76">
        <v>63</v>
      </c>
      <c r="J76">
        <v>70</v>
      </c>
    </row>
    <row r="77" spans="1:10" ht="12.75">
      <c r="A77">
        <v>5</v>
      </c>
      <c r="B77" s="2" t="s">
        <v>42</v>
      </c>
      <c r="C77" s="122" t="s">
        <v>245</v>
      </c>
      <c r="D77">
        <v>50</v>
      </c>
      <c r="F77">
        <v>50</v>
      </c>
      <c r="H77">
        <v>58</v>
      </c>
      <c r="J77">
        <v>65</v>
      </c>
    </row>
    <row r="78" spans="1:10" ht="12.75">
      <c r="A78">
        <v>5</v>
      </c>
      <c r="B78" s="2" t="s">
        <v>42</v>
      </c>
      <c r="C78" s="122" t="s">
        <v>246</v>
      </c>
      <c r="D78">
        <v>57</v>
      </c>
      <c r="F78">
        <v>69</v>
      </c>
      <c r="H78">
        <v>76</v>
      </c>
      <c r="J78">
        <v>79</v>
      </c>
    </row>
    <row r="83" spans="2:3" ht="12.75">
      <c r="B83" s="66" t="s">
        <v>247</v>
      </c>
      <c r="C83" s="66"/>
    </row>
    <row r="84" spans="2:3" ht="12.75">
      <c r="B84" s="66" t="s">
        <v>248</v>
      </c>
      <c r="C84" s="66"/>
    </row>
    <row r="85" spans="2:3" ht="12.75">
      <c r="B85" s="66" t="s">
        <v>249</v>
      </c>
      <c r="C85" s="66"/>
    </row>
    <row r="86" spans="2:3" ht="12.75">
      <c r="B86" s="366" t="s">
        <v>250</v>
      </c>
      <c r="C86" s="366"/>
    </row>
    <row r="87" spans="2:3" ht="12.75">
      <c r="B87" s="66" t="s">
        <v>251</v>
      </c>
      <c r="C87" s="66"/>
    </row>
    <row r="88" spans="2:3" ht="12.75">
      <c r="B88" s="366" t="s">
        <v>252</v>
      </c>
      <c r="C88" s="366"/>
    </row>
    <row r="89" spans="2:3" ht="12.75">
      <c r="B89" s="66" t="s">
        <v>253</v>
      </c>
      <c r="C89" s="66"/>
    </row>
    <row r="90" spans="2:3" ht="12.75">
      <c r="B90" s="66" t="s">
        <v>254</v>
      </c>
      <c r="C90" s="66"/>
    </row>
  </sheetData>
  <sheetProtection password="B271" sheet="1" objects="1" scenarios="1"/>
  <printOptions/>
  <pageMargins left="0.25" right="0.2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doreen.mcdowell</cp:lastModifiedBy>
  <cp:lastPrinted>2005-08-24T21:45:11Z</cp:lastPrinted>
  <dcterms:created xsi:type="dcterms:W3CDTF">1999-08-09T19:36:58Z</dcterms:created>
  <dcterms:modified xsi:type="dcterms:W3CDTF">2005-09-01T17:30:56Z</dcterms:modified>
  <cp:category/>
  <cp:version/>
  <cp:contentType/>
  <cp:contentStatus/>
</cp:coreProperties>
</file>