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81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" sheetId="11" r:id="rId11"/>
    <sheet name="df c2" sheetId="12" r:id="rId12"/>
    <sheet name="df c4" sheetId="13" r:id="rId13"/>
    <sheet name="df c5" sheetId="14" r:id="rId14"/>
    <sheet name="old df C1" sheetId="15" r:id="rId15"/>
    <sheet name="old df C2" sheetId="16" r:id="rId16"/>
    <sheet name="old df C3" sheetId="17" r:id="rId17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<sst xmlns="http://schemas.openxmlformats.org/spreadsheetml/2006/main" count="3093" uniqueCount="359">
  <si>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</si>
  <si>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</si>
  <si>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</si>
  <si>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</si>
  <si>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</si>
  <si>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</si>
  <si>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</si>
  <si>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</si>
  <si>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</si>
  <si>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</si>
  <si>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</si>
  <si>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</si>
  <si>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</si>
  <si>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</si>
  <si>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</si>
  <si>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</si>
  <si>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</si>
  <si>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</si>
  <si>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</si>
  <si>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</si>
  <si>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</si>
  <si>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</si>
  <si>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</si>
  <si>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</si>
  <si>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</si>
  <si>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</si>
  <si>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</si>
  <si>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</si>
  <si>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</si>
  <si>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</si>
  <si>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</si>
  <si>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</si>
  <si>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</si>
  <si>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</si>
  <si>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</si>
  <si>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</si>
  <si>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</si>
  <si>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</si>
  <si>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</si>
  <si>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</si>
  <si>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</si>
  <si>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</si>
  <si>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</si>
  <si>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</si>
  <si>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</si>
  <si>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</si>
  <si>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</si>
  <si>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</si>
  <si>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</si>
  <si>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</si>
  <si>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</si>
  <si>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</si>
  <si>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</si>
  <si>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</si>
  <si>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</si>
  <si>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Density</t>
  </si>
  <si>
    <t>Run 1</t>
  </si>
  <si>
    <t>Run 2</t>
  </si>
  <si>
    <t>Run 3</t>
  </si>
  <si>
    <r>
      <t>o</t>
    </r>
    <r>
      <rPr>
        <sz val="10"/>
        <rFont val="Arial"/>
        <family val="2"/>
      </rPr>
      <t>F</t>
    </r>
  </si>
  <si>
    <t>MM Btu/hr</t>
  </si>
  <si>
    <t>MMBtu/hr</t>
  </si>
  <si>
    <t>Spike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</si>
  <si>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</si>
  <si>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</si>
  <si>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</si>
  <si>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</si>
  <si>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</si>
  <si>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</si>
  <si>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</si>
  <si>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</si>
  <si>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</si>
  <si>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Stack Gas Emissions</t>
  </si>
  <si>
    <t>HW</t>
  </si>
  <si>
    <t>CO</t>
  </si>
  <si>
    <t>HC</t>
  </si>
  <si>
    <t>ng/dscm</t>
  </si>
  <si>
    <t>Combustor Characteristics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</si>
  <si>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</si>
  <si>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</si>
  <si>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</si>
  <si>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</si>
  <si>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</si>
  <si>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</si>
  <si>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</si>
  <si>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</si>
  <si>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</si>
  <si>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</si>
  <si>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Phase II ID No.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</si>
  <si>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</si>
  <si>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</si>
  <si>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</si>
  <si>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</si>
  <si>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</si>
  <si>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</si>
  <si>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</si>
  <si>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</si>
  <si>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</si>
  <si>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</si>
  <si>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</si>
  <si>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</si>
  <si>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</si>
  <si>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</si>
  <si>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</si>
  <si>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</si>
  <si>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Trial Burn</t>
  </si>
  <si>
    <t>POHC Feedrate</t>
  </si>
  <si>
    <t>Emission Rate</t>
  </si>
  <si>
    <t xml:space="preserve">   O2</t>
  </si>
  <si>
    <t xml:space="preserve">   Moisture</t>
  </si>
  <si>
    <t>Copper</t>
  </si>
  <si>
    <t>CO (RA)</t>
  </si>
  <si>
    <t>Chromium</t>
  </si>
  <si>
    <t>Total Chlorine</t>
  </si>
  <si>
    <t>Sampling Train</t>
  </si>
  <si>
    <t>Zinc</t>
  </si>
  <si>
    <t>Trial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</si>
  <si>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</si>
  <si>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</si>
  <si>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</si>
  <si>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</si>
  <si>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</si>
  <si>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</si>
  <si>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</si>
  <si>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</si>
  <si>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</si>
  <si>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</si>
  <si>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</si>
  <si>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</si>
  <si>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</si>
  <si>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Detected in sample volume (ng)</t>
  </si>
  <si>
    <t>kg/L</t>
  </si>
  <si>
    <t>Safety Kleen</t>
  </si>
  <si>
    <t>UT</t>
  </si>
  <si>
    <t>CI/SD/FF/WS/WS/WESP</t>
  </si>
  <si>
    <t>Fuel oil</t>
  </si>
  <si>
    <t>Kiln Exit Temp</t>
  </si>
  <si>
    <t>Afterburner Exit Temp</t>
  </si>
  <si>
    <t>Activated Carbon Inj Rate</t>
  </si>
  <si>
    <t>Baghouse Pressure Drop</t>
  </si>
  <si>
    <t>Baghouse Temperature</t>
  </si>
  <si>
    <t>First Stage Scrubber pH</t>
  </si>
  <si>
    <t>First Stage Scrubber Flowrate</t>
  </si>
  <si>
    <t>Second Stage Scrubber pH</t>
  </si>
  <si>
    <t>Second Stage Scrubber Flowrate</t>
  </si>
  <si>
    <t>Second Stage Liquid Turbidity</t>
  </si>
  <si>
    <t>UTD982595795</t>
  </si>
  <si>
    <t>SO2</t>
  </si>
  <si>
    <t>NOx</t>
  </si>
  <si>
    <t>Aluminum</t>
  </si>
  <si>
    <t>Calcium</t>
  </si>
  <si>
    <t>Cobalt</t>
  </si>
  <si>
    <t>Iron</t>
  </si>
  <si>
    <t>Potassium</t>
  </si>
  <si>
    <t>Lithium</t>
  </si>
  <si>
    <t>Magnesium</t>
  </si>
  <si>
    <t>Manganese</t>
  </si>
  <si>
    <t>Molybdenum</t>
  </si>
  <si>
    <t>Sodium</t>
  </si>
  <si>
    <t>Strontium</t>
  </si>
  <si>
    <t>Vanadium</t>
  </si>
  <si>
    <t>nd</t>
  </si>
  <si>
    <t>Cr+6</t>
  </si>
  <si>
    <t>PCB</t>
  </si>
  <si>
    <t>Trial Burn Test Report, June 2001</t>
  </si>
  <si>
    <t>METCO Environmental</t>
  </si>
  <si>
    <t>June 13-16, 2001</t>
  </si>
  <si>
    <t>Trial burn, to set oper limits on all constituents</t>
  </si>
  <si>
    <t>PM, HCl/Cl2, metals, DRE, POHC, PCDD/F</t>
  </si>
  <si>
    <t>Trial burn, to set oper limits on all constituents. June 13-16, 2001</t>
  </si>
  <si>
    <t>mg/kg</t>
  </si>
  <si>
    <t>Viscosity</t>
  </si>
  <si>
    <t>Cps</t>
  </si>
  <si>
    <t>w.c</t>
  </si>
  <si>
    <t>pH</t>
  </si>
  <si>
    <t>gpm</t>
  </si>
  <si>
    <t>NTU</t>
  </si>
  <si>
    <t>WESP Power unit 1</t>
  </si>
  <si>
    <t>KVA</t>
  </si>
  <si>
    <t>WESP Power unit 2</t>
  </si>
  <si>
    <t>Kiln Rotation</t>
  </si>
  <si>
    <t>rpm</t>
  </si>
  <si>
    <t>Metals</t>
  </si>
  <si>
    <t>PCDD/F</t>
  </si>
  <si>
    <t>Sludge A103</t>
  </si>
  <si>
    <t>FW Blend Liq A104</t>
  </si>
  <si>
    <t>AB Aqueous A105</t>
  </si>
  <si>
    <t>Kiln Aqueous A102</t>
  </si>
  <si>
    <t>Blend Liq A106A</t>
  </si>
  <si>
    <t>Blend Liq A106B</t>
  </si>
  <si>
    <t>Direct Burn A101</t>
  </si>
  <si>
    <t>Fuel Oil</t>
  </si>
  <si>
    <t>Solids</t>
  </si>
  <si>
    <t>Hexachloroethane</t>
  </si>
  <si>
    <t>Rotary kiln</t>
  </si>
  <si>
    <t>327C10</t>
  </si>
  <si>
    <t>327C1</t>
  </si>
  <si>
    <t>Report Name/Date</t>
  </si>
  <si>
    <t>Trial Burn Report for the Aptus Rotary Kiln Incinerator in Aragonite, Utah, Alliance Project No. 5-008-999, August 1992</t>
  </si>
  <si>
    <t>Report Prepare</t>
  </si>
  <si>
    <t>Alliance Technologies</t>
  </si>
  <si>
    <t>Testing Firm</t>
  </si>
  <si>
    <t>Cond Descr</t>
  </si>
  <si>
    <t>Trial burn, MAX LIQUID AND DIRECT BURN FEED RATES</t>
  </si>
  <si>
    <t>May 5-10, 1992</t>
  </si>
  <si>
    <t>327C2</t>
  </si>
  <si>
    <t>Trial burn, MAX SLUDGE FEED RATE</t>
  </si>
  <si>
    <t>March 19-21, 1992</t>
  </si>
  <si>
    <t>327C3</t>
  </si>
  <si>
    <t>Trial burn, MAX KILN HEAT INPUT</t>
  </si>
  <si>
    <t>March 25-27, 1992</t>
  </si>
  <si>
    <t>327C4</t>
  </si>
  <si>
    <t>Evaluation of Polychlorinated Dibenzo-p-dioxins and Polychlorinated dibenzo-furan Formation in the Hazardous Waste Incinerator Operated by Aptus, Inc. at Aragonite, Utah, NAWC Report EM 94-31, October 1994</t>
  </si>
  <si>
    <t>North American Weather Consultants</t>
  </si>
  <si>
    <t>TRC Environmental</t>
  </si>
  <si>
    <t>Evaluation testing, HIGH, LOW APCD TEMP/NO SULFUR ADDITIVE</t>
  </si>
  <si>
    <t>327C5</t>
  </si>
  <si>
    <t>Research test, HIGH, LOW APCD TEMP/SULFUR ADDITIVE</t>
  </si>
  <si>
    <t>R1</t>
  </si>
  <si>
    <t>R2</t>
  </si>
  <si>
    <t>R3</t>
  </si>
  <si>
    <t>Cond Avg</t>
  </si>
  <si>
    <t/>
  </si>
  <si>
    <t>Chromium (Hex)</t>
  </si>
  <si>
    <t>Monochlorobenzene</t>
  </si>
  <si>
    <t>PCBs</t>
  </si>
  <si>
    <t>Cr Hex</t>
  </si>
  <si>
    <t>Halogens</t>
  </si>
  <si>
    <t>SVOC</t>
  </si>
  <si>
    <t>Apron Solid</t>
  </si>
  <si>
    <t>Aqueous</t>
  </si>
  <si>
    <t>Blended liquid</t>
  </si>
  <si>
    <t>Direct burn liquid</t>
  </si>
  <si>
    <t>Pumpable sludge</t>
  </si>
  <si>
    <t>Cond</t>
  </si>
  <si>
    <t>Feedrate</t>
  </si>
  <si>
    <t>Heating value</t>
  </si>
  <si>
    <t>ppm</t>
  </si>
  <si>
    <t>wt %</t>
  </si>
  <si>
    <t>ppmw</t>
  </si>
  <si>
    <t>wt%</t>
  </si>
  <si>
    <t>Wt Fact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</si>
  <si>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</si>
  <si>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</si>
  <si>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</si>
  <si>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</si>
  <si>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</si>
  <si>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</si>
  <si>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</si>
  <si>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</si>
  <si>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</si>
  <si>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</si>
  <si>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</si>
  <si>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</si>
  <si>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</si>
  <si>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</si>
  <si>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</si>
  <si>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</si>
  <si>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</si>
  <si>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</si>
  <si>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</si>
  <si>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</si>
  <si>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</si>
  <si>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</si>
  <si>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</si>
  <si>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</si>
  <si>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</si>
  <si>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</si>
  <si>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</si>
  <si>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</si>
  <si>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</si>
  <si>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</si>
  <si>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</si>
  <si>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</si>
  <si>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</si>
  <si>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</si>
  <si>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</si>
  <si>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Testing Dates</t>
  </si>
  <si>
    <t>Condition Descr</t>
  </si>
  <si>
    <t>Content</t>
  </si>
  <si>
    <t>Condition Description</t>
  </si>
  <si>
    <t>Combustor Class</t>
  </si>
  <si>
    <t>Combustor Type</t>
  </si>
  <si>
    <t>Rotary kiln, afterburner. Six different waste feed streams can be fed in, most of the waste streams are fed to the kiln; only aqueous and liquid blend are fed to the afterburner.  Kiln has 14' diameter, 40' long</t>
  </si>
  <si>
    <t>Stack Gas Emissions 1</t>
  </si>
  <si>
    <t>Feedstream 1</t>
  </si>
  <si>
    <t>Feedstream 2</t>
  </si>
  <si>
    <t>32710</t>
  </si>
  <si>
    <t>F</t>
  </si>
  <si>
    <t>32711</t>
  </si>
  <si>
    <t>32712</t>
  </si>
  <si>
    <t>in H2O</t>
  </si>
  <si>
    <t>32713</t>
  </si>
  <si>
    <t>kVA</t>
  </si>
  <si>
    <t>WS pH</t>
  </si>
  <si>
    <t>Afterburner Temperature</t>
  </si>
  <si>
    <t>Kiln Temperature</t>
  </si>
  <si>
    <t>WS Temperature</t>
  </si>
  <si>
    <t>FF Temperature</t>
  </si>
  <si>
    <t>FF Pressure Drop</t>
  </si>
  <si>
    <t>WESP Power</t>
  </si>
  <si>
    <t>Process Information 2</t>
  </si>
  <si>
    <t>E1</t>
  </si>
  <si>
    <t>E2</t>
  </si>
  <si>
    <t>E3</t>
  </si>
  <si>
    <t>E4</t>
  </si>
  <si>
    <t>E5</t>
  </si>
  <si>
    <t>E6</t>
  </si>
  <si>
    <t>Cond Dates</t>
  </si>
  <si>
    <t>Liq, solid</t>
  </si>
  <si>
    <t>Oil</t>
  </si>
  <si>
    <t>Commercial incinerator</t>
  </si>
  <si>
    <t>Number of Sister Facilities</t>
  </si>
  <si>
    <t>APCS Detailed Acronym</t>
  </si>
  <si>
    <t>APCS General Class</t>
  </si>
  <si>
    <t>FF, CI, WESP, LEWS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</si>
  <si>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</si>
  <si>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</si>
  <si>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</si>
  <si>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</si>
  <si>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</si>
  <si>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</si>
  <si>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</si>
  <si>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</si>
  <si>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</si>
  <si>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c2</t>
  </si>
  <si>
    <t>df c4</t>
  </si>
  <si>
    <t>df c5</t>
  </si>
  <si>
    <t>Feedstream Number</t>
  </si>
  <si>
    <t>Feed Class</t>
  </si>
  <si>
    <t>Solid HW</t>
  </si>
  <si>
    <t>F1</t>
  </si>
  <si>
    <t>Liq non-HW</t>
  </si>
  <si>
    <t>F2</t>
  </si>
  <si>
    <t>Liq HW</t>
  </si>
  <si>
    <t>F3</t>
  </si>
  <si>
    <t>F4</t>
  </si>
  <si>
    <t>Sludge HW</t>
  </si>
  <si>
    <t>F5</t>
  </si>
  <si>
    <t>F6</t>
  </si>
  <si>
    <t>F7</t>
  </si>
  <si>
    <t>F8</t>
  </si>
  <si>
    <t>F9</t>
  </si>
  <si>
    <t>F10</t>
  </si>
  <si>
    <t>F11</t>
  </si>
  <si>
    <t>Feed Class 2</t>
  </si>
  <si>
    <t>MF</t>
  </si>
  <si>
    <t>Estimated Firing Rate</t>
  </si>
  <si>
    <t>Aragonite</t>
  </si>
  <si>
    <t>140 MM Btu/hr</t>
  </si>
  <si>
    <t>Chlorobenzene</t>
  </si>
  <si>
    <t>PM(A), HCl/Cl2</t>
  </si>
  <si>
    <t>Spray dryer, carbon injection, fabric filter, 2 stage wet scrubber, wet ESP.  Procedaire spray dryer / FF, pulse jet, A/C = 3, 42,000 ft2 fabric area, Teflon coated fiberglass bags, Intolox saddle packing; Anderson 2000 packed tower, Tellerette packing; Beltran wet ESP, 9600 ft2 plate area. Carbon injection added around 1994, however, not currently in use.</t>
  </si>
  <si>
    <t>Safety Kleen, Aragonite, UT</t>
  </si>
  <si>
    <t>df c1</t>
  </si>
  <si>
    <t>PM (duplicate)</t>
  </si>
  <si>
    <t>HC (RA)</t>
  </si>
  <si>
    <t xml:space="preserve">Units for total </t>
  </si>
  <si>
    <t>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</si>
</sst>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mm/dd/yy"/>
    <numFmt numFmtId="179" formatCode="0.000000000"/>
    <numFmt numFmtId="180" formatCode="0.0000000000"/>
    <numFmt numFmtId="181" formatCode="0.000000000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t="s">
        <v>316</v>
      </c>
    </row>
    <row r="2" ht="12.75">
      <c r="A2" t="s">
        <v>317</v>
      </c>
    </row>
    <row r="3" ht="12.75">
      <c r="A3" t="s">
        <v>318</v>
      </c>
    </row>
    <row r="4" ht="12.75">
      <c r="A4" t="s">
        <v>319</v>
      </c>
    </row>
    <row r="5" ht="12.75">
      <c r="A5" t="s">
        <v>320</v>
      </c>
    </row>
    <row r="6" ht="12.75">
      <c r="A6" t="s">
        <v>321</v>
      </c>
    </row>
    <row r="7" ht="12.75">
      <c r="A7" t="s">
        <v>322</v>
      </c>
    </row>
    <row r="8" ht="12.75">
      <c r="A8" t="s">
        <v>323</v>
      </c>
    </row>
    <row r="9" ht="12.75">
      <c r="A9" t="s">
        <v>324</v>
      </c>
    </row>
    <row r="10" ht="12.75">
      <c r="A10" t="s">
        <v>354</v>
      </c>
    </row>
    <row r="11" ht="12.75">
      <c r="A11" t="s">
        <v>325</v>
      </c>
    </row>
    <row r="12" ht="12.75">
      <c r="A12" t="s">
        <v>326</v>
      </c>
    </row>
    <row r="13" ht="12.75">
      <c r="A13" t="s">
        <v>327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2" sqref="C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57421875" style="0" bestFit="1" customWidth="1"/>
    <col min="5" max="5" width="9.421875" style="0" customWidth="1"/>
    <col min="6" max="6" width="9.8515625" style="0" customWidth="1"/>
    <col min="8" max="8" width="9.8515625" style="0" customWidth="1"/>
    <col min="9" max="9" width="4.57421875" style="0" bestFit="1" customWidth="1"/>
    <col min="11" max="11" width="9.28125" style="0" customWidth="1"/>
    <col min="13" max="13" width="9.28125" style="0" customWidth="1"/>
    <col min="14" max="14" width="4.57421875" style="0" bestFit="1" customWidth="1"/>
    <col min="16" max="16" width="9.00390625" style="0" customWidth="1"/>
    <col min="18" max="18" width="9.00390625" style="0" customWidth="1"/>
  </cols>
  <sheetData>
    <row r="1" spans="1:18" ht="12.75">
      <c r="A1" s="44" t="s">
        <v>80</v>
      </c>
      <c r="B1" s="31"/>
      <c r="C1" s="31"/>
      <c r="D1" s="31"/>
      <c r="E1" s="38"/>
      <c r="F1" s="39"/>
      <c r="G1" s="38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>
      <c r="A2" s="31" t="s">
        <v>358</v>
      </c>
      <c r="B2" s="31"/>
      <c r="C2" s="31"/>
      <c r="D2" s="31"/>
      <c r="E2" s="38"/>
      <c r="F2" s="39"/>
      <c r="G2" s="38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1" t="s">
        <v>19</v>
      </c>
      <c r="B3" s="31"/>
      <c r="C3" s="12" t="s">
        <v>353</v>
      </c>
      <c r="D3" s="12"/>
      <c r="E3" s="38"/>
      <c r="F3" s="39"/>
      <c r="G3" s="38"/>
      <c r="H3" s="39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31" t="s">
        <v>20</v>
      </c>
      <c r="B4" s="31"/>
      <c r="C4" s="12" t="s">
        <v>195</v>
      </c>
      <c r="D4" s="12"/>
      <c r="E4" s="40"/>
      <c r="F4" s="41"/>
      <c r="G4" s="40"/>
      <c r="H4" s="41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>
      <c r="A5" s="31" t="s">
        <v>21</v>
      </c>
      <c r="B5" s="31"/>
      <c r="C5" s="16" t="s">
        <v>169</v>
      </c>
      <c r="D5" s="16"/>
      <c r="E5" s="16"/>
      <c r="F5" s="16"/>
      <c r="G5" s="16"/>
      <c r="H5" s="16"/>
      <c r="I5" s="16"/>
      <c r="J5" s="16"/>
      <c r="K5" s="38"/>
      <c r="L5" s="16"/>
      <c r="M5" s="38"/>
      <c r="N5" s="38"/>
      <c r="O5" s="38"/>
      <c r="P5" s="38"/>
      <c r="Q5" s="38"/>
      <c r="R5" s="38"/>
    </row>
    <row r="6" spans="1:18" ht="12.75">
      <c r="A6" s="31"/>
      <c r="B6" s="31"/>
      <c r="C6" s="33"/>
      <c r="D6" s="33"/>
      <c r="E6" s="42"/>
      <c r="F6" s="39"/>
      <c r="G6" s="42"/>
      <c r="H6" s="39"/>
      <c r="I6" s="38"/>
      <c r="J6" s="42"/>
      <c r="K6" s="38"/>
      <c r="L6" s="42"/>
      <c r="M6" s="38"/>
      <c r="N6" s="38"/>
      <c r="O6" s="42"/>
      <c r="P6" s="38"/>
      <c r="Q6" s="42"/>
      <c r="R6" s="38"/>
    </row>
    <row r="7" spans="1:18" ht="12.75">
      <c r="A7" s="31"/>
      <c r="B7" s="31"/>
      <c r="C7" s="33" t="s">
        <v>22</v>
      </c>
      <c r="D7" s="33"/>
      <c r="E7" s="43" t="s">
        <v>56</v>
      </c>
      <c r="F7" s="43"/>
      <c r="G7" s="43"/>
      <c r="H7" s="43"/>
      <c r="I7" s="15"/>
      <c r="J7" s="43" t="s">
        <v>57</v>
      </c>
      <c r="K7" s="43"/>
      <c r="L7" s="43"/>
      <c r="M7" s="43"/>
      <c r="N7" s="15"/>
      <c r="O7" s="43" t="s">
        <v>58</v>
      </c>
      <c r="P7" s="43"/>
      <c r="Q7" s="43"/>
      <c r="R7" s="43"/>
    </row>
    <row r="8" spans="1:18" ht="12.75">
      <c r="A8" s="31"/>
      <c r="B8" s="31"/>
      <c r="C8" s="33" t="s">
        <v>23</v>
      </c>
      <c r="D8" s="31"/>
      <c r="E8" s="42" t="s">
        <v>24</v>
      </c>
      <c r="F8" s="41" t="s">
        <v>25</v>
      </c>
      <c r="G8" s="42" t="s">
        <v>24</v>
      </c>
      <c r="H8" s="41" t="s">
        <v>25</v>
      </c>
      <c r="I8" s="38"/>
      <c r="J8" s="42" t="s">
        <v>24</v>
      </c>
      <c r="K8" s="42" t="s">
        <v>26</v>
      </c>
      <c r="L8" s="42" t="s">
        <v>24</v>
      </c>
      <c r="M8" s="42" t="s">
        <v>26</v>
      </c>
      <c r="N8" s="38"/>
      <c r="O8" s="42" t="s">
        <v>24</v>
      </c>
      <c r="P8" s="42" t="s">
        <v>26</v>
      </c>
      <c r="Q8" s="42" t="s">
        <v>24</v>
      </c>
      <c r="R8" s="42" t="s">
        <v>26</v>
      </c>
    </row>
    <row r="9" spans="1:18" ht="12.75">
      <c r="A9" s="31"/>
      <c r="B9" s="31"/>
      <c r="C9" s="33"/>
      <c r="D9" s="31"/>
      <c r="E9" s="42" t="s">
        <v>242</v>
      </c>
      <c r="F9" s="42" t="s">
        <v>242</v>
      </c>
      <c r="G9" s="42" t="s">
        <v>79</v>
      </c>
      <c r="H9" s="41" t="s">
        <v>79</v>
      </c>
      <c r="I9" s="38"/>
      <c r="J9" s="42" t="s">
        <v>242</v>
      </c>
      <c r="K9" s="42" t="s">
        <v>242</v>
      </c>
      <c r="L9" s="42" t="s">
        <v>79</v>
      </c>
      <c r="M9" s="41" t="s">
        <v>79</v>
      </c>
      <c r="N9" s="38"/>
      <c r="O9" s="42" t="s">
        <v>242</v>
      </c>
      <c r="P9" s="42" t="s">
        <v>242</v>
      </c>
      <c r="Q9" s="42" t="s">
        <v>79</v>
      </c>
      <c r="R9" s="41" t="s">
        <v>79</v>
      </c>
    </row>
    <row r="10" spans="1:18" ht="12.75">
      <c r="A10" s="31" t="s">
        <v>130</v>
      </c>
      <c r="B10" s="31"/>
      <c r="C10" s="31"/>
      <c r="D10" s="31"/>
      <c r="E10" s="38"/>
      <c r="F10" s="39"/>
      <c r="G10" s="38"/>
      <c r="H10" s="39"/>
      <c r="I10" s="38"/>
      <c r="J10" s="38"/>
      <c r="K10" s="38"/>
      <c r="L10" s="38"/>
      <c r="M10" s="38"/>
      <c r="N10" s="38"/>
      <c r="O10" s="34"/>
      <c r="P10" s="38"/>
      <c r="Q10" s="38"/>
      <c r="R10" s="38"/>
    </row>
    <row r="11" spans="1:18" ht="12.75">
      <c r="A11" s="31"/>
      <c r="B11" s="31" t="s">
        <v>27</v>
      </c>
      <c r="C11" s="33">
        <v>1</v>
      </c>
      <c r="D11" s="58" t="s">
        <v>161</v>
      </c>
      <c r="E11" s="58">
        <v>0.021</v>
      </c>
      <c r="F11" s="37">
        <f aca="true" t="shared" si="0" ref="F11:H27">IF(E11="","",E11*$C11)</f>
        <v>0.021</v>
      </c>
      <c r="G11" s="37">
        <f aca="true" t="shared" si="1" ref="G11:G27">IF(E11=0,"",IF(D11="nd",E11/2,E11))</f>
        <v>0.0105</v>
      </c>
      <c r="H11" s="37">
        <f t="shared" si="0"/>
        <v>0.0105</v>
      </c>
      <c r="I11" s="58" t="s">
        <v>161</v>
      </c>
      <c r="J11" s="58">
        <v>0.023</v>
      </c>
      <c r="K11" s="37">
        <f aca="true" t="shared" si="2" ref="K11:M27">IF(J11="","",J11*$C11)</f>
        <v>0.023</v>
      </c>
      <c r="L11" s="37">
        <f>IF(J11=0,"",IF(I11="nd",J11/2,J11))</f>
        <v>0.0115</v>
      </c>
      <c r="M11" s="37">
        <f t="shared" si="2"/>
        <v>0.0115</v>
      </c>
      <c r="N11" s="58" t="s">
        <v>161</v>
      </c>
      <c r="O11" s="58">
        <v>0.019</v>
      </c>
      <c r="P11" s="36">
        <f aca="true" t="shared" si="3" ref="P11:R27">IF(O11="","",O11*$C11)</f>
        <v>0.019</v>
      </c>
      <c r="Q11" s="36">
        <f>IF(O11=0,"",IF(N11="nd",O11/2,O11))</f>
        <v>0.0095</v>
      </c>
      <c r="R11" s="36">
        <f t="shared" si="3"/>
        <v>0.0095</v>
      </c>
    </row>
    <row r="12" spans="1:18" ht="12.75">
      <c r="A12" s="31"/>
      <c r="B12" s="31" t="s">
        <v>28</v>
      </c>
      <c r="C12" s="33">
        <v>0.5</v>
      </c>
      <c r="D12" s="58" t="s">
        <v>161</v>
      </c>
      <c r="E12" s="58">
        <v>0.092</v>
      </c>
      <c r="F12" s="37">
        <f t="shared" si="0"/>
        <v>0.046</v>
      </c>
      <c r="G12" s="37">
        <f t="shared" si="1"/>
        <v>0.046</v>
      </c>
      <c r="H12" s="37">
        <f t="shared" si="0"/>
        <v>0.023</v>
      </c>
      <c r="I12" s="58" t="s">
        <v>161</v>
      </c>
      <c r="J12" s="58">
        <v>0.102</v>
      </c>
      <c r="K12" s="37">
        <f t="shared" si="2"/>
        <v>0.051</v>
      </c>
      <c r="L12" s="37">
        <f aca="true" t="shared" si="4" ref="L12:L27">IF(J12=0,"",IF(I12="nd",J12/2,J12))</f>
        <v>0.051</v>
      </c>
      <c r="M12" s="37">
        <f t="shared" si="2"/>
        <v>0.0255</v>
      </c>
      <c r="N12" s="58" t="s">
        <v>161</v>
      </c>
      <c r="O12" s="58">
        <v>0.07</v>
      </c>
      <c r="P12" s="36">
        <f t="shared" si="3"/>
        <v>0.035</v>
      </c>
      <c r="Q12" s="36">
        <f aca="true" t="shared" si="5" ref="Q12:Q27">IF(O12=0,"",IF(N12="nd",O12/2,O12))</f>
        <v>0.035</v>
      </c>
      <c r="R12" s="36">
        <f t="shared" si="3"/>
        <v>0.0175</v>
      </c>
    </row>
    <row r="13" spans="1:18" ht="12.75">
      <c r="A13" s="31"/>
      <c r="B13" s="31" t="s">
        <v>29</v>
      </c>
      <c r="C13" s="33">
        <v>0.1</v>
      </c>
      <c r="D13" s="58" t="s">
        <v>161</v>
      </c>
      <c r="E13" s="58">
        <v>0.114</v>
      </c>
      <c r="F13" s="37">
        <f t="shared" si="0"/>
        <v>0.0114</v>
      </c>
      <c r="G13" s="37">
        <f t="shared" si="1"/>
        <v>0.057</v>
      </c>
      <c r="H13" s="37">
        <f t="shared" si="0"/>
        <v>0.0057</v>
      </c>
      <c r="I13" s="58" t="s">
        <v>161</v>
      </c>
      <c r="J13" s="58">
        <v>0.131</v>
      </c>
      <c r="K13" s="37">
        <f t="shared" si="2"/>
        <v>0.0131</v>
      </c>
      <c r="L13" s="37">
        <f t="shared" si="4"/>
        <v>0.0655</v>
      </c>
      <c r="M13" s="37">
        <f t="shared" si="2"/>
        <v>0.00655</v>
      </c>
      <c r="N13" s="58" t="s">
        <v>161</v>
      </c>
      <c r="O13" s="58">
        <v>0.083</v>
      </c>
      <c r="P13" s="36">
        <f t="shared" si="3"/>
        <v>0.0083</v>
      </c>
      <c r="Q13" s="36">
        <f t="shared" si="5"/>
        <v>0.0415</v>
      </c>
      <c r="R13" s="36">
        <f t="shared" si="3"/>
        <v>0.00415</v>
      </c>
    </row>
    <row r="14" spans="1:18" ht="12.75">
      <c r="A14" s="31"/>
      <c r="B14" s="31" t="s">
        <v>30</v>
      </c>
      <c r="C14" s="33">
        <v>0.1</v>
      </c>
      <c r="D14" s="58" t="s">
        <v>161</v>
      </c>
      <c r="E14" s="58">
        <v>0.274</v>
      </c>
      <c r="F14" s="37">
        <f t="shared" si="0"/>
        <v>0.027400000000000004</v>
      </c>
      <c r="G14" s="37">
        <f t="shared" si="1"/>
        <v>0.137</v>
      </c>
      <c r="H14" s="37">
        <f t="shared" si="0"/>
        <v>0.013700000000000002</v>
      </c>
      <c r="I14" s="58" t="s">
        <v>161</v>
      </c>
      <c r="J14" s="58">
        <v>0.322</v>
      </c>
      <c r="K14" s="37">
        <f t="shared" si="2"/>
        <v>0.0322</v>
      </c>
      <c r="L14" s="37">
        <f t="shared" si="4"/>
        <v>0.161</v>
      </c>
      <c r="M14" s="37">
        <f t="shared" si="2"/>
        <v>0.0161</v>
      </c>
      <c r="N14" s="58" t="s">
        <v>161</v>
      </c>
      <c r="O14" s="58">
        <v>0.193</v>
      </c>
      <c r="P14" s="36">
        <f t="shared" si="3"/>
        <v>0.0193</v>
      </c>
      <c r="Q14" s="36">
        <f t="shared" si="5"/>
        <v>0.0965</v>
      </c>
      <c r="R14" s="36">
        <f t="shared" si="3"/>
        <v>0.00965</v>
      </c>
    </row>
    <row r="15" spans="1:18" ht="12.75">
      <c r="A15" s="31"/>
      <c r="B15" s="31" t="s">
        <v>31</v>
      </c>
      <c r="C15" s="33">
        <v>0.1</v>
      </c>
      <c r="D15" s="58" t="s">
        <v>161</v>
      </c>
      <c r="E15" s="58">
        <v>0.114</v>
      </c>
      <c r="F15" s="37">
        <f t="shared" si="0"/>
        <v>0.0114</v>
      </c>
      <c r="G15" s="37">
        <f t="shared" si="1"/>
        <v>0.057</v>
      </c>
      <c r="H15" s="37">
        <f t="shared" si="0"/>
        <v>0.0057</v>
      </c>
      <c r="I15" s="58" t="s">
        <v>161</v>
      </c>
      <c r="J15" s="58">
        <v>0.138</v>
      </c>
      <c r="K15" s="37">
        <f t="shared" si="2"/>
        <v>0.013800000000000002</v>
      </c>
      <c r="L15" s="37">
        <f t="shared" si="4"/>
        <v>0.069</v>
      </c>
      <c r="M15" s="37">
        <f t="shared" si="2"/>
        <v>0.006900000000000001</v>
      </c>
      <c r="N15" s="58" t="s">
        <v>161</v>
      </c>
      <c r="O15" s="58">
        <v>0.084</v>
      </c>
      <c r="P15" s="36">
        <f t="shared" si="3"/>
        <v>0.008400000000000001</v>
      </c>
      <c r="Q15" s="36">
        <f t="shared" si="5"/>
        <v>0.042</v>
      </c>
      <c r="R15" s="36">
        <f t="shared" si="3"/>
        <v>0.004200000000000001</v>
      </c>
    </row>
    <row r="16" spans="1:18" ht="12.75">
      <c r="A16" s="31"/>
      <c r="B16" s="31" t="s">
        <v>32</v>
      </c>
      <c r="C16" s="33">
        <v>0.01</v>
      </c>
      <c r="D16" s="58"/>
      <c r="E16" s="58">
        <v>1.084</v>
      </c>
      <c r="F16" s="37">
        <f t="shared" si="0"/>
        <v>0.01084</v>
      </c>
      <c r="G16" s="37">
        <f t="shared" si="1"/>
        <v>1.084</v>
      </c>
      <c r="H16" s="37">
        <f t="shared" si="0"/>
        <v>0.01084</v>
      </c>
      <c r="I16" s="58"/>
      <c r="J16" s="58">
        <v>1.076</v>
      </c>
      <c r="K16" s="37">
        <f t="shared" si="2"/>
        <v>0.01076</v>
      </c>
      <c r="L16" s="37">
        <f t="shared" si="4"/>
        <v>1.076</v>
      </c>
      <c r="M16" s="37">
        <f t="shared" si="2"/>
        <v>0.01076</v>
      </c>
      <c r="N16" s="58"/>
      <c r="O16" s="58">
        <v>0.703</v>
      </c>
      <c r="P16" s="36">
        <f t="shared" si="3"/>
        <v>0.00703</v>
      </c>
      <c r="Q16" s="36">
        <f t="shared" si="5"/>
        <v>0.703</v>
      </c>
      <c r="R16" s="36">
        <f t="shared" si="3"/>
        <v>0.00703</v>
      </c>
    </row>
    <row r="17" spans="1:18" ht="12.75">
      <c r="A17" s="31"/>
      <c r="B17" s="31" t="s">
        <v>33</v>
      </c>
      <c r="C17" s="33">
        <v>0.001</v>
      </c>
      <c r="D17" s="58"/>
      <c r="E17" s="58">
        <v>0.88</v>
      </c>
      <c r="F17" s="37">
        <f t="shared" si="0"/>
        <v>0.00088</v>
      </c>
      <c r="G17" s="37">
        <f t="shared" si="1"/>
        <v>0.88</v>
      </c>
      <c r="H17" s="37">
        <f t="shared" si="0"/>
        <v>0.00088</v>
      </c>
      <c r="I17" s="58"/>
      <c r="J17" s="58">
        <v>0.819</v>
      </c>
      <c r="K17" s="37">
        <f t="shared" si="2"/>
        <v>0.000819</v>
      </c>
      <c r="L17" s="37">
        <f t="shared" si="4"/>
        <v>0.819</v>
      </c>
      <c r="M17" s="37">
        <f t="shared" si="2"/>
        <v>0.000819</v>
      </c>
      <c r="N17" s="58"/>
      <c r="O17" s="58">
        <v>0.558</v>
      </c>
      <c r="P17" s="36">
        <f t="shared" si="3"/>
        <v>0.000558</v>
      </c>
      <c r="Q17" s="36">
        <f t="shared" si="5"/>
        <v>0.558</v>
      </c>
      <c r="R17" s="36">
        <f t="shared" si="3"/>
        <v>0.000558</v>
      </c>
    </row>
    <row r="18" spans="1:18" ht="12.75">
      <c r="A18" s="31"/>
      <c r="B18" s="31" t="s">
        <v>34</v>
      </c>
      <c r="C18" s="33">
        <v>0.1</v>
      </c>
      <c r="D18" s="58" t="s">
        <v>161</v>
      </c>
      <c r="E18" s="58">
        <v>0.259</v>
      </c>
      <c r="F18" s="37">
        <f t="shared" si="0"/>
        <v>0.025900000000000003</v>
      </c>
      <c r="G18" s="37">
        <f t="shared" si="1"/>
        <v>0.1295</v>
      </c>
      <c r="H18" s="37">
        <f t="shared" si="0"/>
        <v>0.012950000000000001</v>
      </c>
      <c r="I18" s="58" t="s">
        <v>161</v>
      </c>
      <c r="J18" s="58">
        <v>0.3</v>
      </c>
      <c r="K18" s="37">
        <f t="shared" si="2"/>
        <v>0.03</v>
      </c>
      <c r="L18" s="37">
        <f t="shared" si="4"/>
        <v>0.15</v>
      </c>
      <c r="M18" s="37">
        <f t="shared" si="2"/>
        <v>0.015</v>
      </c>
      <c r="N18" s="58" t="s">
        <v>161</v>
      </c>
      <c r="O18" s="58">
        <v>0.215</v>
      </c>
      <c r="P18" s="36">
        <f t="shared" si="3"/>
        <v>0.021500000000000002</v>
      </c>
      <c r="Q18" s="36">
        <f t="shared" si="5"/>
        <v>0.1075</v>
      </c>
      <c r="R18" s="36">
        <f t="shared" si="3"/>
        <v>0.010750000000000001</v>
      </c>
    </row>
    <row r="19" spans="1:18" ht="12.75">
      <c r="A19" s="31"/>
      <c r="B19" s="31" t="s">
        <v>35</v>
      </c>
      <c r="C19" s="33">
        <v>0.05</v>
      </c>
      <c r="D19" s="58"/>
      <c r="E19" s="58">
        <v>0.321</v>
      </c>
      <c r="F19" s="36">
        <f t="shared" si="0"/>
        <v>0.016050000000000002</v>
      </c>
      <c r="G19" s="36">
        <f t="shared" si="1"/>
        <v>0.321</v>
      </c>
      <c r="H19" s="36">
        <f t="shared" si="0"/>
        <v>0.016050000000000002</v>
      </c>
      <c r="I19" s="58"/>
      <c r="J19" s="58">
        <v>0.369</v>
      </c>
      <c r="K19" s="37">
        <f t="shared" si="2"/>
        <v>0.01845</v>
      </c>
      <c r="L19" s="37">
        <f t="shared" si="4"/>
        <v>0.369</v>
      </c>
      <c r="M19" s="37">
        <f t="shared" si="2"/>
        <v>0.01845</v>
      </c>
      <c r="N19" s="58"/>
      <c r="O19" s="58">
        <v>0.269</v>
      </c>
      <c r="P19" s="36">
        <f t="shared" si="3"/>
        <v>0.013450000000000002</v>
      </c>
      <c r="Q19" s="36">
        <f t="shared" si="5"/>
        <v>0.269</v>
      </c>
      <c r="R19" s="36">
        <f t="shared" si="3"/>
        <v>0.013450000000000002</v>
      </c>
    </row>
    <row r="20" spans="1:18" ht="12.75">
      <c r="A20" s="31"/>
      <c r="B20" s="31" t="s">
        <v>36</v>
      </c>
      <c r="C20" s="33">
        <v>0.5</v>
      </c>
      <c r="D20" s="58"/>
      <c r="E20" s="58">
        <v>0.751</v>
      </c>
      <c r="F20" s="36">
        <f t="shared" si="0"/>
        <v>0.3755</v>
      </c>
      <c r="G20" s="36">
        <f t="shared" si="1"/>
        <v>0.751</v>
      </c>
      <c r="H20" s="36">
        <f t="shared" si="0"/>
        <v>0.3755</v>
      </c>
      <c r="I20" s="58"/>
      <c r="J20" s="58">
        <v>0.922</v>
      </c>
      <c r="K20" s="37">
        <f t="shared" si="2"/>
        <v>0.461</v>
      </c>
      <c r="L20" s="37">
        <f t="shared" si="4"/>
        <v>0.922</v>
      </c>
      <c r="M20" s="37">
        <f t="shared" si="2"/>
        <v>0.461</v>
      </c>
      <c r="N20" s="58"/>
      <c r="O20" s="58">
        <v>0.694</v>
      </c>
      <c r="P20" s="36">
        <f t="shared" si="3"/>
        <v>0.347</v>
      </c>
      <c r="Q20" s="36">
        <f t="shared" si="5"/>
        <v>0.694</v>
      </c>
      <c r="R20" s="36">
        <f t="shared" si="3"/>
        <v>0.347</v>
      </c>
    </row>
    <row r="21" spans="1:18" ht="12.75">
      <c r="A21" s="31"/>
      <c r="B21" s="31" t="s">
        <v>37</v>
      </c>
      <c r="C21" s="33">
        <v>0.1</v>
      </c>
      <c r="D21" s="58"/>
      <c r="E21" s="58">
        <v>0.687</v>
      </c>
      <c r="F21" s="36">
        <f t="shared" si="0"/>
        <v>0.06870000000000001</v>
      </c>
      <c r="G21" s="36">
        <f t="shared" si="1"/>
        <v>0.687</v>
      </c>
      <c r="H21" s="36">
        <f t="shared" si="0"/>
        <v>0.06870000000000001</v>
      </c>
      <c r="I21" s="58"/>
      <c r="J21" s="58">
        <v>0.617</v>
      </c>
      <c r="K21" s="37">
        <f t="shared" si="2"/>
        <v>0.061700000000000005</v>
      </c>
      <c r="L21" s="37">
        <f t="shared" si="4"/>
        <v>0.617</v>
      </c>
      <c r="M21" s="37">
        <f t="shared" si="2"/>
        <v>0.061700000000000005</v>
      </c>
      <c r="N21" s="58"/>
      <c r="O21" s="58">
        <v>0.479</v>
      </c>
      <c r="P21" s="36">
        <f t="shared" si="3"/>
        <v>0.0479</v>
      </c>
      <c r="Q21" s="36">
        <f t="shared" si="5"/>
        <v>0.479</v>
      </c>
      <c r="R21" s="36">
        <f t="shared" si="3"/>
        <v>0.0479</v>
      </c>
    </row>
    <row r="22" spans="1:18" ht="12.75">
      <c r="A22" s="31"/>
      <c r="B22" s="31" t="s">
        <v>38</v>
      </c>
      <c r="C22" s="33">
        <v>0.1</v>
      </c>
      <c r="D22" s="58"/>
      <c r="E22" s="58">
        <v>0.515</v>
      </c>
      <c r="F22" s="36">
        <f t="shared" si="0"/>
        <v>0.051500000000000004</v>
      </c>
      <c r="G22" s="36">
        <f t="shared" si="1"/>
        <v>0.515</v>
      </c>
      <c r="H22" s="36">
        <f t="shared" si="0"/>
        <v>0.051500000000000004</v>
      </c>
      <c r="I22" s="58"/>
      <c r="J22" s="58">
        <v>0.572</v>
      </c>
      <c r="K22" s="37">
        <f t="shared" si="2"/>
        <v>0.0572</v>
      </c>
      <c r="L22" s="37">
        <f t="shared" si="4"/>
        <v>0.572</v>
      </c>
      <c r="M22" s="37">
        <f t="shared" si="2"/>
        <v>0.0572</v>
      </c>
      <c r="N22" s="58"/>
      <c r="O22" s="58">
        <v>0.467</v>
      </c>
      <c r="P22" s="36">
        <f t="shared" si="3"/>
        <v>0.046700000000000005</v>
      </c>
      <c r="Q22" s="36">
        <f t="shared" si="5"/>
        <v>0.467</v>
      </c>
      <c r="R22" s="36">
        <f t="shared" si="3"/>
        <v>0.046700000000000005</v>
      </c>
    </row>
    <row r="23" spans="1:18" ht="12.75">
      <c r="A23" s="31"/>
      <c r="B23" s="31" t="s">
        <v>39</v>
      </c>
      <c r="C23" s="33">
        <v>0.1</v>
      </c>
      <c r="D23" s="58"/>
      <c r="E23" s="58">
        <v>1.019</v>
      </c>
      <c r="F23" s="36">
        <f t="shared" si="0"/>
        <v>0.10189999999999999</v>
      </c>
      <c r="G23" s="36">
        <f t="shared" si="1"/>
        <v>1.019</v>
      </c>
      <c r="H23" s="36">
        <f t="shared" si="0"/>
        <v>0.10189999999999999</v>
      </c>
      <c r="I23" s="58"/>
      <c r="J23" s="58">
        <v>1.236</v>
      </c>
      <c r="K23" s="37">
        <f t="shared" si="2"/>
        <v>0.1236</v>
      </c>
      <c r="L23" s="37">
        <f t="shared" si="4"/>
        <v>1.236</v>
      </c>
      <c r="M23" s="37">
        <f t="shared" si="2"/>
        <v>0.1236</v>
      </c>
      <c r="N23" s="58"/>
      <c r="O23" s="58">
        <v>1.002</v>
      </c>
      <c r="P23" s="36">
        <f t="shared" si="3"/>
        <v>0.10020000000000001</v>
      </c>
      <c r="Q23" s="36">
        <f t="shared" si="5"/>
        <v>1.002</v>
      </c>
      <c r="R23" s="36">
        <f t="shared" si="3"/>
        <v>0.10020000000000001</v>
      </c>
    </row>
    <row r="24" spans="1:18" ht="12.75">
      <c r="A24" s="31"/>
      <c r="B24" s="31" t="s">
        <v>40</v>
      </c>
      <c r="C24" s="33">
        <v>0.1</v>
      </c>
      <c r="D24" s="58"/>
      <c r="E24" s="58">
        <v>0.244</v>
      </c>
      <c r="F24" s="36">
        <f t="shared" si="0"/>
        <v>0.0244</v>
      </c>
      <c r="G24" s="36">
        <f t="shared" si="1"/>
        <v>0.244</v>
      </c>
      <c r="H24" s="36">
        <f t="shared" si="0"/>
        <v>0.0244</v>
      </c>
      <c r="I24" s="58"/>
      <c r="J24" s="58">
        <v>0.286</v>
      </c>
      <c r="K24" s="37">
        <f t="shared" si="2"/>
        <v>0.0286</v>
      </c>
      <c r="L24" s="37">
        <f t="shared" si="4"/>
        <v>0.286</v>
      </c>
      <c r="M24" s="37">
        <f t="shared" si="2"/>
        <v>0.0286</v>
      </c>
      <c r="N24" s="58"/>
      <c r="O24" s="58">
        <v>0.221</v>
      </c>
      <c r="P24" s="36">
        <f t="shared" si="3"/>
        <v>0.0221</v>
      </c>
      <c r="Q24" s="36">
        <f t="shared" si="5"/>
        <v>0.221</v>
      </c>
      <c r="R24" s="36">
        <f t="shared" si="3"/>
        <v>0.0221</v>
      </c>
    </row>
    <row r="25" spans="1:18" ht="12.75">
      <c r="A25" s="31"/>
      <c r="B25" s="31" t="s">
        <v>41</v>
      </c>
      <c r="C25" s="33">
        <v>0.01</v>
      </c>
      <c r="D25" s="58"/>
      <c r="E25" s="58">
        <v>2.355</v>
      </c>
      <c r="F25" s="36">
        <f t="shared" si="0"/>
        <v>0.02355</v>
      </c>
      <c r="G25" s="36">
        <f t="shared" si="1"/>
        <v>2.355</v>
      </c>
      <c r="H25" s="36">
        <f t="shared" si="0"/>
        <v>0.02355</v>
      </c>
      <c r="I25" s="58"/>
      <c r="J25" s="58">
        <v>2.107</v>
      </c>
      <c r="K25" s="37">
        <f t="shared" si="2"/>
        <v>0.021070000000000002</v>
      </c>
      <c r="L25" s="37">
        <f t="shared" si="4"/>
        <v>2.107</v>
      </c>
      <c r="M25" s="37">
        <f t="shared" si="2"/>
        <v>0.021070000000000002</v>
      </c>
      <c r="N25" s="58"/>
      <c r="O25" s="58">
        <v>1.795</v>
      </c>
      <c r="P25" s="36">
        <f t="shared" si="3"/>
        <v>0.01795</v>
      </c>
      <c r="Q25" s="36">
        <f t="shared" si="5"/>
        <v>1.795</v>
      </c>
      <c r="R25" s="36">
        <f t="shared" si="3"/>
        <v>0.01795</v>
      </c>
    </row>
    <row r="26" spans="1:18" ht="12.75">
      <c r="A26" s="31"/>
      <c r="B26" s="31" t="s">
        <v>42</v>
      </c>
      <c r="C26" s="33">
        <v>0.01</v>
      </c>
      <c r="D26" s="58"/>
      <c r="E26" s="58">
        <v>0.424</v>
      </c>
      <c r="F26" s="36">
        <f t="shared" si="0"/>
        <v>0.00424</v>
      </c>
      <c r="G26" s="36">
        <f t="shared" si="1"/>
        <v>0.424</v>
      </c>
      <c r="H26" s="36">
        <f t="shared" si="0"/>
        <v>0.00424</v>
      </c>
      <c r="I26" s="58"/>
      <c r="J26" s="58">
        <v>0.442</v>
      </c>
      <c r="K26" s="37">
        <f t="shared" si="2"/>
        <v>0.00442</v>
      </c>
      <c r="L26" s="37">
        <f t="shared" si="4"/>
        <v>0.442</v>
      </c>
      <c r="M26" s="37">
        <f t="shared" si="2"/>
        <v>0.00442</v>
      </c>
      <c r="N26" s="58"/>
      <c r="O26" s="58">
        <v>0.33</v>
      </c>
      <c r="P26" s="36">
        <f t="shared" si="3"/>
        <v>0.0033000000000000004</v>
      </c>
      <c r="Q26" s="36">
        <f t="shared" si="5"/>
        <v>0.33</v>
      </c>
      <c r="R26" s="36">
        <f t="shared" si="3"/>
        <v>0.0033000000000000004</v>
      </c>
    </row>
    <row r="27" spans="1:18" ht="12.75">
      <c r="A27" s="31"/>
      <c r="B27" s="31" t="s">
        <v>43</v>
      </c>
      <c r="C27" s="33">
        <v>0.001</v>
      </c>
      <c r="D27" s="58"/>
      <c r="E27" s="58">
        <v>1.538</v>
      </c>
      <c r="F27" s="36">
        <f t="shared" si="0"/>
        <v>0.001538</v>
      </c>
      <c r="G27" s="36">
        <f t="shared" si="1"/>
        <v>1.538</v>
      </c>
      <c r="H27" s="36">
        <f t="shared" si="0"/>
        <v>0.001538</v>
      </c>
      <c r="I27" s="58"/>
      <c r="J27" s="58">
        <v>1.488</v>
      </c>
      <c r="K27" s="37">
        <f t="shared" si="2"/>
        <v>0.001488</v>
      </c>
      <c r="L27" s="37">
        <f t="shared" si="4"/>
        <v>1.488</v>
      </c>
      <c r="M27" s="37">
        <f t="shared" si="2"/>
        <v>0.001488</v>
      </c>
      <c r="N27" s="58"/>
      <c r="O27" s="58">
        <v>1.185</v>
      </c>
      <c r="P27" s="36">
        <f t="shared" si="3"/>
        <v>0.001185</v>
      </c>
      <c r="Q27" s="36">
        <f t="shared" si="5"/>
        <v>1.185</v>
      </c>
      <c r="R27" s="36">
        <f t="shared" si="3"/>
        <v>0.001185</v>
      </c>
    </row>
    <row r="28" spans="1:18" ht="12.75">
      <c r="A28" s="31"/>
      <c r="B28" s="31" t="s">
        <v>121</v>
      </c>
      <c r="C28" s="33">
        <v>0</v>
      </c>
      <c r="D28" s="58" t="s">
        <v>161</v>
      </c>
      <c r="E28" s="58">
        <v>1.621</v>
      </c>
      <c r="F28" s="36">
        <f aca="true" t="shared" si="6" ref="F28:H35">IF(E28="","",E28*$C28)</f>
        <v>0</v>
      </c>
      <c r="G28" s="36">
        <f aca="true" t="shared" si="7" ref="G28:G35">IF(E28=0,"",IF(D28="nd",E28/2,E28))</f>
        <v>0.8105</v>
      </c>
      <c r="H28" s="36">
        <f t="shared" si="6"/>
        <v>0</v>
      </c>
      <c r="I28" s="58" t="s">
        <v>161</v>
      </c>
      <c r="J28" s="58">
        <v>1.821</v>
      </c>
      <c r="K28" s="37">
        <f aca="true" t="shared" si="8" ref="K28:M35">IF(J28="","",J28*$C28)</f>
        <v>0</v>
      </c>
      <c r="L28" s="37">
        <f aca="true" t="shared" si="9" ref="L28:L35">IF(J28=0,"",IF(I28="nd",J28/2,J28))</f>
        <v>0.9105</v>
      </c>
      <c r="M28" s="37">
        <f t="shared" si="8"/>
        <v>0</v>
      </c>
      <c r="N28" s="58" t="s">
        <v>161</v>
      </c>
      <c r="O28" s="58">
        <v>1.362</v>
      </c>
      <c r="P28" s="36">
        <f aca="true" t="shared" si="10" ref="P28:R35">IF(O28="","",O28*$C28)</f>
        <v>0</v>
      </c>
      <c r="Q28" s="36">
        <f aca="true" t="shared" si="11" ref="Q28:Q35">IF(O28=0,"",IF(N28="nd",O28/2,O28))</f>
        <v>0.681</v>
      </c>
      <c r="R28" s="36">
        <f t="shared" si="10"/>
        <v>0</v>
      </c>
    </row>
    <row r="29" spans="1:18" ht="12.75">
      <c r="A29" s="31"/>
      <c r="B29" s="31" t="s">
        <v>122</v>
      </c>
      <c r="C29" s="33">
        <v>0</v>
      </c>
      <c r="D29" s="58" t="s">
        <v>161</v>
      </c>
      <c r="E29" s="58">
        <v>2.644</v>
      </c>
      <c r="F29" s="36">
        <f t="shared" si="6"/>
        <v>0</v>
      </c>
      <c r="G29" s="36">
        <f t="shared" si="7"/>
        <v>1.322</v>
      </c>
      <c r="H29" s="36">
        <f t="shared" si="6"/>
        <v>0</v>
      </c>
      <c r="I29" s="58" t="s">
        <v>161</v>
      </c>
      <c r="J29" s="58">
        <v>2.982</v>
      </c>
      <c r="K29" s="37">
        <f t="shared" si="8"/>
        <v>0</v>
      </c>
      <c r="L29" s="37">
        <f t="shared" si="9"/>
        <v>1.491</v>
      </c>
      <c r="M29" s="37">
        <f t="shared" si="8"/>
        <v>0</v>
      </c>
      <c r="N29" s="58" t="s">
        <v>161</v>
      </c>
      <c r="O29" s="58">
        <v>2.177</v>
      </c>
      <c r="P29" s="36">
        <f t="shared" si="10"/>
        <v>0</v>
      </c>
      <c r="Q29" s="36">
        <f t="shared" si="11"/>
        <v>1.0885</v>
      </c>
      <c r="R29" s="36">
        <f t="shared" si="10"/>
        <v>0</v>
      </c>
    </row>
    <row r="30" spans="1:18" ht="12.75">
      <c r="A30" s="31"/>
      <c r="B30" s="31" t="s">
        <v>123</v>
      </c>
      <c r="C30" s="33">
        <v>0</v>
      </c>
      <c r="D30" s="58"/>
      <c r="E30" s="58">
        <v>3.99</v>
      </c>
      <c r="F30" s="36">
        <f t="shared" si="6"/>
        <v>0</v>
      </c>
      <c r="G30" s="36">
        <f t="shared" si="7"/>
        <v>3.99</v>
      </c>
      <c r="H30" s="36">
        <f t="shared" si="6"/>
        <v>0</v>
      </c>
      <c r="I30" s="58"/>
      <c r="J30" s="58">
        <v>4.778</v>
      </c>
      <c r="K30" s="37">
        <f t="shared" si="8"/>
        <v>0</v>
      </c>
      <c r="L30" s="37">
        <f t="shared" si="9"/>
        <v>4.778</v>
      </c>
      <c r="M30" s="37">
        <f t="shared" si="8"/>
        <v>0</v>
      </c>
      <c r="N30" s="58"/>
      <c r="O30" s="58">
        <v>3.077</v>
      </c>
      <c r="P30" s="36">
        <f t="shared" si="10"/>
        <v>0</v>
      </c>
      <c r="Q30" s="36">
        <f t="shared" si="11"/>
        <v>3.077</v>
      </c>
      <c r="R30" s="36">
        <f t="shared" si="10"/>
        <v>0</v>
      </c>
    </row>
    <row r="31" spans="1:18" ht="12.75">
      <c r="A31" s="31"/>
      <c r="B31" s="31" t="s">
        <v>124</v>
      </c>
      <c r="C31" s="33">
        <v>0</v>
      </c>
      <c r="D31" s="58"/>
      <c r="E31" s="58">
        <v>2.324</v>
      </c>
      <c r="F31" s="36">
        <f t="shared" si="6"/>
        <v>0</v>
      </c>
      <c r="G31" s="36">
        <f t="shared" si="7"/>
        <v>2.324</v>
      </c>
      <c r="H31" s="36">
        <f t="shared" si="6"/>
        <v>0</v>
      </c>
      <c r="I31" s="58"/>
      <c r="J31" s="58">
        <v>2.369</v>
      </c>
      <c r="K31" s="37">
        <f t="shared" si="8"/>
        <v>0</v>
      </c>
      <c r="L31" s="37">
        <f t="shared" si="9"/>
        <v>2.369</v>
      </c>
      <c r="M31" s="37">
        <f t="shared" si="8"/>
        <v>0</v>
      </c>
      <c r="N31" s="58"/>
      <c r="O31" s="58">
        <v>1.594</v>
      </c>
      <c r="P31" s="36">
        <f t="shared" si="10"/>
        <v>0</v>
      </c>
      <c r="Q31" s="36">
        <f t="shared" si="11"/>
        <v>1.594</v>
      </c>
      <c r="R31" s="36">
        <f t="shared" si="10"/>
        <v>0</v>
      </c>
    </row>
    <row r="32" spans="1:18" ht="12.75">
      <c r="A32" s="31"/>
      <c r="B32" s="31" t="s">
        <v>125</v>
      </c>
      <c r="C32" s="33">
        <v>0</v>
      </c>
      <c r="D32" s="58" t="s">
        <v>161</v>
      </c>
      <c r="E32" s="58">
        <v>8.321</v>
      </c>
      <c r="F32" s="36">
        <f t="shared" si="6"/>
        <v>0</v>
      </c>
      <c r="G32" s="36">
        <f t="shared" si="7"/>
        <v>4.1605</v>
      </c>
      <c r="H32" s="36">
        <f t="shared" si="6"/>
        <v>0</v>
      </c>
      <c r="I32" s="58" t="s">
        <v>161</v>
      </c>
      <c r="J32" s="58">
        <v>12.501</v>
      </c>
      <c r="K32" s="37">
        <f t="shared" si="8"/>
        <v>0</v>
      </c>
      <c r="L32" s="37">
        <f t="shared" si="9"/>
        <v>6.2505</v>
      </c>
      <c r="M32" s="37">
        <f t="shared" si="8"/>
        <v>0</v>
      </c>
      <c r="N32" s="58" t="s">
        <v>161</v>
      </c>
      <c r="O32" s="58">
        <v>8.422</v>
      </c>
      <c r="P32" s="36">
        <f t="shared" si="10"/>
        <v>0</v>
      </c>
      <c r="Q32" s="36">
        <f t="shared" si="11"/>
        <v>4.211</v>
      </c>
      <c r="R32" s="36">
        <f t="shared" si="10"/>
        <v>0</v>
      </c>
    </row>
    <row r="33" spans="1:18" ht="12.75">
      <c r="A33" s="31"/>
      <c r="B33" s="31" t="s">
        <v>126</v>
      </c>
      <c r="C33" s="33">
        <v>0</v>
      </c>
      <c r="D33" s="58"/>
      <c r="E33" s="58">
        <v>7.083</v>
      </c>
      <c r="F33" s="36">
        <f t="shared" si="6"/>
        <v>0</v>
      </c>
      <c r="G33" s="36">
        <f t="shared" si="7"/>
        <v>7.083</v>
      </c>
      <c r="H33" s="36">
        <f t="shared" si="6"/>
        <v>0</v>
      </c>
      <c r="I33" s="58"/>
      <c r="J33" s="58">
        <v>9.143</v>
      </c>
      <c r="K33" s="37">
        <f t="shared" si="8"/>
        <v>0</v>
      </c>
      <c r="L33" s="37">
        <f t="shared" si="9"/>
        <v>9.143</v>
      </c>
      <c r="M33" s="37">
        <f t="shared" si="8"/>
        <v>0</v>
      </c>
      <c r="N33" s="58"/>
      <c r="O33" s="58">
        <v>6.84</v>
      </c>
      <c r="P33" s="36">
        <f t="shared" si="10"/>
        <v>0</v>
      </c>
      <c r="Q33" s="36">
        <f t="shared" si="11"/>
        <v>6.84</v>
      </c>
      <c r="R33" s="36">
        <f t="shared" si="10"/>
        <v>0</v>
      </c>
    </row>
    <row r="34" spans="1:18" ht="12.75">
      <c r="A34" s="31"/>
      <c r="B34" s="31" t="s">
        <v>127</v>
      </c>
      <c r="C34" s="33">
        <v>0</v>
      </c>
      <c r="D34" s="58"/>
      <c r="E34" s="58">
        <v>5.907</v>
      </c>
      <c r="F34" s="36">
        <f t="shared" si="6"/>
        <v>0</v>
      </c>
      <c r="G34" s="36">
        <f t="shared" si="7"/>
        <v>5.907</v>
      </c>
      <c r="H34" s="36">
        <f t="shared" si="6"/>
        <v>0</v>
      </c>
      <c r="I34" s="58"/>
      <c r="J34" s="58">
        <v>6.733</v>
      </c>
      <c r="K34" s="37">
        <f t="shared" si="8"/>
        <v>0</v>
      </c>
      <c r="L34" s="37">
        <f t="shared" si="9"/>
        <v>6.733</v>
      </c>
      <c r="M34" s="37">
        <f t="shared" si="8"/>
        <v>0</v>
      </c>
      <c r="N34" s="58"/>
      <c r="O34" s="58">
        <v>5.47</v>
      </c>
      <c r="P34" s="36">
        <f t="shared" si="10"/>
        <v>0</v>
      </c>
      <c r="Q34" s="36">
        <f t="shared" si="11"/>
        <v>5.47</v>
      </c>
      <c r="R34" s="36">
        <f t="shared" si="10"/>
        <v>0</v>
      </c>
    </row>
    <row r="35" spans="1:18" ht="12.75">
      <c r="A35" s="31"/>
      <c r="B35" s="31" t="s">
        <v>128</v>
      </c>
      <c r="C35" s="33">
        <v>0</v>
      </c>
      <c r="D35" s="58"/>
      <c r="E35" s="58">
        <v>4.157</v>
      </c>
      <c r="F35" s="36">
        <f t="shared" si="6"/>
        <v>0</v>
      </c>
      <c r="G35" s="36">
        <f t="shared" si="7"/>
        <v>4.157</v>
      </c>
      <c r="H35" s="36">
        <f t="shared" si="6"/>
        <v>0</v>
      </c>
      <c r="I35" s="58"/>
      <c r="J35" s="58">
        <v>3.993</v>
      </c>
      <c r="K35" s="37">
        <f t="shared" si="8"/>
        <v>0</v>
      </c>
      <c r="L35" s="37">
        <f t="shared" si="9"/>
        <v>3.993</v>
      </c>
      <c r="M35" s="37">
        <f t="shared" si="8"/>
        <v>0</v>
      </c>
      <c r="N35" s="58"/>
      <c r="O35" s="58">
        <v>3.318</v>
      </c>
      <c r="P35" s="36">
        <f t="shared" si="10"/>
        <v>0</v>
      </c>
      <c r="Q35" s="36">
        <f t="shared" si="11"/>
        <v>3.318</v>
      </c>
      <c r="R35" s="36">
        <f t="shared" si="10"/>
        <v>0</v>
      </c>
    </row>
    <row r="36" spans="1:18" ht="12.75">
      <c r="A36" s="31"/>
      <c r="B36" s="31"/>
      <c r="C36" s="31"/>
      <c r="D36" s="31"/>
      <c r="E36" s="37"/>
      <c r="F36" s="39"/>
      <c r="G36" s="37"/>
      <c r="H36" s="39"/>
      <c r="I36" s="37"/>
      <c r="J36" s="31"/>
      <c r="K36" s="34"/>
      <c r="L36" s="34"/>
      <c r="M36" s="34"/>
      <c r="N36" s="37"/>
      <c r="O36" s="31"/>
      <c r="P36" s="38"/>
      <c r="Q36" s="37"/>
      <c r="R36" s="38"/>
    </row>
    <row r="37" spans="1:18" ht="12.75">
      <c r="A37" s="31"/>
      <c r="B37" s="31" t="s">
        <v>44</v>
      </c>
      <c r="C37" s="31"/>
      <c r="D37" s="31"/>
      <c r="E37" s="37"/>
      <c r="F37" s="37">
        <v>112.2</v>
      </c>
      <c r="G37" s="37">
        <v>112.2</v>
      </c>
      <c r="H37" s="37">
        <v>112.2</v>
      </c>
      <c r="I37" s="37"/>
      <c r="J37" s="37"/>
      <c r="K37" s="37">
        <v>115.634</v>
      </c>
      <c r="L37" s="37">
        <v>115.634</v>
      </c>
      <c r="M37" s="37">
        <v>115.634</v>
      </c>
      <c r="N37" s="37"/>
      <c r="O37" s="37"/>
      <c r="P37" s="37">
        <v>114.216</v>
      </c>
      <c r="Q37" s="37">
        <v>114.216</v>
      </c>
      <c r="R37" s="37">
        <v>114.216</v>
      </c>
    </row>
    <row r="38" spans="1:18" ht="12.75">
      <c r="A38" s="31"/>
      <c r="B38" s="31" t="s">
        <v>66</v>
      </c>
      <c r="C38" s="31"/>
      <c r="D38" s="31"/>
      <c r="E38" s="37"/>
      <c r="F38" s="37">
        <v>8.2</v>
      </c>
      <c r="G38" s="37">
        <v>8.2</v>
      </c>
      <c r="H38" s="37">
        <v>8.2</v>
      </c>
      <c r="I38" s="37"/>
      <c r="J38" s="37"/>
      <c r="K38" s="34">
        <v>8.4</v>
      </c>
      <c r="L38" s="34">
        <v>8.4</v>
      </c>
      <c r="M38" s="34">
        <v>8.4</v>
      </c>
      <c r="N38" s="37"/>
      <c r="O38" s="37"/>
      <c r="P38" s="37">
        <v>8.6</v>
      </c>
      <c r="Q38" s="37">
        <v>8.6</v>
      </c>
      <c r="R38" s="37">
        <v>8.6</v>
      </c>
    </row>
    <row r="39" spans="1:18" ht="12.75">
      <c r="A39" s="31"/>
      <c r="B39" s="31"/>
      <c r="C39" s="31"/>
      <c r="D39" s="31"/>
      <c r="E39" s="37"/>
      <c r="F39" s="31"/>
      <c r="G39" s="37"/>
      <c r="H39" s="31"/>
      <c r="I39" s="31"/>
      <c r="J39" s="37"/>
      <c r="K39" s="34"/>
      <c r="L39" s="34"/>
      <c r="M39" s="34"/>
      <c r="N39" s="37"/>
      <c r="O39" s="37"/>
      <c r="P39" s="37"/>
      <c r="Q39" s="37"/>
      <c r="R39" s="37"/>
    </row>
    <row r="40" spans="1:18" ht="12.75">
      <c r="A40" s="31"/>
      <c r="B40" s="31" t="s">
        <v>129</v>
      </c>
      <c r="C40" s="39"/>
      <c r="D40" s="39"/>
      <c r="E40" s="34"/>
      <c r="F40" s="37">
        <f>SUM(F11:F27)</f>
        <v>0.822198</v>
      </c>
      <c r="G40" s="34">
        <f>SUM(G27,G35,G34,G33,G32,G17,G31,G30,G29,G28)</f>
        <v>32.172000000000004</v>
      </c>
      <c r="H40" s="37">
        <f>SUM(H11:H27)</f>
        <v>0.750648</v>
      </c>
      <c r="I40" s="39"/>
      <c r="J40" s="34"/>
      <c r="K40" s="36">
        <f>SUM(K11:K27)</f>
        <v>0.952207</v>
      </c>
      <c r="L40" s="34">
        <f>SUM(L27,L35,L34,L33,L32,L17,L31,L30,L29,L28)</f>
        <v>37.974999999999994</v>
      </c>
      <c r="M40" s="36">
        <f>SUM(M11:M27)</f>
        <v>0.8706570000000001</v>
      </c>
      <c r="N40" s="39"/>
      <c r="O40" s="37"/>
      <c r="P40" s="37">
        <f>SUM(P11:P27)</f>
        <v>0.7188730000000001</v>
      </c>
      <c r="Q40" s="34">
        <f>SUM(Q27,Q35,Q34,Q33,Q32,Q17,Q31,Q30,Q29,Q28)</f>
        <v>28.0225</v>
      </c>
      <c r="R40" s="37">
        <f>SUM(R11:R27)</f>
        <v>0.6631229999999999</v>
      </c>
    </row>
    <row r="41" spans="1:18" ht="12.75">
      <c r="A41" s="31"/>
      <c r="B41" s="31" t="s">
        <v>45</v>
      </c>
      <c r="C41" s="39"/>
      <c r="D41" s="34">
        <f>(F41-H41)*2/F41*100</f>
        <v>17.4045667831836</v>
      </c>
      <c r="E41" s="37"/>
      <c r="F41" s="37">
        <f>(F40/F37/0.0283*(21-7)/(21-F38))</f>
        <v>0.28321430764724775</v>
      </c>
      <c r="G41" s="37">
        <f>(G40/G37/0.0283*(21-7)/(21-G38))</f>
        <v>11.081966516127814</v>
      </c>
      <c r="H41" s="37">
        <f>(H40/H37/0.0283*(21-7)/(21-H38))</f>
        <v>0.2585681959902496</v>
      </c>
      <c r="I41" s="34">
        <f>(K41-M41)*2/K41*100</f>
        <v>17.128628544003526</v>
      </c>
      <c r="J41" s="37"/>
      <c r="K41" s="37">
        <f>K40/K37/0.0283*(21-7)/(21-K38)</f>
        <v>0.32330831627149226</v>
      </c>
      <c r="L41" s="37">
        <f>(L40/L37/0.0283*(21-7)/(21-L38))</f>
        <v>12.893870041293455</v>
      </c>
      <c r="M41" s="37">
        <f>M40/M37/0.0283*(21-7)/(21-M38)</f>
        <v>0.29561917599848425</v>
      </c>
      <c r="N41" s="34">
        <f>(P41-R41)*2/P41*100</f>
        <v>15.510389178617162</v>
      </c>
      <c r="O41" s="37"/>
      <c r="P41" s="37">
        <f>P40/P37/0.0283*(21-7)/(21-P38)</f>
        <v>0.25109909116828455</v>
      </c>
      <c r="Q41" s="37">
        <f>(Q40/Q37/0.0283*(21-7)/(21-Q38))</f>
        <v>9.78813264966587</v>
      </c>
      <c r="R41" s="37">
        <f>R40/R37/0.0283*(21-7)/(21-R38)</f>
        <v>0.23162586803619872</v>
      </c>
    </row>
    <row r="42" spans="1:18" ht="12.75">
      <c r="A42" s="31"/>
      <c r="B42" s="31"/>
      <c r="C42" s="31"/>
      <c r="D42" s="34"/>
      <c r="E42" s="36"/>
      <c r="F42" s="39"/>
      <c r="G42" s="36"/>
      <c r="H42" s="39"/>
      <c r="I42" s="36"/>
      <c r="J42" s="36"/>
      <c r="K42" s="36"/>
      <c r="L42" s="36"/>
      <c r="M42" s="36"/>
      <c r="N42" s="36"/>
      <c r="O42" s="36"/>
      <c r="P42" s="38"/>
      <c r="Q42" s="36"/>
      <c r="R42" s="38"/>
    </row>
    <row r="43" spans="1:18" ht="12.75">
      <c r="A43" s="37"/>
      <c r="B43" s="31" t="s">
        <v>67</v>
      </c>
      <c r="C43" s="37">
        <f>AVERAGE(H41,M41,R41)</f>
        <v>0.2619377466749775</v>
      </c>
      <c r="D43" s="37"/>
      <c r="E43" s="37"/>
      <c r="F43" s="39"/>
      <c r="G43" s="37"/>
      <c r="H43" s="39"/>
      <c r="I43" s="37"/>
      <c r="J43" s="37"/>
      <c r="K43" s="37"/>
      <c r="L43" s="37"/>
      <c r="M43" s="37"/>
      <c r="N43" s="37"/>
      <c r="O43" s="37"/>
      <c r="P43" s="38"/>
      <c r="Q43" s="37"/>
      <c r="R43" s="38"/>
    </row>
    <row r="44" spans="1:18" ht="12.75">
      <c r="A44" s="31"/>
      <c r="B44" s="31" t="s">
        <v>68</v>
      </c>
      <c r="C44" s="37">
        <f>AVERAGE(G41,L41,Q41)</f>
        <v>11.254656402362379</v>
      </c>
      <c r="D44" s="31"/>
      <c r="E44" s="38"/>
      <c r="F44" s="39"/>
      <c r="G44" s="38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2" sqref="C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8515625" style="0" customWidth="1"/>
    <col min="4" max="4" width="5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6.28125" style="0" customWidth="1"/>
    <col min="16" max="16" width="9.00390625" style="0" customWidth="1"/>
    <col min="18" max="18" width="9.00390625" style="0" customWidth="1"/>
  </cols>
  <sheetData>
    <row r="1" spans="1:18" ht="12.75">
      <c r="A1" s="44" t="s">
        <v>80</v>
      </c>
      <c r="B1" s="31"/>
      <c r="C1" s="31"/>
      <c r="D1" s="31"/>
      <c r="E1" s="38"/>
      <c r="F1" s="39"/>
      <c r="G1" s="38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>
      <c r="A2" s="31" t="s">
        <v>358</v>
      </c>
      <c r="B2" s="31"/>
      <c r="C2" s="31"/>
      <c r="D2" s="31"/>
      <c r="E2" s="38"/>
      <c r="F2" s="39"/>
      <c r="G2" s="38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1" t="s">
        <v>19</v>
      </c>
      <c r="B3" s="31"/>
      <c r="C3" s="12" t="s">
        <v>353</v>
      </c>
      <c r="D3" s="12"/>
      <c r="E3" s="38"/>
      <c r="F3" s="39"/>
      <c r="G3" s="38"/>
      <c r="H3" s="39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31" t="s">
        <v>20</v>
      </c>
      <c r="B4" s="31"/>
      <c r="C4" s="12" t="s">
        <v>196</v>
      </c>
      <c r="D4" s="12"/>
      <c r="E4" s="40"/>
      <c r="F4" s="41"/>
      <c r="G4" s="40"/>
      <c r="H4" s="41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>
      <c r="A5" s="31" t="s">
        <v>21</v>
      </c>
      <c r="B5" s="31"/>
      <c r="C5" s="16"/>
      <c r="D5" s="16"/>
      <c r="E5" s="16"/>
      <c r="F5" s="16"/>
      <c r="G5" s="16"/>
      <c r="H5" s="16"/>
      <c r="I5" s="16"/>
      <c r="J5" s="16"/>
      <c r="K5" s="38"/>
      <c r="L5" s="16"/>
      <c r="M5" s="38"/>
      <c r="N5" s="38"/>
      <c r="O5" s="38"/>
      <c r="P5" s="38"/>
      <c r="Q5" s="38"/>
      <c r="R5" s="38"/>
    </row>
    <row r="6" spans="1:18" ht="12.75">
      <c r="A6" s="31"/>
      <c r="B6" s="31"/>
      <c r="C6" s="33"/>
      <c r="D6" s="33"/>
      <c r="E6" s="42"/>
      <c r="F6" s="39"/>
      <c r="G6" s="42"/>
      <c r="H6" s="39"/>
      <c r="I6" s="38"/>
      <c r="J6" s="42"/>
      <c r="K6" s="38"/>
      <c r="L6" s="42"/>
      <c r="M6" s="38"/>
      <c r="N6" s="38"/>
      <c r="O6" s="42"/>
      <c r="P6" s="38"/>
      <c r="Q6" s="42"/>
      <c r="R6" s="38"/>
    </row>
    <row r="7" spans="1:18" ht="12.75">
      <c r="A7" s="31"/>
      <c r="B7" s="31"/>
      <c r="C7" s="33" t="s">
        <v>22</v>
      </c>
      <c r="D7" s="33"/>
      <c r="E7" s="43" t="s">
        <v>56</v>
      </c>
      <c r="F7" s="43"/>
      <c r="G7" s="43"/>
      <c r="H7" s="43"/>
      <c r="I7" s="15"/>
      <c r="J7" s="43" t="s">
        <v>57</v>
      </c>
      <c r="K7" s="43"/>
      <c r="L7" s="43"/>
      <c r="M7" s="43"/>
      <c r="N7" s="15"/>
      <c r="O7" s="43" t="s">
        <v>58</v>
      </c>
      <c r="P7" s="43"/>
      <c r="Q7" s="43"/>
      <c r="R7" s="43"/>
    </row>
    <row r="8" spans="1:18" ht="12.75">
      <c r="A8" s="31"/>
      <c r="B8" s="31"/>
      <c r="C8" s="33" t="s">
        <v>23</v>
      </c>
      <c r="D8" s="31"/>
      <c r="E8" s="42" t="s">
        <v>24</v>
      </c>
      <c r="F8" s="41" t="s">
        <v>25</v>
      </c>
      <c r="G8" s="42" t="s">
        <v>24</v>
      </c>
      <c r="H8" s="41" t="s">
        <v>25</v>
      </c>
      <c r="I8" s="38"/>
      <c r="J8" s="42" t="s">
        <v>24</v>
      </c>
      <c r="K8" s="42" t="s">
        <v>26</v>
      </c>
      <c r="L8" s="42" t="s">
        <v>24</v>
      </c>
      <c r="M8" s="42" t="s">
        <v>26</v>
      </c>
      <c r="N8" s="38"/>
      <c r="O8" s="42" t="s">
        <v>24</v>
      </c>
      <c r="P8" s="42" t="s">
        <v>26</v>
      </c>
      <c r="Q8" s="42" t="s">
        <v>24</v>
      </c>
      <c r="R8" s="42" t="s">
        <v>26</v>
      </c>
    </row>
    <row r="9" spans="1:18" ht="12.75">
      <c r="A9" s="31"/>
      <c r="B9" s="31"/>
      <c r="C9" s="33"/>
      <c r="D9" s="31"/>
      <c r="E9" s="42" t="s">
        <v>242</v>
      </c>
      <c r="F9" s="42" t="s">
        <v>242</v>
      </c>
      <c r="G9" s="42" t="s">
        <v>79</v>
      </c>
      <c r="H9" s="41" t="s">
        <v>79</v>
      </c>
      <c r="I9" s="38"/>
      <c r="J9" s="42" t="s">
        <v>242</v>
      </c>
      <c r="K9" s="42" t="s">
        <v>242</v>
      </c>
      <c r="L9" s="42" t="s">
        <v>79</v>
      </c>
      <c r="M9" s="41" t="s">
        <v>79</v>
      </c>
      <c r="N9" s="38"/>
      <c r="O9" s="42" t="s">
        <v>242</v>
      </c>
      <c r="P9" s="42" t="s">
        <v>242</v>
      </c>
      <c r="Q9" s="42" t="s">
        <v>79</v>
      </c>
      <c r="R9" s="41" t="s">
        <v>79</v>
      </c>
    </row>
    <row r="10" spans="1:18" ht="12.75">
      <c r="A10" s="31" t="s">
        <v>130</v>
      </c>
      <c r="B10" s="31"/>
      <c r="C10" s="31"/>
      <c r="D10" s="31"/>
      <c r="E10" s="38"/>
      <c r="F10" s="39"/>
      <c r="G10" s="38"/>
      <c r="H10" s="39"/>
      <c r="I10" s="38"/>
      <c r="J10" s="38"/>
      <c r="K10" s="38"/>
      <c r="L10" s="38"/>
      <c r="M10" s="38"/>
      <c r="N10" s="38"/>
      <c r="O10" s="34"/>
      <c r="P10" s="38"/>
      <c r="Q10" s="38"/>
      <c r="R10" s="38"/>
    </row>
    <row r="11" spans="1:18" ht="12.75">
      <c r="A11" s="31"/>
      <c r="B11" s="31" t="s">
        <v>27</v>
      </c>
      <c r="C11" s="33">
        <v>1</v>
      </c>
      <c r="D11" s="58"/>
      <c r="E11" s="81">
        <v>0.02</v>
      </c>
      <c r="F11" s="37">
        <f aca="true" t="shared" si="0" ref="F11:H35">IF(E11="","",E11*$C11)</f>
        <v>0.02</v>
      </c>
      <c r="G11" s="37">
        <f aca="true" t="shared" si="1" ref="G11:G35">IF(E11=0,"",IF(D11="nd",E11/2,E11))</f>
        <v>0.02</v>
      </c>
      <c r="H11" s="37">
        <f t="shared" si="0"/>
        <v>0.02</v>
      </c>
      <c r="I11" s="58"/>
      <c r="J11" s="81">
        <v>0.08</v>
      </c>
      <c r="K11" s="37">
        <f aca="true" t="shared" si="2" ref="K11:M35">IF(J11="","",J11*$C11)</f>
        <v>0.08</v>
      </c>
      <c r="L11" s="37">
        <f aca="true" t="shared" si="3" ref="L11:L35">IF(J11=0,"",IF(I11="nd",J11/2,J11))</f>
        <v>0.08</v>
      </c>
      <c r="M11" s="37">
        <f t="shared" si="2"/>
        <v>0.08</v>
      </c>
      <c r="N11" s="58"/>
      <c r="O11" s="81">
        <v>0.04</v>
      </c>
      <c r="P11" s="36">
        <f aca="true" t="shared" si="4" ref="P11:R35">IF(O11="","",O11*$C11)</f>
        <v>0.04</v>
      </c>
      <c r="Q11" s="36">
        <f aca="true" t="shared" si="5" ref="Q11:Q35">IF(O11=0,"",IF(N11="nd",O11/2,O11))</f>
        <v>0.04</v>
      </c>
      <c r="R11" s="36">
        <f t="shared" si="4"/>
        <v>0.04</v>
      </c>
    </row>
    <row r="12" spans="1:18" ht="12.75">
      <c r="A12" s="31"/>
      <c r="B12" s="31" t="s">
        <v>28</v>
      </c>
      <c r="C12" s="33">
        <v>0.5</v>
      </c>
      <c r="D12" s="58"/>
      <c r="E12" s="81">
        <v>0.38</v>
      </c>
      <c r="F12" s="37">
        <f t="shared" si="0"/>
        <v>0.19</v>
      </c>
      <c r="G12" s="37">
        <f t="shared" si="1"/>
        <v>0.38</v>
      </c>
      <c r="H12" s="37">
        <f t="shared" si="0"/>
        <v>0.19</v>
      </c>
      <c r="I12" s="58"/>
      <c r="J12" s="81">
        <v>0.48</v>
      </c>
      <c r="K12" s="37">
        <f t="shared" si="2"/>
        <v>0.24</v>
      </c>
      <c r="L12" s="37">
        <f t="shared" si="3"/>
        <v>0.48</v>
      </c>
      <c r="M12" s="37">
        <f t="shared" si="2"/>
        <v>0.24</v>
      </c>
      <c r="N12" s="58"/>
      <c r="O12" s="81">
        <v>0.22</v>
      </c>
      <c r="P12" s="36">
        <f t="shared" si="4"/>
        <v>0.11</v>
      </c>
      <c r="Q12" s="36">
        <f t="shared" si="5"/>
        <v>0.22</v>
      </c>
      <c r="R12" s="36">
        <f t="shared" si="4"/>
        <v>0.11</v>
      </c>
    </row>
    <row r="13" spans="1:18" ht="12.75">
      <c r="A13" s="31"/>
      <c r="B13" s="31" t="s">
        <v>29</v>
      </c>
      <c r="C13" s="33">
        <v>0.1</v>
      </c>
      <c r="D13" s="58"/>
      <c r="E13" s="81">
        <v>0.49</v>
      </c>
      <c r="F13" s="37">
        <f t="shared" si="0"/>
        <v>0.049</v>
      </c>
      <c r="G13" s="37">
        <f t="shared" si="1"/>
        <v>0.49</v>
      </c>
      <c r="H13" s="37">
        <f t="shared" si="0"/>
        <v>0.049</v>
      </c>
      <c r="I13" s="58"/>
      <c r="J13" s="81">
        <v>0.7</v>
      </c>
      <c r="K13" s="37">
        <f t="shared" si="2"/>
        <v>0.06999999999999999</v>
      </c>
      <c r="L13" s="37">
        <f t="shared" si="3"/>
        <v>0.7</v>
      </c>
      <c r="M13" s="37">
        <f t="shared" si="2"/>
        <v>0.06999999999999999</v>
      </c>
      <c r="N13" s="58"/>
      <c r="O13" s="81">
        <v>0.29</v>
      </c>
      <c r="P13" s="36">
        <f t="shared" si="4"/>
        <v>0.028999999999999998</v>
      </c>
      <c r="Q13" s="36">
        <f t="shared" si="5"/>
        <v>0.29</v>
      </c>
      <c r="R13" s="36">
        <f t="shared" si="4"/>
        <v>0.028999999999999998</v>
      </c>
    </row>
    <row r="14" spans="1:18" ht="12.75">
      <c r="A14" s="31"/>
      <c r="B14" s="31" t="s">
        <v>30</v>
      </c>
      <c r="C14" s="33">
        <v>0.1</v>
      </c>
      <c r="D14" s="58"/>
      <c r="E14" s="81">
        <v>1.1</v>
      </c>
      <c r="F14" s="37">
        <f t="shared" si="0"/>
        <v>0.11000000000000001</v>
      </c>
      <c r="G14" s="37">
        <f t="shared" si="1"/>
        <v>1.1</v>
      </c>
      <c r="H14" s="37">
        <f t="shared" si="0"/>
        <v>0.11000000000000001</v>
      </c>
      <c r="I14" s="58"/>
      <c r="J14" s="81">
        <v>1.4</v>
      </c>
      <c r="K14" s="37">
        <f t="shared" si="2"/>
        <v>0.13999999999999999</v>
      </c>
      <c r="L14" s="37">
        <f t="shared" si="3"/>
        <v>1.4</v>
      </c>
      <c r="M14" s="37">
        <f t="shared" si="2"/>
        <v>0.13999999999999999</v>
      </c>
      <c r="N14" s="58"/>
      <c r="O14" s="81">
        <v>0.65</v>
      </c>
      <c r="P14" s="36">
        <f t="shared" si="4"/>
        <v>0.065</v>
      </c>
      <c r="Q14" s="36">
        <f t="shared" si="5"/>
        <v>0.65</v>
      </c>
      <c r="R14" s="36">
        <f t="shared" si="4"/>
        <v>0.065</v>
      </c>
    </row>
    <row r="15" spans="1:18" ht="12.75">
      <c r="A15" s="31"/>
      <c r="B15" s="31" t="s">
        <v>31</v>
      </c>
      <c r="C15" s="33">
        <v>0.1</v>
      </c>
      <c r="D15" s="58"/>
      <c r="E15" s="81">
        <v>1.1</v>
      </c>
      <c r="F15" s="37">
        <f t="shared" si="0"/>
        <v>0.11000000000000001</v>
      </c>
      <c r="G15" s="37">
        <f t="shared" si="1"/>
        <v>1.1</v>
      </c>
      <c r="H15" s="37">
        <f t="shared" si="0"/>
        <v>0.11000000000000001</v>
      </c>
      <c r="I15" s="58"/>
      <c r="J15" s="81">
        <v>1.5</v>
      </c>
      <c r="K15" s="37">
        <f t="shared" si="2"/>
        <v>0.15000000000000002</v>
      </c>
      <c r="L15" s="37">
        <f t="shared" si="3"/>
        <v>1.5</v>
      </c>
      <c r="M15" s="37">
        <f t="shared" si="2"/>
        <v>0.15000000000000002</v>
      </c>
      <c r="N15" s="58"/>
      <c r="O15" s="81">
        <v>0.62</v>
      </c>
      <c r="P15" s="36">
        <f t="shared" si="4"/>
        <v>0.062</v>
      </c>
      <c r="Q15" s="36">
        <f t="shared" si="5"/>
        <v>0.62</v>
      </c>
      <c r="R15" s="36">
        <f t="shared" si="4"/>
        <v>0.062</v>
      </c>
    </row>
    <row r="16" spans="1:18" ht="12.75">
      <c r="A16" s="31"/>
      <c r="B16" s="31" t="s">
        <v>32</v>
      </c>
      <c r="C16" s="33">
        <v>0.01</v>
      </c>
      <c r="D16" s="58"/>
      <c r="E16" s="81">
        <v>5.1</v>
      </c>
      <c r="F16" s="37">
        <f t="shared" si="0"/>
        <v>0.051</v>
      </c>
      <c r="G16" s="37">
        <f t="shared" si="1"/>
        <v>5.1</v>
      </c>
      <c r="H16" s="37">
        <f t="shared" si="0"/>
        <v>0.051</v>
      </c>
      <c r="I16" s="58"/>
      <c r="J16" s="81">
        <v>7.2</v>
      </c>
      <c r="K16" s="37">
        <f t="shared" si="2"/>
        <v>0.07200000000000001</v>
      </c>
      <c r="L16" s="37">
        <f t="shared" si="3"/>
        <v>7.2</v>
      </c>
      <c r="M16" s="37">
        <f t="shared" si="2"/>
        <v>0.07200000000000001</v>
      </c>
      <c r="N16" s="58"/>
      <c r="O16" s="81">
        <v>3.3</v>
      </c>
      <c r="P16" s="36">
        <f t="shared" si="4"/>
        <v>0.033</v>
      </c>
      <c r="Q16" s="36">
        <f t="shared" si="5"/>
        <v>3.3</v>
      </c>
      <c r="R16" s="36">
        <f t="shared" si="4"/>
        <v>0.033</v>
      </c>
    </row>
    <row r="17" spans="1:18" ht="12.75">
      <c r="A17" s="31"/>
      <c r="B17" s="31" t="s">
        <v>33</v>
      </c>
      <c r="C17" s="33">
        <v>0.001</v>
      </c>
      <c r="D17" s="58"/>
      <c r="E17" s="81">
        <v>4.7</v>
      </c>
      <c r="F17" s="37">
        <f t="shared" si="0"/>
        <v>0.0047</v>
      </c>
      <c r="G17" s="37">
        <f t="shared" si="1"/>
        <v>4.7</v>
      </c>
      <c r="H17" s="37">
        <f t="shared" si="0"/>
        <v>0.0047</v>
      </c>
      <c r="I17" s="58"/>
      <c r="J17" s="81">
        <v>6.7</v>
      </c>
      <c r="K17" s="37">
        <f t="shared" si="2"/>
        <v>0.0067</v>
      </c>
      <c r="L17" s="37">
        <f t="shared" si="3"/>
        <v>6.7</v>
      </c>
      <c r="M17" s="37">
        <f t="shared" si="2"/>
        <v>0.0067</v>
      </c>
      <c r="N17" s="58"/>
      <c r="O17" s="81">
        <v>3.4</v>
      </c>
      <c r="P17" s="36">
        <f t="shared" si="4"/>
        <v>0.0034</v>
      </c>
      <c r="Q17" s="36">
        <f t="shared" si="5"/>
        <v>3.4</v>
      </c>
      <c r="R17" s="36">
        <f t="shared" si="4"/>
        <v>0.0034</v>
      </c>
    </row>
    <row r="18" spans="1:18" ht="12.75">
      <c r="A18" s="31"/>
      <c r="B18" s="31" t="s">
        <v>34</v>
      </c>
      <c r="C18" s="33">
        <v>0.1</v>
      </c>
      <c r="D18" s="58"/>
      <c r="E18" s="81">
        <v>0.43</v>
      </c>
      <c r="F18" s="37">
        <f t="shared" si="0"/>
        <v>0.043000000000000003</v>
      </c>
      <c r="G18" s="37">
        <f t="shared" si="1"/>
        <v>0.43</v>
      </c>
      <c r="H18" s="37">
        <f t="shared" si="0"/>
        <v>0.043000000000000003</v>
      </c>
      <c r="I18" s="58"/>
      <c r="J18" s="81">
        <v>0.52</v>
      </c>
      <c r="K18" s="37">
        <f t="shared" si="2"/>
        <v>0.052000000000000005</v>
      </c>
      <c r="L18" s="37">
        <f t="shared" si="3"/>
        <v>0.52</v>
      </c>
      <c r="M18" s="37">
        <f t="shared" si="2"/>
        <v>0.052000000000000005</v>
      </c>
      <c r="N18" s="58"/>
      <c r="O18" s="81">
        <v>0.36</v>
      </c>
      <c r="P18" s="36">
        <f t="shared" si="4"/>
        <v>0.036</v>
      </c>
      <c r="Q18" s="36">
        <f t="shared" si="5"/>
        <v>0.36</v>
      </c>
      <c r="R18" s="36">
        <f t="shared" si="4"/>
        <v>0.036</v>
      </c>
    </row>
    <row r="19" spans="1:18" ht="12.75">
      <c r="A19" s="31"/>
      <c r="B19" s="31" t="s">
        <v>35</v>
      </c>
      <c r="C19" s="33">
        <v>0.05</v>
      </c>
      <c r="D19" s="58"/>
      <c r="E19" s="81">
        <v>0.61</v>
      </c>
      <c r="F19" s="36">
        <f t="shared" si="0"/>
        <v>0.0305</v>
      </c>
      <c r="G19" s="36">
        <f t="shared" si="1"/>
        <v>0.61</v>
      </c>
      <c r="H19" s="36">
        <f t="shared" si="0"/>
        <v>0.0305</v>
      </c>
      <c r="I19" s="58"/>
      <c r="J19" s="81">
        <v>0.75</v>
      </c>
      <c r="K19" s="37">
        <f t="shared" si="2"/>
        <v>0.037500000000000006</v>
      </c>
      <c r="L19" s="37">
        <f t="shared" si="3"/>
        <v>0.75</v>
      </c>
      <c r="M19" s="37">
        <f t="shared" si="2"/>
        <v>0.037500000000000006</v>
      </c>
      <c r="N19" s="58"/>
      <c r="O19" s="81">
        <v>0.41</v>
      </c>
      <c r="P19" s="36">
        <f t="shared" si="4"/>
        <v>0.0205</v>
      </c>
      <c r="Q19" s="36">
        <f t="shared" si="5"/>
        <v>0.41</v>
      </c>
      <c r="R19" s="36">
        <f t="shared" si="4"/>
        <v>0.0205</v>
      </c>
    </row>
    <row r="20" spans="1:18" ht="12.75">
      <c r="A20" s="31"/>
      <c r="B20" s="31" t="s">
        <v>36</v>
      </c>
      <c r="C20" s="33">
        <v>0.5</v>
      </c>
      <c r="D20" s="58"/>
      <c r="E20" s="81">
        <v>1.8</v>
      </c>
      <c r="F20" s="36">
        <f t="shared" si="0"/>
        <v>0.9</v>
      </c>
      <c r="G20" s="36">
        <f t="shared" si="1"/>
        <v>1.8</v>
      </c>
      <c r="H20" s="36">
        <f t="shared" si="0"/>
        <v>0.9</v>
      </c>
      <c r="I20" s="58"/>
      <c r="J20" s="81">
        <v>1.9</v>
      </c>
      <c r="K20" s="37">
        <f t="shared" si="2"/>
        <v>0.95</v>
      </c>
      <c r="L20" s="37">
        <f t="shared" si="3"/>
        <v>1.9</v>
      </c>
      <c r="M20" s="37">
        <f t="shared" si="2"/>
        <v>0.95</v>
      </c>
      <c r="N20" s="58"/>
      <c r="O20" s="81">
        <v>1.3</v>
      </c>
      <c r="P20" s="36">
        <f t="shared" si="4"/>
        <v>0.65</v>
      </c>
      <c r="Q20" s="36">
        <f t="shared" si="5"/>
        <v>1.3</v>
      </c>
      <c r="R20" s="36">
        <f t="shared" si="4"/>
        <v>0.65</v>
      </c>
    </row>
    <row r="21" spans="1:18" ht="12.75">
      <c r="A21" s="31"/>
      <c r="B21" s="31" t="s">
        <v>37</v>
      </c>
      <c r="C21" s="33">
        <v>0.1</v>
      </c>
      <c r="D21" s="58"/>
      <c r="E21" s="81">
        <v>2.8</v>
      </c>
      <c r="F21" s="36">
        <f t="shared" si="0"/>
        <v>0.27999999999999997</v>
      </c>
      <c r="G21" s="36">
        <f t="shared" si="1"/>
        <v>2.8</v>
      </c>
      <c r="H21" s="36">
        <f t="shared" si="0"/>
        <v>0.27999999999999997</v>
      </c>
      <c r="I21" s="58"/>
      <c r="J21" s="81">
        <v>3.3</v>
      </c>
      <c r="K21" s="37">
        <f t="shared" si="2"/>
        <v>0.33</v>
      </c>
      <c r="L21" s="37">
        <f t="shared" si="3"/>
        <v>3.3</v>
      </c>
      <c r="M21" s="37">
        <f t="shared" si="2"/>
        <v>0.33</v>
      </c>
      <c r="N21" s="58"/>
      <c r="O21" s="81">
        <v>2.2</v>
      </c>
      <c r="P21" s="36">
        <f t="shared" si="4"/>
        <v>0.22000000000000003</v>
      </c>
      <c r="Q21" s="36">
        <f t="shared" si="5"/>
        <v>2.2</v>
      </c>
      <c r="R21" s="36">
        <f t="shared" si="4"/>
        <v>0.22000000000000003</v>
      </c>
    </row>
    <row r="22" spans="1:18" ht="12.75">
      <c r="A22" s="31"/>
      <c r="B22" s="31" t="s">
        <v>38</v>
      </c>
      <c r="C22" s="33">
        <v>0.1</v>
      </c>
      <c r="D22" s="58"/>
      <c r="E22" s="81">
        <v>1.1</v>
      </c>
      <c r="F22" s="36">
        <f t="shared" si="0"/>
        <v>0.11000000000000001</v>
      </c>
      <c r="G22" s="36">
        <f t="shared" si="1"/>
        <v>1.1</v>
      </c>
      <c r="H22" s="36">
        <f t="shared" si="0"/>
        <v>0.11000000000000001</v>
      </c>
      <c r="I22" s="58"/>
      <c r="J22" s="81">
        <v>1.5</v>
      </c>
      <c r="K22" s="37">
        <f t="shared" si="2"/>
        <v>0.15000000000000002</v>
      </c>
      <c r="L22" s="37">
        <f t="shared" si="3"/>
        <v>1.5</v>
      </c>
      <c r="M22" s="37">
        <f t="shared" si="2"/>
        <v>0.15000000000000002</v>
      </c>
      <c r="N22" s="58"/>
      <c r="O22" s="81">
        <v>0.84</v>
      </c>
      <c r="P22" s="36">
        <f t="shared" si="4"/>
        <v>0.084</v>
      </c>
      <c r="Q22" s="36">
        <f t="shared" si="5"/>
        <v>0.84</v>
      </c>
      <c r="R22" s="36">
        <f t="shared" si="4"/>
        <v>0.084</v>
      </c>
    </row>
    <row r="23" spans="1:18" ht="12.75">
      <c r="A23" s="31"/>
      <c r="B23" s="31" t="s">
        <v>39</v>
      </c>
      <c r="C23" s="33">
        <v>0.1</v>
      </c>
      <c r="D23" s="58"/>
      <c r="E23" s="81">
        <v>2.2</v>
      </c>
      <c r="F23" s="36">
        <f t="shared" si="0"/>
        <v>0.22000000000000003</v>
      </c>
      <c r="G23" s="36">
        <f t="shared" si="1"/>
        <v>2.2</v>
      </c>
      <c r="H23" s="36">
        <f t="shared" si="0"/>
        <v>0.22000000000000003</v>
      </c>
      <c r="I23" s="58"/>
      <c r="J23" s="81">
        <v>2.8</v>
      </c>
      <c r="K23" s="37">
        <f t="shared" si="2"/>
        <v>0.27999999999999997</v>
      </c>
      <c r="L23" s="37">
        <f t="shared" si="3"/>
        <v>2.8</v>
      </c>
      <c r="M23" s="37">
        <f t="shared" si="2"/>
        <v>0.27999999999999997</v>
      </c>
      <c r="N23" s="58"/>
      <c r="O23" s="81">
        <v>2.1</v>
      </c>
      <c r="P23" s="36">
        <f t="shared" si="4"/>
        <v>0.21000000000000002</v>
      </c>
      <c r="Q23" s="36">
        <f t="shared" si="5"/>
        <v>2.1</v>
      </c>
      <c r="R23" s="36">
        <f t="shared" si="4"/>
        <v>0.21000000000000002</v>
      </c>
    </row>
    <row r="24" spans="1:18" ht="12.75">
      <c r="A24" s="31"/>
      <c r="B24" s="31" t="s">
        <v>40</v>
      </c>
      <c r="C24" s="33">
        <v>0.1</v>
      </c>
      <c r="D24" s="58"/>
      <c r="E24" s="81">
        <v>0.06</v>
      </c>
      <c r="F24" s="36">
        <f t="shared" si="0"/>
        <v>0.006</v>
      </c>
      <c r="G24" s="36">
        <f t="shared" si="1"/>
        <v>0.06</v>
      </c>
      <c r="H24" s="36">
        <f t="shared" si="0"/>
        <v>0.006</v>
      </c>
      <c r="I24" s="58"/>
      <c r="J24" s="81">
        <v>0.06</v>
      </c>
      <c r="K24" s="37">
        <f t="shared" si="2"/>
        <v>0.006</v>
      </c>
      <c r="L24" s="37">
        <f t="shared" si="3"/>
        <v>0.06</v>
      </c>
      <c r="M24" s="37">
        <f t="shared" si="2"/>
        <v>0.006</v>
      </c>
      <c r="N24" s="58"/>
      <c r="O24" s="81">
        <v>0.07</v>
      </c>
      <c r="P24" s="36">
        <f t="shared" si="4"/>
        <v>0.007000000000000001</v>
      </c>
      <c r="Q24" s="36">
        <f t="shared" si="5"/>
        <v>0.07</v>
      </c>
      <c r="R24" s="36">
        <f t="shared" si="4"/>
        <v>0.007000000000000001</v>
      </c>
    </row>
    <row r="25" spans="1:18" ht="12.75">
      <c r="A25" s="31"/>
      <c r="B25" s="31" t="s">
        <v>41</v>
      </c>
      <c r="C25" s="33">
        <v>0.01</v>
      </c>
      <c r="D25" s="58"/>
      <c r="E25" s="81">
        <v>3.5</v>
      </c>
      <c r="F25" s="36">
        <f t="shared" si="0"/>
        <v>0.035</v>
      </c>
      <c r="G25" s="36">
        <f t="shared" si="1"/>
        <v>3.5</v>
      </c>
      <c r="H25" s="36">
        <f t="shared" si="0"/>
        <v>0.035</v>
      </c>
      <c r="I25" s="58"/>
      <c r="J25" s="81">
        <v>4.5</v>
      </c>
      <c r="K25" s="37">
        <f t="shared" si="2"/>
        <v>0.045</v>
      </c>
      <c r="L25" s="37">
        <f t="shared" si="3"/>
        <v>4.5</v>
      </c>
      <c r="M25" s="37">
        <f t="shared" si="2"/>
        <v>0.045</v>
      </c>
      <c r="N25" s="58"/>
      <c r="O25" s="81">
        <v>3.1</v>
      </c>
      <c r="P25" s="36">
        <f t="shared" si="4"/>
        <v>0.031000000000000003</v>
      </c>
      <c r="Q25" s="36">
        <f t="shared" si="5"/>
        <v>3.1</v>
      </c>
      <c r="R25" s="36">
        <f t="shared" si="4"/>
        <v>0.031000000000000003</v>
      </c>
    </row>
    <row r="26" spans="1:18" ht="12.75">
      <c r="A26" s="31"/>
      <c r="B26" s="31" t="s">
        <v>42</v>
      </c>
      <c r="C26" s="33">
        <v>0.01</v>
      </c>
      <c r="D26" s="58"/>
      <c r="E26" s="81">
        <v>0.37</v>
      </c>
      <c r="F26" s="36">
        <f t="shared" si="0"/>
        <v>0.0037</v>
      </c>
      <c r="G26" s="36">
        <f t="shared" si="1"/>
        <v>0.37</v>
      </c>
      <c r="H26" s="36">
        <f t="shared" si="0"/>
        <v>0.0037</v>
      </c>
      <c r="I26" s="58"/>
      <c r="J26" s="81">
        <v>0.46</v>
      </c>
      <c r="K26" s="37">
        <f t="shared" si="2"/>
        <v>0.0046</v>
      </c>
      <c r="L26" s="37">
        <f t="shared" si="3"/>
        <v>0.46</v>
      </c>
      <c r="M26" s="37">
        <f t="shared" si="2"/>
        <v>0.0046</v>
      </c>
      <c r="N26" s="58"/>
      <c r="O26" s="81">
        <v>0.62</v>
      </c>
      <c r="P26" s="36">
        <f t="shared" si="4"/>
        <v>0.0062</v>
      </c>
      <c r="Q26" s="36">
        <f t="shared" si="5"/>
        <v>0.62</v>
      </c>
      <c r="R26" s="36">
        <f t="shared" si="4"/>
        <v>0.0062</v>
      </c>
    </row>
    <row r="27" spans="1:18" ht="12.75">
      <c r="A27" s="31"/>
      <c r="B27" s="31" t="s">
        <v>43</v>
      </c>
      <c r="C27" s="33">
        <v>0.001</v>
      </c>
      <c r="D27" s="58"/>
      <c r="E27" s="81">
        <v>2</v>
      </c>
      <c r="F27" s="36">
        <f t="shared" si="0"/>
        <v>0.002</v>
      </c>
      <c r="G27" s="36">
        <f t="shared" si="1"/>
        <v>2</v>
      </c>
      <c r="H27" s="36">
        <f t="shared" si="0"/>
        <v>0.002</v>
      </c>
      <c r="I27" s="58"/>
      <c r="J27" s="81">
        <v>1.9</v>
      </c>
      <c r="K27" s="37">
        <f t="shared" si="2"/>
        <v>0.0019</v>
      </c>
      <c r="L27" s="37">
        <f t="shared" si="3"/>
        <v>1.9</v>
      </c>
      <c r="M27" s="37">
        <f t="shared" si="2"/>
        <v>0.0019</v>
      </c>
      <c r="N27" s="58"/>
      <c r="O27" s="81">
        <v>2.9</v>
      </c>
      <c r="P27" s="36">
        <f t="shared" si="4"/>
        <v>0.0029</v>
      </c>
      <c r="Q27" s="36">
        <f t="shared" si="5"/>
        <v>2.9</v>
      </c>
      <c r="R27" s="36">
        <f t="shared" si="4"/>
        <v>0.0029</v>
      </c>
    </row>
    <row r="28" spans="1:18" ht="12.75">
      <c r="A28" s="31"/>
      <c r="B28" s="31" t="s">
        <v>121</v>
      </c>
      <c r="C28" s="33">
        <v>0</v>
      </c>
      <c r="D28" s="58"/>
      <c r="E28" s="81">
        <v>8.6</v>
      </c>
      <c r="F28" s="36">
        <f t="shared" si="0"/>
        <v>0</v>
      </c>
      <c r="G28" s="36">
        <f t="shared" si="1"/>
        <v>8.6</v>
      </c>
      <c r="H28" s="36">
        <f t="shared" si="0"/>
        <v>0</v>
      </c>
      <c r="I28" s="58"/>
      <c r="J28" s="81">
        <v>10.6</v>
      </c>
      <c r="K28" s="37">
        <f t="shared" si="2"/>
        <v>0</v>
      </c>
      <c r="L28" s="37">
        <f t="shared" si="3"/>
        <v>10.6</v>
      </c>
      <c r="M28" s="37">
        <f t="shared" si="2"/>
        <v>0</v>
      </c>
      <c r="N28" s="58"/>
      <c r="O28" s="81">
        <v>5.7</v>
      </c>
      <c r="P28" s="36">
        <f t="shared" si="4"/>
        <v>0</v>
      </c>
      <c r="Q28" s="36">
        <f t="shared" si="5"/>
        <v>5.7</v>
      </c>
      <c r="R28" s="36">
        <f t="shared" si="4"/>
        <v>0</v>
      </c>
    </row>
    <row r="29" spans="1:18" ht="12.75">
      <c r="A29" s="31"/>
      <c r="B29" s="31" t="s">
        <v>122</v>
      </c>
      <c r="C29" s="33">
        <v>0</v>
      </c>
      <c r="D29" s="58"/>
      <c r="E29" s="81">
        <v>16</v>
      </c>
      <c r="F29" s="36">
        <f t="shared" si="0"/>
        <v>0</v>
      </c>
      <c r="G29" s="36">
        <f t="shared" si="1"/>
        <v>16</v>
      </c>
      <c r="H29" s="36">
        <f t="shared" si="0"/>
        <v>0</v>
      </c>
      <c r="I29" s="58"/>
      <c r="J29" s="81">
        <v>11.3</v>
      </c>
      <c r="K29" s="37">
        <f t="shared" si="2"/>
        <v>0</v>
      </c>
      <c r="L29" s="37">
        <f t="shared" si="3"/>
        <v>11.3</v>
      </c>
      <c r="M29" s="37">
        <f t="shared" si="2"/>
        <v>0</v>
      </c>
      <c r="N29" s="58"/>
      <c r="O29" s="81">
        <v>6</v>
      </c>
      <c r="P29" s="36">
        <f t="shared" si="4"/>
        <v>0</v>
      </c>
      <c r="Q29" s="36">
        <f t="shared" si="5"/>
        <v>6</v>
      </c>
      <c r="R29" s="36">
        <f t="shared" si="4"/>
        <v>0</v>
      </c>
    </row>
    <row r="30" spans="1:18" ht="12.75">
      <c r="A30" s="31"/>
      <c r="B30" s="31" t="s">
        <v>123</v>
      </c>
      <c r="C30" s="33">
        <v>0</v>
      </c>
      <c r="D30" s="58"/>
      <c r="E30" s="81">
        <v>20.6</v>
      </c>
      <c r="F30" s="36">
        <f t="shared" si="0"/>
        <v>0</v>
      </c>
      <c r="G30" s="36">
        <f t="shared" si="1"/>
        <v>20.6</v>
      </c>
      <c r="H30" s="36">
        <f t="shared" si="0"/>
        <v>0</v>
      </c>
      <c r="I30" s="58"/>
      <c r="J30" s="81">
        <v>27.3</v>
      </c>
      <c r="K30" s="37">
        <f t="shared" si="2"/>
        <v>0</v>
      </c>
      <c r="L30" s="37">
        <f t="shared" si="3"/>
        <v>27.3</v>
      </c>
      <c r="M30" s="37">
        <f t="shared" si="2"/>
        <v>0</v>
      </c>
      <c r="N30" s="58"/>
      <c r="O30" s="81">
        <v>13.2</v>
      </c>
      <c r="P30" s="36">
        <f t="shared" si="4"/>
        <v>0</v>
      </c>
      <c r="Q30" s="36">
        <f t="shared" si="5"/>
        <v>13.2</v>
      </c>
      <c r="R30" s="36">
        <f t="shared" si="4"/>
        <v>0</v>
      </c>
    </row>
    <row r="31" spans="1:18" ht="12.75">
      <c r="A31" s="31"/>
      <c r="B31" s="31" t="s">
        <v>124</v>
      </c>
      <c r="C31" s="33">
        <v>0</v>
      </c>
      <c r="D31" s="58"/>
      <c r="E31" s="81">
        <v>12.3</v>
      </c>
      <c r="F31" s="36">
        <f t="shared" si="0"/>
        <v>0</v>
      </c>
      <c r="G31" s="36">
        <f t="shared" si="1"/>
        <v>12.3</v>
      </c>
      <c r="H31" s="36">
        <f t="shared" si="0"/>
        <v>0</v>
      </c>
      <c r="I31" s="58"/>
      <c r="J31" s="81">
        <v>17.2</v>
      </c>
      <c r="K31" s="37">
        <f t="shared" si="2"/>
        <v>0</v>
      </c>
      <c r="L31" s="37">
        <f t="shared" si="3"/>
        <v>17.2</v>
      </c>
      <c r="M31" s="37">
        <f t="shared" si="2"/>
        <v>0</v>
      </c>
      <c r="N31" s="58"/>
      <c r="O31" s="81">
        <v>7.4</v>
      </c>
      <c r="P31" s="36">
        <f t="shared" si="4"/>
        <v>0</v>
      </c>
      <c r="Q31" s="36">
        <f t="shared" si="5"/>
        <v>7.4</v>
      </c>
      <c r="R31" s="36">
        <f t="shared" si="4"/>
        <v>0</v>
      </c>
    </row>
    <row r="32" spans="1:18" ht="12.75">
      <c r="A32" s="31"/>
      <c r="B32" s="31" t="s">
        <v>125</v>
      </c>
      <c r="C32" s="33">
        <v>0</v>
      </c>
      <c r="D32" s="58"/>
      <c r="E32" s="81">
        <v>15.2</v>
      </c>
      <c r="F32" s="36">
        <f t="shared" si="0"/>
        <v>0</v>
      </c>
      <c r="G32" s="36">
        <f t="shared" si="1"/>
        <v>15.2</v>
      </c>
      <c r="H32" s="36">
        <f t="shared" si="0"/>
        <v>0</v>
      </c>
      <c r="I32" s="58"/>
      <c r="J32" s="81">
        <v>19.8</v>
      </c>
      <c r="K32" s="37">
        <f t="shared" si="2"/>
        <v>0</v>
      </c>
      <c r="L32" s="37">
        <f t="shared" si="3"/>
        <v>19.8</v>
      </c>
      <c r="M32" s="37">
        <f t="shared" si="2"/>
        <v>0</v>
      </c>
      <c r="N32" s="58"/>
      <c r="O32" s="81">
        <v>12.6</v>
      </c>
      <c r="P32" s="36">
        <f t="shared" si="4"/>
        <v>0</v>
      </c>
      <c r="Q32" s="36">
        <f t="shared" si="5"/>
        <v>12.6</v>
      </c>
      <c r="R32" s="36">
        <f t="shared" si="4"/>
        <v>0</v>
      </c>
    </row>
    <row r="33" spans="1:18" ht="12.75">
      <c r="A33" s="31"/>
      <c r="B33" s="31" t="s">
        <v>126</v>
      </c>
      <c r="C33" s="33">
        <v>0</v>
      </c>
      <c r="D33" s="58"/>
      <c r="E33" s="81">
        <v>18.8</v>
      </c>
      <c r="F33" s="36">
        <f t="shared" si="0"/>
        <v>0</v>
      </c>
      <c r="G33" s="36">
        <f t="shared" si="1"/>
        <v>18.8</v>
      </c>
      <c r="H33" s="36">
        <f t="shared" si="0"/>
        <v>0</v>
      </c>
      <c r="I33" s="58"/>
      <c r="J33" s="81">
        <v>20.6</v>
      </c>
      <c r="K33" s="37">
        <f t="shared" si="2"/>
        <v>0</v>
      </c>
      <c r="L33" s="37">
        <f t="shared" si="3"/>
        <v>20.6</v>
      </c>
      <c r="M33" s="37">
        <f t="shared" si="2"/>
        <v>0</v>
      </c>
      <c r="N33" s="58"/>
      <c r="O33" s="81">
        <v>14.4</v>
      </c>
      <c r="P33" s="36">
        <f t="shared" si="4"/>
        <v>0</v>
      </c>
      <c r="Q33" s="36">
        <f t="shared" si="5"/>
        <v>14.4</v>
      </c>
      <c r="R33" s="36">
        <f t="shared" si="4"/>
        <v>0</v>
      </c>
    </row>
    <row r="34" spans="1:18" ht="12.75">
      <c r="A34" s="31"/>
      <c r="B34" s="31" t="s">
        <v>127</v>
      </c>
      <c r="C34" s="33">
        <v>0</v>
      </c>
      <c r="D34" s="58"/>
      <c r="E34" s="81">
        <v>20.6</v>
      </c>
      <c r="F34" s="36">
        <f t="shared" si="0"/>
        <v>0</v>
      </c>
      <c r="G34" s="36">
        <f t="shared" si="1"/>
        <v>20.6</v>
      </c>
      <c r="H34" s="36">
        <f t="shared" si="0"/>
        <v>0</v>
      </c>
      <c r="I34" s="58"/>
      <c r="J34" s="81">
        <v>17.9</v>
      </c>
      <c r="K34" s="37">
        <f t="shared" si="2"/>
        <v>0</v>
      </c>
      <c r="L34" s="37">
        <f t="shared" si="3"/>
        <v>17.9</v>
      </c>
      <c r="M34" s="37">
        <f t="shared" si="2"/>
        <v>0</v>
      </c>
      <c r="N34" s="58"/>
      <c r="O34" s="81">
        <v>11.7</v>
      </c>
      <c r="P34" s="36">
        <f t="shared" si="4"/>
        <v>0</v>
      </c>
      <c r="Q34" s="36">
        <f t="shared" si="5"/>
        <v>11.7</v>
      </c>
      <c r="R34" s="36">
        <f t="shared" si="4"/>
        <v>0</v>
      </c>
    </row>
    <row r="35" spans="1:18" ht="12.75">
      <c r="A35" s="31"/>
      <c r="B35" s="31" t="s">
        <v>128</v>
      </c>
      <c r="C35" s="33">
        <v>0</v>
      </c>
      <c r="D35" s="58"/>
      <c r="E35" s="81">
        <v>12.3</v>
      </c>
      <c r="F35" s="36">
        <f t="shared" si="0"/>
        <v>0</v>
      </c>
      <c r="G35" s="36">
        <f t="shared" si="1"/>
        <v>12.3</v>
      </c>
      <c r="H35" s="36">
        <f t="shared" si="0"/>
        <v>0</v>
      </c>
      <c r="I35" s="58"/>
      <c r="J35" s="81">
        <v>8.2</v>
      </c>
      <c r="K35" s="37">
        <f t="shared" si="2"/>
        <v>0</v>
      </c>
      <c r="L35" s="37">
        <f t="shared" si="3"/>
        <v>8.2</v>
      </c>
      <c r="M35" s="37">
        <f t="shared" si="2"/>
        <v>0</v>
      </c>
      <c r="N35" s="58"/>
      <c r="O35" s="81">
        <v>6.7</v>
      </c>
      <c r="P35" s="36">
        <f t="shared" si="4"/>
        <v>0</v>
      </c>
      <c r="Q35" s="36">
        <f t="shared" si="5"/>
        <v>6.7</v>
      </c>
      <c r="R35" s="36">
        <f t="shared" si="4"/>
        <v>0</v>
      </c>
    </row>
    <row r="36" spans="1:18" ht="12.75">
      <c r="A36" s="31"/>
      <c r="B36" s="31"/>
      <c r="C36" s="31"/>
      <c r="D36" s="31"/>
      <c r="E36" s="37"/>
      <c r="F36" s="39"/>
      <c r="G36" s="37"/>
      <c r="H36" s="39"/>
      <c r="I36" s="37"/>
      <c r="J36" s="31"/>
      <c r="K36" s="34"/>
      <c r="L36" s="34"/>
      <c r="M36" s="34"/>
      <c r="N36" s="37"/>
      <c r="O36" s="31"/>
      <c r="P36" s="38"/>
      <c r="Q36" s="37"/>
      <c r="R36" s="38"/>
    </row>
    <row r="37" spans="1:18" ht="12.75">
      <c r="A37" s="31"/>
      <c r="B37" s="31" t="s">
        <v>44</v>
      </c>
      <c r="C37" s="31"/>
      <c r="D37" s="31"/>
      <c r="E37" s="37"/>
      <c r="F37" s="37">
        <v>71.076</v>
      </c>
      <c r="G37" s="37">
        <v>71.076</v>
      </c>
      <c r="H37" s="37">
        <v>71.076</v>
      </c>
      <c r="I37" s="37"/>
      <c r="J37" s="37"/>
      <c r="K37" s="37">
        <v>62.265</v>
      </c>
      <c r="L37" s="37">
        <v>62.265</v>
      </c>
      <c r="M37" s="37">
        <v>62.265</v>
      </c>
      <c r="N37" s="37"/>
      <c r="O37" s="37"/>
      <c r="P37" s="37">
        <v>79.269</v>
      </c>
      <c r="Q37" s="37">
        <v>79.269</v>
      </c>
      <c r="R37" s="37">
        <v>79.269</v>
      </c>
    </row>
    <row r="38" spans="1:18" ht="12.75">
      <c r="A38" s="31"/>
      <c r="B38" s="31" t="s">
        <v>66</v>
      </c>
      <c r="C38" s="31"/>
      <c r="D38" s="31"/>
      <c r="E38" s="37"/>
      <c r="F38" s="37">
        <v>10.42</v>
      </c>
      <c r="G38" s="37">
        <v>10.42</v>
      </c>
      <c r="H38" s="37">
        <v>10.42</v>
      </c>
      <c r="I38" s="37"/>
      <c r="J38" s="37"/>
      <c r="K38" s="34">
        <v>10.42</v>
      </c>
      <c r="L38" s="34">
        <v>10.42</v>
      </c>
      <c r="M38" s="34">
        <v>10.42</v>
      </c>
      <c r="N38" s="37"/>
      <c r="O38" s="37"/>
      <c r="P38" s="37">
        <v>10.42</v>
      </c>
      <c r="Q38" s="37">
        <v>10.42</v>
      </c>
      <c r="R38" s="37">
        <v>10.42</v>
      </c>
    </row>
    <row r="39" spans="1:18" ht="12.75">
      <c r="A39" s="31"/>
      <c r="B39" s="31"/>
      <c r="C39" s="31"/>
      <c r="D39" s="31"/>
      <c r="E39" s="37"/>
      <c r="F39" s="31"/>
      <c r="G39" s="37"/>
      <c r="H39" s="31"/>
      <c r="I39" s="31"/>
      <c r="J39" s="37"/>
      <c r="K39" s="34"/>
      <c r="L39" s="34"/>
      <c r="M39" s="34"/>
      <c r="N39" s="37"/>
      <c r="O39" s="37"/>
      <c r="P39" s="37"/>
      <c r="Q39" s="37"/>
      <c r="R39" s="37"/>
    </row>
    <row r="40" spans="1:18" ht="12.75">
      <c r="A40" s="31"/>
      <c r="B40" s="31" t="s">
        <v>129</v>
      </c>
      <c r="C40" s="39"/>
      <c r="D40" s="39"/>
      <c r="E40" s="34"/>
      <c r="F40" s="37">
        <f>SUM(F11:F27)</f>
        <v>2.1649</v>
      </c>
      <c r="G40" s="34">
        <f>SUM(G27,G35,G34,G33,G32,G17,G31,G30,G29,G28)</f>
        <v>131.1</v>
      </c>
      <c r="H40" s="37">
        <f>SUM(H11:H27)</f>
        <v>2.1649</v>
      </c>
      <c r="I40" s="39"/>
      <c r="J40" s="34"/>
      <c r="K40" s="36">
        <f>SUM(K11:K27)</f>
        <v>2.6156999999999995</v>
      </c>
      <c r="L40" s="34">
        <f>SUM(L27,L35,L34,L33,L32,L17,L31,L30,L29,L28)</f>
        <v>141.5</v>
      </c>
      <c r="M40" s="36">
        <f>SUM(M11:M27)</f>
        <v>2.6156999999999995</v>
      </c>
      <c r="N40" s="39"/>
      <c r="O40" s="37"/>
      <c r="P40" s="37">
        <f>SUM(P11:P27)</f>
        <v>1.6099999999999997</v>
      </c>
      <c r="Q40" s="34">
        <f>SUM(Q27,Q35,Q34,Q33,Q32,Q17,Q31,Q30,Q29,Q28)</f>
        <v>84</v>
      </c>
      <c r="R40" s="37">
        <f>SUM(R11:R27)</f>
        <v>1.6099999999999997</v>
      </c>
    </row>
    <row r="41" spans="1:18" ht="12.75">
      <c r="A41" s="31"/>
      <c r="B41" s="31" t="s">
        <v>45</v>
      </c>
      <c r="C41" s="39"/>
      <c r="D41" s="34">
        <f>(F41-H41)*2/F41*100</f>
        <v>0</v>
      </c>
      <c r="E41" s="37"/>
      <c r="F41" s="37">
        <f>(F40/F37/0.0283*(21-7)/(21-F38))</f>
        <v>1.4241993859998578</v>
      </c>
      <c r="G41" s="37">
        <f>(G40/G37/0.0283*(21-7)/(21-G38))</f>
        <v>86.2453413573751</v>
      </c>
      <c r="H41" s="37">
        <f>(H40/H37/0.0283*(21-7)/(21-H38))</f>
        <v>1.4241993859998578</v>
      </c>
      <c r="I41" s="34">
        <f>(K41-M41)*2/K41*100</f>
        <v>0</v>
      </c>
      <c r="J41" s="37"/>
      <c r="K41" s="37">
        <f>K40/K37/0.0283*(21-7)/(21-K38)</f>
        <v>1.9642640687766821</v>
      </c>
      <c r="L41" s="37">
        <f>(L40/L37/0.0283*(21-7)/(21-L38))</f>
        <v>106.2596497044388</v>
      </c>
      <c r="M41" s="37">
        <f>M40/M37/0.0283*(21-7)/(21-M38)</f>
        <v>1.9642640687766821</v>
      </c>
      <c r="N41" s="34">
        <f>(P41-R41)*2/P41*100</f>
        <v>0</v>
      </c>
      <c r="O41" s="37"/>
      <c r="P41" s="37">
        <f>P40/P37/0.0283*(21-7)/(21-P38)</f>
        <v>0.9496824863554221</v>
      </c>
      <c r="Q41" s="37">
        <f>(Q40/Q37/0.0283*(21-7)/(21-Q38))</f>
        <v>49.548651462022036</v>
      </c>
      <c r="R41" s="37">
        <f>R40/R37/0.0283*(21-7)/(21-R38)</f>
        <v>0.9496824863554221</v>
      </c>
    </row>
    <row r="42" spans="1:18" ht="12.75">
      <c r="A42" s="31"/>
      <c r="B42" s="31"/>
      <c r="C42" s="31"/>
      <c r="D42" s="31"/>
      <c r="E42" s="36"/>
      <c r="F42" s="39"/>
      <c r="G42" s="36"/>
      <c r="H42" s="39"/>
      <c r="I42" s="36"/>
      <c r="J42" s="36"/>
      <c r="K42" s="36"/>
      <c r="L42" s="36"/>
      <c r="M42" s="36"/>
      <c r="N42" s="36"/>
      <c r="O42" s="36"/>
      <c r="P42" s="38"/>
      <c r="Q42" s="36"/>
      <c r="R42" s="38"/>
    </row>
    <row r="43" spans="1:18" ht="12.75">
      <c r="A43" s="37"/>
      <c r="B43" s="31" t="s">
        <v>67</v>
      </c>
      <c r="C43" s="37">
        <f>AVERAGE(H41,M41,R41)</f>
        <v>1.4460486470439873</v>
      </c>
      <c r="D43" s="37"/>
      <c r="E43" s="37"/>
      <c r="F43" s="39"/>
      <c r="G43" s="37"/>
      <c r="H43" s="39"/>
      <c r="I43" s="37"/>
      <c r="J43" s="37"/>
      <c r="K43" s="37"/>
      <c r="L43" s="37"/>
      <c r="M43" s="37"/>
      <c r="N43" s="37"/>
      <c r="O43" s="37"/>
      <c r="P43" s="38"/>
      <c r="Q43" s="37"/>
      <c r="R43" s="38"/>
    </row>
    <row r="44" spans="1:18" ht="12.75">
      <c r="A44" s="31"/>
      <c r="B44" s="31" t="s">
        <v>68</v>
      </c>
      <c r="C44" s="37">
        <f>AVERAGE(G41,L41,Q41)</f>
        <v>80.68454750794531</v>
      </c>
      <c r="D44" s="31"/>
      <c r="E44" s="38"/>
      <c r="F44" s="39"/>
      <c r="G44" s="38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7" spans="6:8" ht="12.75">
      <c r="F47" s="52"/>
      <c r="H47" s="52"/>
    </row>
    <row r="48" spans="6:8" ht="12.75">
      <c r="F48" s="69"/>
      <c r="H48" s="69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2" sqref="C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140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00390625" style="0" customWidth="1"/>
    <col min="16" max="16" width="9.00390625" style="0" customWidth="1"/>
    <col min="18" max="18" width="9.00390625" style="0" customWidth="1"/>
  </cols>
  <sheetData>
    <row r="1" spans="1:18" ht="12.75">
      <c r="A1" s="44" t="s">
        <v>80</v>
      </c>
      <c r="B1" s="31"/>
      <c r="C1" s="31"/>
      <c r="D1" s="31"/>
      <c r="E1" s="38"/>
      <c r="F1" s="39"/>
      <c r="G1" s="38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>
      <c r="A2" s="31" t="s">
        <v>358</v>
      </c>
      <c r="B2" s="31"/>
      <c r="C2" s="31"/>
      <c r="D2" s="31"/>
      <c r="E2" s="38"/>
      <c r="F2" s="39"/>
      <c r="G2" s="38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1" t="s">
        <v>19</v>
      </c>
      <c r="B3" s="31"/>
      <c r="C3" s="12" t="s">
        <v>353</v>
      </c>
      <c r="D3" s="12"/>
      <c r="E3" s="38"/>
      <c r="F3" s="39"/>
      <c r="G3" s="38"/>
      <c r="H3" s="39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31" t="s">
        <v>20</v>
      </c>
      <c r="B4" s="31"/>
      <c r="C4" s="12" t="s">
        <v>205</v>
      </c>
      <c r="D4" s="12"/>
      <c r="E4" s="40"/>
      <c r="F4" s="41"/>
      <c r="G4" s="40"/>
      <c r="H4" s="41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>
      <c r="A5" s="31" t="s">
        <v>21</v>
      </c>
      <c r="B5" s="31"/>
      <c r="C5" s="16"/>
      <c r="D5" s="16"/>
      <c r="E5" s="16"/>
      <c r="F5" s="16"/>
      <c r="G5" s="16"/>
      <c r="H5" s="16"/>
      <c r="I5" s="16"/>
      <c r="J5" s="16"/>
      <c r="K5" s="38"/>
      <c r="L5" s="16"/>
      <c r="M5" s="38"/>
      <c r="N5" s="38"/>
      <c r="O5" s="38"/>
      <c r="P5" s="38"/>
      <c r="Q5" s="38"/>
      <c r="R5" s="38"/>
    </row>
    <row r="6" spans="1:18" ht="12.75">
      <c r="A6" s="31"/>
      <c r="B6" s="31"/>
      <c r="C6" s="33"/>
      <c r="D6" s="33"/>
      <c r="E6" s="42"/>
      <c r="F6" s="39"/>
      <c r="G6" s="42"/>
      <c r="H6" s="39"/>
      <c r="I6" s="38"/>
      <c r="J6" s="42"/>
      <c r="K6" s="38"/>
      <c r="L6" s="42"/>
      <c r="M6" s="38"/>
      <c r="N6" s="38"/>
      <c r="O6" s="42"/>
      <c r="P6" s="38"/>
      <c r="Q6" s="42"/>
      <c r="R6" s="38"/>
    </row>
    <row r="7" spans="1:18" ht="12.75">
      <c r="A7" s="31"/>
      <c r="B7" s="31"/>
      <c r="C7" s="33" t="s">
        <v>22</v>
      </c>
      <c r="D7" s="33"/>
      <c r="E7" s="43" t="s">
        <v>56</v>
      </c>
      <c r="F7" s="43"/>
      <c r="G7" s="43"/>
      <c r="H7" s="43"/>
      <c r="I7" s="15"/>
      <c r="J7" s="43" t="s">
        <v>57</v>
      </c>
      <c r="K7" s="43"/>
      <c r="L7" s="43"/>
      <c r="M7" s="43"/>
      <c r="N7" s="15"/>
      <c r="O7" s="43" t="s">
        <v>58</v>
      </c>
      <c r="P7" s="43"/>
      <c r="Q7" s="43"/>
      <c r="R7" s="43"/>
    </row>
    <row r="8" spans="1:18" ht="12.75">
      <c r="A8" s="31"/>
      <c r="B8" s="31"/>
      <c r="C8" s="33" t="s">
        <v>23</v>
      </c>
      <c r="D8" s="31"/>
      <c r="E8" s="42" t="s">
        <v>24</v>
      </c>
      <c r="F8" s="41" t="s">
        <v>25</v>
      </c>
      <c r="G8" s="42" t="s">
        <v>24</v>
      </c>
      <c r="H8" s="41" t="s">
        <v>25</v>
      </c>
      <c r="I8" s="38"/>
      <c r="J8" s="42" t="s">
        <v>24</v>
      </c>
      <c r="K8" s="42" t="s">
        <v>26</v>
      </c>
      <c r="L8" s="42" t="s">
        <v>24</v>
      </c>
      <c r="M8" s="42" t="s">
        <v>26</v>
      </c>
      <c r="N8" s="38"/>
      <c r="O8" s="42" t="s">
        <v>24</v>
      </c>
      <c r="P8" s="42" t="s">
        <v>26</v>
      </c>
      <c r="Q8" s="42" t="s">
        <v>24</v>
      </c>
      <c r="R8" s="42" t="s">
        <v>26</v>
      </c>
    </row>
    <row r="9" spans="1:18" ht="12.75">
      <c r="A9" s="31"/>
      <c r="B9" s="31"/>
      <c r="C9" s="33"/>
      <c r="D9" s="31"/>
      <c r="E9" s="42" t="s">
        <v>242</v>
      </c>
      <c r="F9" s="42" t="s">
        <v>242</v>
      </c>
      <c r="G9" s="42" t="s">
        <v>79</v>
      </c>
      <c r="H9" s="41" t="s">
        <v>79</v>
      </c>
      <c r="I9" s="38"/>
      <c r="J9" s="42" t="s">
        <v>242</v>
      </c>
      <c r="K9" s="42" t="s">
        <v>242</v>
      </c>
      <c r="L9" s="42" t="s">
        <v>79</v>
      </c>
      <c r="M9" s="41" t="s">
        <v>79</v>
      </c>
      <c r="N9" s="38"/>
      <c r="O9" s="42" t="s">
        <v>242</v>
      </c>
      <c r="P9" s="42" t="s">
        <v>242</v>
      </c>
      <c r="Q9" s="42" t="s">
        <v>79</v>
      </c>
      <c r="R9" s="41" t="s">
        <v>79</v>
      </c>
    </row>
    <row r="10" spans="1:18" ht="12.75">
      <c r="A10" s="31" t="s">
        <v>130</v>
      </c>
      <c r="B10" s="31"/>
      <c r="C10" s="31"/>
      <c r="D10" s="31"/>
      <c r="E10" s="38"/>
      <c r="F10" s="39"/>
      <c r="G10" s="38"/>
      <c r="H10" s="39"/>
      <c r="I10" s="38"/>
      <c r="J10" s="38"/>
      <c r="K10" s="38"/>
      <c r="L10" s="38"/>
      <c r="M10" s="38"/>
      <c r="N10" s="38"/>
      <c r="O10" s="34"/>
      <c r="P10" s="38"/>
      <c r="Q10" s="38"/>
      <c r="R10" s="38"/>
    </row>
    <row r="11" spans="1:18" ht="12.75">
      <c r="A11" s="31"/>
      <c r="B11" s="31" t="s">
        <v>27</v>
      </c>
      <c r="C11" s="33">
        <v>1</v>
      </c>
      <c r="D11" s="58"/>
      <c r="E11" s="81">
        <v>0.03</v>
      </c>
      <c r="F11" s="37">
        <f aca="true" t="shared" si="0" ref="F11:H35">IF(E11="","",E11*$C11)</f>
        <v>0.03</v>
      </c>
      <c r="G11" s="37">
        <f aca="true" t="shared" si="1" ref="G11:G35">IF(E11=0,"",IF(D11="nd",E11/2,E11))</f>
        <v>0.03</v>
      </c>
      <c r="H11" s="37">
        <f t="shared" si="0"/>
        <v>0.03</v>
      </c>
      <c r="I11" s="58"/>
      <c r="J11" s="81">
        <v>0.03</v>
      </c>
      <c r="K11" s="37">
        <f aca="true" t="shared" si="2" ref="K11:M35">IF(J11="","",J11*$C11)</f>
        <v>0.03</v>
      </c>
      <c r="L11" s="37">
        <f aca="true" t="shared" si="3" ref="L11:L35">IF(J11=0,"",IF(I11="nd",J11/2,J11))</f>
        <v>0.03</v>
      </c>
      <c r="M11" s="37">
        <f t="shared" si="2"/>
        <v>0.03</v>
      </c>
      <c r="N11" s="58"/>
      <c r="O11" s="81">
        <v>0.03</v>
      </c>
      <c r="P11" s="36">
        <f aca="true" t="shared" si="4" ref="P11:R35">IF(O11="","",O11*$C11)</f>
        <v>0.03</v>
      </c>
      <c r="Q11" s="36">
        <f aca="true" t="shared" si="5" ref="Q11:Q35">IF(O11=0,"",IF(N11="nd",O11/2,O11))</f>
        <v>0.03</v>
      </c>
      <c r="R11" s="36">
        <f t="shared" si="4"/>
        <v>0.03</v>
      </c>
    </row>
    <row r="12" spans="1:18" ht="12.75">
      <c r="A12" s="31"/>
      <c r="B12" s="31" t="s">
        <v>28</v>
      </c>
      <c r="C12" s="33">
        <v>0.5</v>
      </c>
      <c r="D12" s="58"/>
      <c r="E12" s="81">
        <v>0.26</v>
      </c>
      <c r="F12" s="37">
        <f t="shared" si="0"/>
        <v>0.13</v>
      </c>
      <c r="G12" s="37">
        <f t="shared" si="1"/>
        <v>0.26</v>
      </c>
      <c r="H12" s="37">
        <f t="shared" si="0"/>
        <v>0.13</v>
      </c>
      <c r="I12" s="58"/>
      <c r="J12" s="81">
        <v>0.32</v>
      </c>
      <c r="K12" s="37">
        <f t="shared" si="2"/>
        <v>0.16</v>
      </c>
      <c r="L12" s="37">
        <f t="shared" si="3"/>
        <v>0.32</v>
      </c>
      <c r="M12" s="37">
        <f t="shared" si="2"/>
        <v>0.16</v>
      </c>
      <c r="N12" s="58"/>
      <c r="O12" s="81">
        <v>0.18</v>
      </c>
      <c r="P12" s="36">
        <f t="shared" si="4"/>
        <v>0.09</v>
      </c>
      <c r="Q12" s="36">
        <f t="shared" si="5"/>
        <v>0.18</v>
      </c>
      <c r="R12" s="36">
        <f t="shared" si="4"/>
        <v>0.09</v>
      </c>
    </row>
    <row r="13" spans="1:18" ht="12.75">
      <c r="A13" s="31"/>
      <c r="B13" s="31" t="s">
        <v>29</v>
      </c>
      <c r="C13" s="33">
        <v>0.1</v>
      </c>
      <c r="D13" s="58"/>
      <c r="E13" s="81">
        <v>0.28</v>
      </c>
      <c r="F13" s="37">
        <f t="shared" si="0"/>
        <v>0.028000000000000004</v>
      </c>
      <c r="G13" s="37">
        <f t="shared" si="1"/>
        <v>0.28</v>
      </c>
      <c r="H13" s="37">
        <f t="shared" si="0"/>
        <v>0.028000000000000004</v>
      </c>
      <c r="I13" s="58"/>
      <c r="J13" s="81">
        <v>0.33</v>
      </c>
      <c r="K13" s="37">
        <f t="shared" si="2"/>
        <v>0.033</v>
      </c>
      <c r="L13" s="37">
        <f t="shared" si="3"/>
        <v>0.33</v>
      </c>
      <c r="M13" s="37">
        <f t="shared" si="2"/>
        <v>0.033</v>
      </c>
      <c r="N13" s="58"/>
      <c r="O13" s="81">
        <v>0.17</v>
      </c>
      <c r="P13" s="36">
        <f t="shared" si="4"/>
        <v>0.017</v>
      </c>
      <c r="Q13" s="36">
        <f t="shared" si="5"/>
        <v>0.17</v>
      </c>
      <c r="R13" s="36">
        <f t="shared" si="4"/>
        <v>0.017</v>
      </c>
    </row>
    <row r="14" spans="1:18" ht="12.75">
      <c r="A14" s="31"/>
      <c r="B14" s="31" t="s">
        <v>30</v>
      </c>
      <c r="C14" s="33">
        <v>0.1</v>
      </c>
      <c r="D14" s="58"/>
      <c r="E14" s="81">
        <v>0.64</v>
      </c>
      <c r="F14" s="37">
        <f t="shared" si="0"/>
        <v>0.064</v>
      </c>
      <c r="G14" s="37">
        <f t="shared" si="1"/>
        <v>0.64</v>
      </c>
      <c r="H14" s="37">
        <f t="shared" si="0"/>
        <v>0.064</v>
      </c>
      <c r="I14" s="58"/>
      <c r="J14" s="81">
        <v>0.66</v>
      </c>
      <c r="K14" s="37">
        <f t="shared" si="2"/>
        <v>0.066</v>
      </c>
      <c r="L14" s="37">
        <f t="shared" si="3"/>
        <v>0.66</v>
      </c>
      <c r="M14" s="37">
        <f t="shared" si="2"/>
        <v>0.066</v>
      </c>
      <c r="N14" s="58"/>
      <c r="O14" s="81">
        <v>0.41</v>
      </c>
      <c r="P14" s="36">
        <f t="shared" si="4"/>
        <v>0.041</v>
      </c>
      <c r="Q14" s="36">
        <f t="shared" si="5"/>
        <v>0.41</v>
      </c>
      <c r="R14" s="36">
        <f t="shared" si="4"/>
        <v>0.041</v>
      </c>
    </row>
    <row r="15" spans="1:18" ht="12.75">
      <c r="A15" s="31"/>
      <c r="B15" s="31" t="s">
        <v>31</v>
      </c>
      <c r="C15" s="33">
        <v>0.1</v>
      </c>
      <c r="D15" s="58"/>
      <c r="E15" s="81">
        <v>0.73</v>
      </c>
      <c r="F15" s="37">
        <f t="shared" si="0"/>
        <v>0.073</v>
      </c>
      <c r="G15" s="37">
        <f t="shared" si="1"/>
        <v>0.73</v>
      </c>
      <c r="H15" s="37">
        <f t="shared" si="0"/>
        <v>0.073</v>
      </c>
      <c r="I15" s="58"/>
      <c r="J15" s="81">
        <v>0.83</v>
      </c>
      <c r="K15" s="37">
        <f t="shared" si="2"/>
        <v>0.083</v>
      </c>
      <c r="L15" s="37">
        <f t="shared" si="3"/>
        <v>0.83</v>
      </c>
      <c r="M15" s="37">
        <f t="shared" si="2"/>
        <v>0.083</v>
      </c>
      <c r="N15" s="58"/>
      <c r="O15" s="81">
        <v>0.46</v>
      </c>
      <c r="P15" s="36">
        <f t="shared" si="4"/>
        <v>0.046000000000000006</v>
      </c>
      <c r="Q15" s="36">
        <f t="shared" si="5"/>
        <v>0.46</v>
      </c>
      <c r="R15" s="36">
        <f t="shared" si="4"/>
        <v>0.046000000000000006</v>
      </c>
    </row>
    <row r="16" spans="1:18" ht="12.75">
      <c r="A16" s="31"/>
      <c r="B16" s="31" t="s">
        <v>32</v>
      </c>
      <c r="C16" s="33">
        <v>0.01</v>
      </c>
      <c r="D16" s="58"/>
      <c r="E16" s="81">
        <v>2.9</v>
      </c>
      <c r="F16" s="37">
        <f t="shared" si="0"/>
        <v>0.028999999999999998</v>
      </c>
      <c r="G16" s="37">
        <f t="shared" si="1"/>
        <v>2.9</v>
      </c>
      <c r="H16" s="37">
        <f t="shared" si="0"/>
        <v>0.028999999999999998</v>
      </c>
      <c r="I16" s="58"/>
      <c r="J16" s="81">
        <v>2.9</v>
      </c>
      <c r="K16" s="37">
        <f t="shared" si="2"/>
        <v>0.028999999999999998</v>
      </c>
      <c r="L16" s="37">
        <f t="shared" si="3"/>
        <v>2.9</v>
      </c>
      <c r="M16" s="37">
        <f t="shared" si="2"/>
        <v>0.028999999999999998</v>
      </c>
      <c r="N16" s="58"/>
      <c r="O16" s="81">
        <v>1.6</v>
      </c>
      <c r="P16" s="36">
        <f t="shared" si="4"/>
        <v>0.016</v>
      </c>
      <c r="Q16" s="36">
        <f t="shared" si="5"/>
        <v>1.6</v>
      </c>
      <c r="R16" s="36">
        <f t="shared" si="4"/>
        <v>0.016</v>
      </c>
    </row>
    <row r="17" spans="1:18" ht="12.75">
      <c r="A17" s="31"/>
      <c r="B17" s="31" t="s">
        <v>33</v>
      </c>
      <c r="C17" s="33">
        <v>0.001</v>
      </c>
      <c r="D17" s="58"/>
      <c r="E17" s="81">
        <v>2.5</v>
      </c>
      <c r="F17" s="37">
        <f t="shared" si="0"/>
        <v>0.0025</v>
      </c>
      <c r="G17" s="37">
        <f t="shared" si="1"/>
        <v>2.5</v>
      </c>
      <c r="H17" s="37">
        <f t="shared" si="0"/>
        <v>0.0025</v>
      </c>
      <c r="I17" s="58"/>
      <c r="J17" s="81">
        <v>2.6</v>
      </c>
      <c r="K17" s="37">
        <f t="shared" si="2"/>
        <v>0.0026000000000000003</v>
      </c>
      <c r="L17" s="37">
        <f t="shared" si="3"/>
        <v>2.6</v>
      </c>
      <c r="M17" s="37">
        <f t="shared" si="2"/>
        <v>0.0026000000000000003</v>
      </c>
      <c r="N17" s="58"/>
      <c r="O17" s="81">
        <v>1.3</v>
      </c>
      <c r="P17" s="36">
        <f t="shared" si="4"/>
        <v>0.0013000000000000002</v>
      </c>
      <c r="Q17" s="36">
        <f t="shared" si="5"/>
        <v>1.3</v>
      </c>
      <c r="R17" s="36">
        <f t="shared" si="4"/>
        <v>0.0013000000000000002</v>
      </c>
    </row>
    <row r="18" spans="1:18" ht="12.75">
      <c r="A18" s="31"/>
      <c r="B18" s="31" t="s">
        <v>34</v>
      </c>
      <c r="C18" s="33">
        <v>0.1</v>
      </c>
      <c r="D18" s="58"/>
      <c r="E18" s="81">
        <v>0.37</v>
      </c>
      <c r="F18" s="37">
        <f t="shared" si="0"/>
        <v>0.037</v>
      </c>
      <c r="G18" s="37">
        <f t="shared" si="1"/>
        <v>0.37</v>
      </c>
      <c r="H18" s="37">
        <f t="shared" si="0"/>
        <v>0.037</v>
      </c>
      <c r="I18" s="58"/>
      <c r="J18" s="81">
        <v>0.31</v>
      </c>
      <c r="K18" s="37">
        <f t="shared" si="2"/>
        <v>0.031</v>
      </c>
      <c r="L18" s="37">
        <f t="shared" si="3"/>
        <v>0.31</v>
      </c>
      <c r="M18" s="37">
        <f t="shared" si="2"/>
        <v>0.031</v>
      </c>
      <c r="N18" s="58"/>
      <c r="O18" s="81">
        <v>0.24</v>
      </c>
      <c r="P18" s="36">
        <f t="shared" si="4"/>
        <v>0.024</v>
      </c>
      <c r="Q18" s="36">
        <f t="shared" si="5"/>
        <v>0.24</v>
      </c>
      <c r="R18" s="36">
        <f t="shared" si="4"/>
        <v>0.024</v>
      </c>
    </row>
    <row r="19" spans="1:18" ht="12.75">
      <c r="A19" s="31"/>
      <c r="B19" s="31" t="s">
        <v>35</v>
      </c>
      <c r="C19" s="33">
        <v>0.05</v>
      </c>
      <c r="D19" s="58"/>
      <c r="E19" s="81">
        <v>0.49</v>
      </c>
      <c r="F19" s="36">
        <f t="shared" si="0"/>
        <v>0.0245</v>
      </c>
      <c r="G19" s="36">
        <f t="shared" si="1"/>
        <v>0.49</v>
      </c>
      <c r="H19" s="36">
        <f t="shared" si="0"/>
        <v>0.0245</v>
      </c>
      <c r="I19" s="58"/>
      <c r="J19" s="81">
        <v>0.51</v>
      </c>
      <c r="K19" s="37">
        <f t="shared" si="2"/>
        <v>0.025500000000000002</v>
      </c>
      <c r="L19" s="37">
        <f t="shared" si="3"/>
        <v>0.51</v>
      </c>
      <c r="M19" s="37">
        <f t="shared" si="2"/>
        <v>0.025500000000000002</v>
      </c>
      <c r="N19" s="58"/>
      <c r="O19" s="81">
        <v>0.29</v>
      </c>
      <c r="P19" s="36">
        <f t="shared" si="4"/>
        <v>0.014499999999999999</v>
      </c>
      <c r="Q19" s="36">
        <f t="shared" si="5"/>
        <v>0.29</v>
      </c>
      <c r="R19" s="36">
        <f t="shared" si="4"/>
        <v>0.014499999999999999</v>
      </c>
    </row>
    <row r="20" spans="1:18" ht="12.75">
      <c r="A20" s="31"/>
      <c r="B20" s="31" t="s">
        <v>36</v>
      </c>
      <c r="C20" s="33">
        <v>0.5</v>
      </c>
      <c r="D20" s="58"/>
      <c r="E20" s="81">
        <v>1.4</v>
      </c>
      <c r="F20" s="36">
        <f t="shared" si="0"/>
        <v>0.7</v>
      </c>
      <c r="G20" s="36">
        <f t="shared" si="1"/>
        <v>1.4</v>
      </c>
      <c r="H20" s="36">
        <f t="shared" si="0"/>
        <v>0.7</v>
      </c>
      <c r="I20" s="58"/>
      <c r="J20" s="81">
        <v>1.2</v>
      </c>
      <c r="K20" s="37">
        <f t="shared" si="2"/>
        <v>0.6</v>
      </c>
      <c r="L20" s="37">
        <f t="shared" si="3"/>
        <v>1.2</v>
      </c>
      <c r="M20" s="37">
        <f t="shared" si="2"/>
        <v>0.6</v>
      </c>
      <c r="N20" s="58"/>
      <c r="O20" s="81">
        <v>0.83</v>
      </c>
      <c r="P20" s="36">
        <f t="shared" si="4"/>
        <v>0.415</v>
      </c>
      <c r="Q20" s="36">
        <f t="shared" si="5"/>
        <v>0.83</v>
      </c>
      <c r="R20" s="36">
        <f t="shared" si="4"/>
        <v>0.415</v>
      </c>
    </row>
    <row r="21" spans="1:18" ht="12.75">
      <c r="A21" s="31"/>
      <c r="B21" s="31" t="s">
        <v>37</v>
      </c>
      <c r="C21" s="33">
        <v>0.1</v>
      </c>
      <c r="D21" s="58"/>
      <c r="E21" s="81">
        <v>1.6</v>
      </c>
      <c r="F21" s="36">
        <f t="shared" si="0"/>
        <v>0.16000000000000003</v>
      </c>
      <c r="G21" s="36">
        <f t="shared" si="1"/>
        <v>1.6</v>
      </c>
      <c r="H21" s="36">
        <f t="shared" si="0"/>
        <v>0.16000000000000003</v>
      </c>
      <c r="I21" s="58"/>
      <c r="J21" s="81">
        <v>1.5</v>
      </c>
      <c r="K21" s="37">
        <f t="shared" si="2"/>
        <v>0.15000000000000002</v>
      </c>
      <c r="L21" s="37">
        <f t="shared" si="3"/>
        <v>1.5</v>
      </c>
      <c r="M21" s="37">
        <f t="shared" si="2"/>
        <v>0.15000000000000002</v>
      </c>
      <c r="N21" s="58"/>
      <c r="O21" s="81">
        <v>1</v>
      </c>
      <c r="P21" s="36">
        <f t="shared" si="4"/>
        <v>0.1</v>
      </c>
      <c r="Q21" s="36">
        <f t="shared" si="5"/>
        <v>1</v>
      </c>
      <c r="R21" s="36">
        <f t="shared" si="4"/>
        <v>0.1</v>
      </c>
    </row>
    <row r="22" spans="1:18" ht="12.75">
      <c r="A22" s="31"/>
      <c r="B22" s="31" t="s">
        <v>38</v>
      </c>
      <c r="C22" s="33">
        <v>0.1</v>
      </c>
      <c r="D22" s="58"/>
      <c r="E22" s="81">
        <v>0.6</v>
      </c>
      <c r="F22" s="36">
        <f t="shared" si="0"/>
        <v>0.06</v>
      </c>
      <c r="G22" s="36">
        <f t="shared" si="1"/>
        <v>0.6</v>
      </c>
      <c r="H22" s="36">
        <f t="shared" si="0"/>
        <v>0.06</v>
      </c>
      <c r="I22" s="58"/>
      <c r="J22" s="81">
        <v>0.62</v>
      </c>
      <c r="K22" s="37">
        <f t="shared" si="2"/>
        <v>0.062</v>
      </c>
      <c r="L22" s="37">
        <f t="shared" si="3"/>
        <v>0.62</v>
      </c>
      <c r="M22" s="37">
        <f t="shared" si="2"/>
        <v>0.062</v>
      </c>
      <c r="N22" s="58"/>
      <c r="O22" s="81">
        <v>0.44</v>
      </c>
      <c r="P22" s="36">
        <f t="shared" si="4"/>
        <v>0.044000000000000004</v>
      </c>
      <c r="Q22" s="36">
        <f t="shared" si="5"/>
        <v>0.44</v>
      </c>
      <c r="R22" s="36">
        <f t="shared" si="4"/>
        <v>0.044000000000000004</v>
      </c>
    </row>
    <row r="23" spans="1:18" ht="12.75">
      <c r="A23" s="31"/>
      <c r="B23" s="31" t="s">
        <v>39</v>
      </c>
      <c r="C23" s="33">
        <v>0.1</v>
      </c>
      <c r="D23" s="58"/>
      <c r="E23" s="81">
        <v>1.7</v>
      </c>
      <c r="F23" s="36">
        <f t="shared" si="0"/>
        <v>0.17</v>
      </c>
      <c r="G23" s="36">
        <f t="shared" si="1"/>
        <v>1.7</v>
      </c>
      <c r="H23" s="36">
        <f t="shared" si="0"/>
        <v>0.17</v>
      </c>
      <c r="I23" s="58"/>
      <c r="J23" s="81">
        <v>1.4</v>
      </c>
      <c r="K23" s="37">
        <f t="shared" si="2"/>
        <v>0.13999999999999999</v>
      </c>
      <c r="L23" s="37">
        <f t="shared" si="3"/>
        <v>1.4</v>
      </c>
      <c r="M23" s="37">
        <f t="shared" si="2"/>
        <v>0.13999999999999999</v>
      </c>
      <c r="N23" s="58"/>
      <c r="O23" s="81">
        <v>1</v>
      </c>
      <c r="P23" s="36">
        <f t="shared" si="4"/>
        <v>0.1</v>
      </c>
      <c r="Q23" s="36">
        <f t="shared" si="5"/>
        <v>1</v>
      </c>
      <c r="R23" s="36">
        <f t="shared" si="4"/>
        <v>0.1</v>
      </c>
    </row>
    <row r="24" spans="1:18" ht="12.75">
      <c r="A24" s="31"/>
      <c r="B24" s="31" t="s">
        <v>40</v>
      </c>
      <c r="C24" s="33">
        <v>0.1</v>
      </c>
      <c r="D24" s="58"/>
      <c r="E24" s="81">
        <v>0.08</v>
      </c>
      <c r="F24" s="36">
        <f t="shared" si="0"/>
        <v>0.008</v>
      </c>
      <c r="G24" s="36">
        <f t="shared" si="1"/>
        <v>0.08</v>
      </c>
      <c r="H24" s="36">
        <f t="shared" si="0"/>
        <v>0.008</v>
      </c>
      <c r="I24" s="58"/>
      <c r="J24" s="81">
        <v>0.07</v>
      </c>
      <c r="K24" s="37">
        <f t="shared" si="2"/>
        <v>0.007000000000000001</v>
      </c>
      <c r="L24" s="37">
        <f t="shared" si="3"/>
        <v>0.07</v>
      </c>
      <c r="M24" s="37">
        <f t="shared" si="2"/>
        <v>0.007000000000000001</v>
      </c>
      <c r="N24" s="58"/>
      <c r="O24" s="81">
        <v>0.04</v>
      </c>
      <c r="P24" s="36">
        <f t="shared" si="4"/>
        <v>0.004</v>
      </c>
      <c r="Q24" s="36">
        <f t="shared" si="5"/>
        <v>0.04</v>
      </c>
      <c r="R24" s="36">
        <f t="shared" si="4"/>
        <v>0.004</v>
      </c>
    </row>
    <row r="25" spans="1:18" ht="12.75">
      <c r="A25" s="31"/>
      <c r="B25" s="31" t="s">
        <v>41</v>
      </c>
      <c r="C25" s="33">
        <v>0.01</v>
      </c>
      <c r="D25" s="58"/>
      <c r="E25" s="81">
        <v>1.9</v>
      </c>
      <c r="F25" s="36">
        <f t="shared" si="0"/>
        <v>0.019</v>
      </c>
      <c r="G25" s="36">
        <f t="shared" si="1"/>
        <v>1.9</v>
      </c>
      <c r="H25" s="36">
        <f t="shared" si="0"/>
        <v>0.019</v>
      </c>
      <c r="I25" s="58"/>
      <c r="J25" s="81">
        <v>1.7</v>
      </c>
      <c r="K25" s="37">
        <f t="shared" si="2"/>
        <v>0.017</v>
      </c>
      <c r="L25" s="37">
        <f t="shared" si="3"/>
        <v>1.7</v>
      </c>
      <c r="M25" s="37">
        <f t="shared" si="2"/>
        <v>0.017</v>
      </c>
      <c r="N25" s="58"/>
      <c r="O25" s="81">
        <v>1.2</v>
      </c>
      <c r="P25" s="36">
        <f t="shared" si="4"/>
        <v>0.012</v>
      </c>
      <c r="Q25" s="36">
        <f t="shared" si="5"/>
        <v>1.2</v>
      </c>
      <c r="R25" s="36">
        <f t="shared" si="4"/>
        <v>0.012</v>
      </c>
    </row>
    <row r="26" spans="1:18" ht="12.75">
      <c r="A26" s="31"/>
      <c r="B26" s="31" t="s">
        <v>42</v>
      </c>
      <c r="C26" s="33">
        <v>0.01</v>
      </c>
      <c r="D26" s="58"/>
      <c r="E26" s="81">
        <v>0.33</v>
      </c>
      <c r="F26" s="36">
        <f t="shared" si="0"/>
        <v>0.0033000000000000004</v>
      </c>
      <c r="G26" s="36">
        <f t="shared" si="1"/>
        <v>0.33</v>
      </c>
      <c r="H26" s="36">
        <f t="shared" si="0"/>
        <v>0.0033000000000000004</v>
      </c>
      <c r="I26" s="58"/>
      <c r="J26" s="81">
        <v>0.24</v>
      </c>
      <c r="K26" s="37">
        <f t="shared" si="2"/>
        <v>0.0024</v>
      </c>
      <c r="L26" s="37">
        <f t="shared" si="3"/>
        <v>0.24</v>
      </c>
      <c r="M26" s="37">
        <f t="shared" si="2"/>
        <v>0.0024</v>
      </c>
      <c r="N26" s="58"/>
      <c r="O26" s="81">
        <v>0.14</v>
      </c>
      <c r="P26" s="36">
        <f t="shared" si="4"/>
        <v>0.0014000000000000002</v>
      </c>
      <c r="Q26" s="36">
        <f t="shared" si="5"/>
        <v>0.14</v>
      </c>
      <c r="R26" s="36">
        <f t="shared" si="4"/>
        <v>0.0014000000000000002</v>
      </c>
    </row>
    <row r="27" spans="1:18" ht="12.75">
      <c r="A27" s="31"/>
      <c r="B27" s="31" t="s">
        <v>43</v>
      </c>
      <c r="C27" s="33">
        <v>0.001</v>
      </c>
      <c r="D27" s="58"/>
      <c r="E27" s="81">
        <v>1.3</v>
      </c>
      <c r="F27" s="36">
        <f t="shared" si="0"/>
        <v>0.0013000000000000002</v>
      </c>
      <c r="G27" s="36">
        <f t="shared" si="1"/>
        <v>1.3</v>
      </c>
      <c r="H27" s="36">
        <f t="shared" si="0"/>
        <v>0.0013000000000000002</v>
      </c>
      <c r="I27" s="58"/>
      <c r="J27" s="81">
        <v>0.88</v>
      </c>
      <c r="K27" s="37">
        <f t="shared" si="2"/>
        <v>0.00088</v>
      </c>
      <c r="L27" s="37">
        <f t="shared" si="3"/>
        <v>0.88</v>
      </c>
      <c r="M27" s="37">
        <f t="shared" si="2"/>
        <v>0.00088</v>
      </c>
      <c r="N27" s="58"/>
      <c r="O27" s="81">
        <v>0.53</v>
      </c>
      <c r="P27" s="36">
        <f t="shared" si="4"/>
        <v>0.0005300000000000001</v>
      </c>
      <c r="Q27" s="36">
        <f t="shared" si="5"/>
        <v>0.53</v>
      </c>
      <c r="R27" s="36">
        <f t="shared" si="4"/>
        <v>0.0005300000000000001</v>
      </c>
    </row>
    <row r="28" spans="1:18" ht="12.75">
      <c r="A28" s="31"/>
      <c r="B28" s="31" t="s">
        <v>121</v>
      </c>
      <c r="C28" s="33">
        <v>0</v>
      </c>
      <c r="D28" s="58"/>
      <c r="E28" s="81">
        <v>5.7</v>
      </c>
      <c r="F28" s="36">
        <f t="shared" si="0"/>
        <v>0</v>
      </c>
      <c r="G28" s="36">
        <f t="shared" si="1"/>
        <v>5.7</v>
      </c>
      <c r="H28" s="36">
        <f t="shared" si="0"/>
        <v>0</v>
      </c>
      <c r="I28" s="58"/>
      <c r="J28" s="81">
        <v>5.8</v>
      </c>
      <c r="K28" s="37">
        <f t="shared" si="2"/>
        <v>0</v>
      </c>
      <c r="L28" s="37">
        <f t="shared" si="3"/>
        <v>5.8</v>
      </c>
      <c r="M28" s="37">
        <f t="shared" si="2"/>
        <v>0</v>
      </c>
      <c r="N28" s="58"/>
      <c r="O28" s="81">
        <v>3.7</v>
      </c>
      <c r="P28" s="36">
        <f t="shared" si="4"/>
        <v>0</v>
      </c>
      <c r="Q28" s="36">
        <f t="shared" si="5"/>
        <v>3.7</v>
      </c>
      <c r="R28" s="36">
        <f t="shared" si="4"/>
        <v>0</v>
      </c>
    </row>
    <row r="29" spans="1:18" ht="12.75">
      <c r="A29" s="31"/>
      <c r="B29" s="31" t="s">
        <v>122</v>
      </c>
      <c r="C29" s="33">
        <v>0</v>
      </c>
      <c r="D29" s="58"/>
      <c r="E29" s="81">
        <v>10.7</v>
      </c>
      <c r="F29" s="36">
        <f t="shared" si="0"/>
        <v>0</v>
      </c>
      <c r="G29" s="36">
        <f t="shared" si="1"/>
        <v>10.7</v>
      </c>
      <c r="H29" s="36">
        <f t="shared" si="0"/>
        <v>0</v>
      </c>
      <c r="I29" s="58"/>
      <c r="J29" s="81">
        <v>6.6</v>
      </c>
      <c r="K29" s="37">
        <f t="shared" si="2"/>
        <v>0</v>
      </c>
      <c r="L29" s="37">
        <f t="shared" si="3"/>
        <v>6.6</v>
      </c>
      <c r="M29" s="37">
        <f t="shared" si="2"/>
        <v>0</v>
      </c>
      <c r="N29" s="58"/>
      <c r="O29" s="81">
        <v>3.6</v>
      </c>
      <c r="P29" s="36">
        <f t="shared" si="4"/>
        <v>0</v>
      </c>
      <c r="Q29" s="36">
        <f t="shared" si="5"/>
        <v>3.6</v>
      </c>
      <c r="R29" s="36">
        <f t="shared" si="4"/>
        <v>0</v>
      </c>
    </row>
    <row r="30" spans="1:18" ht="12.75">
      <c r="A30" s="31"/>
      <c r="B30" s="31" t="s">
        <v>123</v>
      </c>
      <c r="C30" s="33">
        <v>0</v>
      </c>
      <c r="D30" s="58"/>
      <c r="E30" s="81">
        <v>10.9</v>
      </c>
      <c r="F30" s="36">
        <f t="shared" si="0"/>
        <v>0</v>
      </c>
      <c r="G30" s="36">
        <f t="shared" si="1"/>
        <v>10.9</v>
      </c>
      <c r="H30" s="36">
        <f t="shared" si="0"/>
        <v>0</v>
      </c>
      <c r="I30" s="58"/>
      <c r="J30" s="81">
        <v>12</v>
      </c>
      <c r="K30" s="37">
        <f t="shared" si="2"/>
        <v>0</v>
      </c>
      <c r="L30" s="37">
        <f t="shared" si="3"/>
        <v>12</v>
      </c>
      <c r="M30" s="37">
        <f t="shared" si="2"/>
        <v>0</v>
      </c>
      <c r="N30" s="58"/>
      <c r="O30" s="81">
        <v>7.2</v>
      </c>
      <c r="P30" s="36">
        <f t="shared" si="4"/>
        <v>0</v>
      </c>
      <c r="Q30" s="36">
        <f t="shared" si="5"/>
        <v>7.2</v>
      </c>
      <c r="R30" s="36">
        <f t="shared" si="4"/>
        <v>0</v>
      </c>
    </row>
    <row r="31" spans="1:18" ht="12.75">
      <c r="A31" s="31"/>
      <c r="B31" s="31" t="s">
        <v>124</v>
      </c>
      <c r="C31" s="33">
        <v>0</v>
      </c>
      <c r="D31" s="58"/>
      <c r="E31" s="81">
        <v>6.8</v>
      </c>
      <c r="F31" s="36">
        <f t="shared" si="0"/>
        <v>0</v>
      </c>
      <c r="G31" s="36">
        <f t="shared" si="1"/>
        <v>6.8</v>
      </c>
      <c r="H31" s="36">
        <f t="shared" si="0"/>
        <v>0</v>
      </c>
      <c r="I31" s="58"/>
      <c r="J31" s="81">
        <v>6.8</v>
      </c>
      <c r="K31" s="37">
        <f t="shared" si="2"/>
        <v>0</v>
      </c>
      <c r="L31" s="37">
        <f t="shared" si="3"/>
        <v>6.8</v>
      </c>
      <c r="M31" s="37">
        <f t="shared" si="2"/>
        <v>0</v>
      </c>
      <c r="N31" s="58"/>
      <c r="O31" s="81">
        <v>3.9</v>
      </c>
      <c r="P31" s="36">
        <f t="shared" si="4"/>
        <v>0</v>
      </c>
      <c r="Q31" s="36">
        <f t="shared" si="5"/>
        <v>3.9</v>
      </c>
      <c r="R31" s="36">
        <f t="shared" si="4"/>
        <v>0</v>
      </c>
    </row>
    <row r="32" spans="1:18" ht="12.75">
      <c r="A32" s="31"/>
      <c r="B32" s="31" t="s">
        <v>125</v>
      </c>
      <c r="C32" s="33">
        <v>0</v>
      </c>
      <c r="D32" s="58"/>
      <c r="E32" s="81">
        <v>13.9</v>
      </c>
      <c r="F32" s="36">
        <f t="shared" si="0"/>
        <v>0</v>
      </c>
      <c r="G32" s="36">
        <f t="shared" si="1"/>
        <v>13.9</v>
      </c>
      <c r="H32" s="36">
        <f t="shared" si="0"/>
        <v>0</v>
      </c>
      <c r="I32" s="58"/>
      <c r="J32" s="81">
        <v>13.2</v>
      </c>
      <c r="K32" s="37">
        <f t="shared" si="2"/>
        <v>0</v>
      </c>
      <c r="L32" s="37">
        <f t="shared" si="3"/>
        <v>13.2</v>
      </c>
      <c r="M32" s="37">
        <f t="shared" si="2"/>
        <v>0</v>
      </c>
      <c r="N32" s="58"/>
      <c r="O32" s="81">
        <v>8.9</v>
      </c>
      <c r="P32" s="36">
        <f t="shared" si="4"/>
        <v>0</v>
      </c>
      <c r="Q32" s="36">
        <f t="shared" si="5"/>
        <v>8.9</v>
      </c>
      <c r="R32" s="36">
        <f t="shared" si="4"/>
        <v>0</v>
      </c>
    </row>
    <row r="33" spans="1:18" ht="12.75">
      <c r="A33" s="31"/>
      <c r="B33" s="31" t="s">
        <v>126</v>
      </c>
      <c r="C33" s="33">
        <v>0</v>
      </c>
      <c r="D33" s="58"/>
      <c r="E33" s="81">
        <v>16</v>
      </c>
      <c r="F33" s="36">
        <f t="shared" si="0"/>
        <v>0</v>
      </c>
      <c r="G33" s="36">
        <f t="shared" si="1"/>
        <v>16</v>
      </c>
      <c r="H33" s="36">
        <f t="shared" si="0"/>
        <v>0</v>
      </c>
      <c r="I33" s="58"/>
      <c r="J33" s="81">
        <v>14.9</v>
      </c>
      <c r="K33" s="37">
        <f t="shared" si="2"/>
        <v>0</v>
      </c>
      <c r="L33" s="37">
        <f t="shared" si="3"/>
        <v>14.9</v>
      </c>
      <c r="M33" s="37">
        <f t="shared" si="2"/>
        <v>0</v>
      </c>
      <c r="N33" s="58"/>
      <c r="O33" s="81">
        <v>9.1</v>
      </c>
      <c r="P33" s="36">
        <f t="shared" si="4"/>
        <v>0</v>
      </c>
      <c r="Q33" s="36">
        <f t="shared" si="5"/>
        <v>9.1</v>
      </c>
      <c r="R33" s="36">
        <f t="shared" si="4"/>
        <v>0</v>
      </c>
    </row>
    <row r="34" spans="1:18" ht="12.75">
      <c r="A34" s="31"/>
      <c r="B34" s="31" t="s">
        <v>127</v>
      </c>
      <c r="C34" s="33">
        <v>0</v>
      </c>
      <c r="D34" s="58"/>
      <c r="E34" s="81">
        <v>9</v>
      </c>
      <c r="F34" s="36">
        <f t="shared" si="0"/>
        <v>0</v>
      </c>
      <c r="G34" s="36">
        <f t="shared" si="1"/>
        <v>9</v>
      </c>
      <c r="H34" s="36">
        <f t="shared" si="0"/>
        <v>0</v>
      </c>
      <c r="I34" s="58"/>
      <c r="J34" s="81">
        <v>8.4</v>
      </c>
      <c r="K34" s="37">
        <f t="shared" si="2"/>
        <v>0</v>
      </c>
      <c r="L34" s="37">
        <f t="shared" si="3"/>
        <v>8.4</v>
      </c>
      <c r="M34" s="37">
        <f t="shared" si="2"/>
        <v>0</v>
      </c>
      <c r="N34" s="58"/>
      <c r="O34" s="81">
        <v>5.8</v>
      </c>
      <c r="P34" s="36">
        <f t="shared" si="4"/>
        <v>0</v>
      </c>
      <c r="Q34" s="36">
        <f t="shared" si="5"/>
        <v>5.8</v>
      </c>
      <c r="R34" s="36">
        <f t="shared" si="4"/>
        <v>0</v>
      </c>
    </row>
    <row r="35" spans="1:18" ht="12.75">
      <c r="A35" s="31"/>
      <c r="B35" s="31" t="s">
        <v>128</v>
      </c>
      <c r="C35" s="33">
        <v>0</v>
      </c>
      <c r="D35" s="58"/>
      <c r="E35" s="81">
        <v>4.3</v>
      </c>
      <c r="F35" s="36">
        <f t="shared" si="0"/>
        <v>0</v>
      </c>
      <c r="G35" s="36">
        <f t="shared" si="1"/>
        <v>4.3</v>
      </c>
      <c r="H35" s="36">
        <f t="shared" si="0"/>
        <v>0</v>
      </c>
      <c r="I35" s="58"/>
      <c r="J35" s="81">
        <v>2.9</v>
      </c>
      <c r="K35" s="37">
        <f t="shared" si="2"/>
        <v>0</v>
      </c>
      <c r="L35" s="37">
        <f t="shared" si="3"/>
        <v>2.9</v>
      </c>
      <c r="M35" s="37">
        <f t="shared" si="2"/>
        <v>0</v>
      </c>
      <c r="N35" s="58"/>
      <c r="O35" s="81">
        <v>2.4</v>
      </c>
      <c r="P35" s="36">
        <f t="shared" si="4"/>
        <v>0</v>
      </c>
      <c r="Q35" s="36">
        <f t="shared" si="5"/>
        <v>2.4</v>
      </c>
      <c r="R35" s="36">
        <f t="shared" si="4"/>
        <v>0</v>
      </c>
    </row>
    <row r="36" spans="1:18" ht="12.75">
      <c r="A36" s="31"/>
      <c r="B36" s="31"/>
      <c r="C36" s="31"/>
      <c r="D36" s="31"/>
      <c r="E36" s="37"/>
      <c r="F36" s="39"/>
      <c r="G36" s="37"/>
      <c r="H36" s="39"/>
      <c r="I36" s="37"/>
      <c r="J36" s="31"/>
      <c r="K36" s="34"/>
      <c r="L36" s="34"/>
      <c r="M36" s="34"/>
      <c r="N36" s="37"/>
      <c r="O36" s="31"/>
      <c r="P36" s="38"/>
      <c r="Q36" s="37"/>
      <c r="R36" s="38"/>
    </row>
    <row r="37" spans="1:18" ht="12.75">
      <c r="A37" s="31"/>
      <c r="B37" s="31" t="s">
        <v>44</v>
      </c>
      <c r="C37" s="31"/>
      <c r="D37" s="31"/>
      <c r="E37" s="37"/>
      <c r="F37" s="37">
        <v>72.708</v>
      </c>
      <c r="G37" s="37">
        <v>72.708</v>
      </c>
      <c r="H37" s="37">
        <v>72.708</v>
      </c>
      <c r="I37" s="37"/>
      <c r="J37" s="37"/>
      <c r="K37" s="37">
        <v>71.926</v>
      </c>
      <c r="L37" s="37">
        <v>71.926</v>
      </c>
      <c r="M37" s="37">
        <v>71.926</v>
      </c>
      <c r="N37" s="37"/>
      <c r="O37" s="37"/>
      <c r="P37" s="37">
        <v>75.449</v>
      </c>
      <c r="Q37" s="37">
        <v>75.449</v>
      </c>
      <c r="R37" s="37">
        <v>75.449</v>
      </c>
    </row>
    <row r="38" spans="1:18" ht="12.75">
      <c r="A38" s="31"/>
      <c r="B38" s="31" t="s">
        <v>66</v>
      </c>
      <c r="C38" s="31"/>
      <c r="D38" s="31"/>
      <c r="E38" s="37"/>
      <c r="F38" s="37">
        <v>10.02</v>
      </c>
      <c r="G38" s="37">
        <v>10.02</v>
      </c>
      <c r="H38" s="37">
        <v>10.02</v>
      </c>
      <c r="I38" s="37"/>
      <c r="J38" s="37"/>
      <c r="K38" s="37">
        <v>10.02</v>
      </c>
      <c r="L38" s="37">
        <v>10.02</v>
      </c>
      <c r="M38" s="37">
        <v>10.02</v>
      </c>
      <c r="N38" s="37"/>
      <c r="O38" s="37"/>
      <c r="P38" s="37">
        <v>10.02</v>
      </c>
      <c r="Q38" s="37">
        <v>10.02</v>
      </c>
      <c r="R38" s="37">
        <v>10.02</v>
      </c>
    </row>
    <row r="39" spans="1:18" ht="12.75">
      <c r="A39" s="31"/>
      <c r="B39" s="31"/>
      <c r="C39" s="31"/>
      <c r="D39" s="31"/>
      <c r="E39" s="37"/>
      <c r="F39" s="31"/>
      <c r="G39" s="37"/>
      <c r="H39" s="31"/>
      <c r="I39" s="31"/>
      <c r="J39" s="37"/>
      <c r="K39" s="34"/>
      <c r="L39" s="34"/>
      <c r="M39" s="34"/>
      <c r="N39" s="37"/>
      <c r="O39" s="37"/>
      <c r="P39" s="37"/>
      <c r="Q39" s="37"/>
      <c r="R39" s="37"/>
    </row>
    <row r="40" spans="1:18" ht="12.75">
      <c r="A40" s="31"/>
      <c r="B40" s="31" t="s">
        <v>129</v>
      </c>
      <c r="C40" s="39"/>
      <c r="D40" s="39"/>
      <c r="E40" s="34"/>
      <c r="F40" s="37">
        <f>SUM(F11:F27)</f>
        <v>1.5396</v>
      </c>
      <c r="G40" s="34">
        <f>SUM(G27,G35,G34,G33,G32,G17,G31,G30,G29,G28)</f>
        <v>81.10000000000001</v>
      </c>
      <c r="H40" s="37">
        <f>SUM(H11:H27)</f>
        <v>1.5396</v>
      </c>
      <c r="I40" s="39"/>
      <c r="J40" s="34"/>
      <c r="K40" s="36">
        <f>SUM(K11:K27)</f>
        <v>1.4393799999999999</v>
      </c>
      <c r="L40" s="34">
        <f>SUM(L27,L35,L34,L33,L32,L17,L31,L30,L29,L28)</f>
        <v>74.08</v>
      </c>
      <c r="M40" s="36">
        <f>SUM(M11:M27)</f>
        <v>1.4393799999999999</v>
      </c>
      <c r="N40" s="39"/>
      <c r="O40" s="37"/>
      <c r="P40" s="37">
        <f>SUM(P11:P27)</f>
        <v>0.9567300000000001</v>
      </c>
      <c r="Q40" s="34">
        <f>SUM(Q27,Q35,Q34,Q33,Q32,Q17,Q31,Q30,Q29,Q28)</f>
        <v>46.43</v>
      </c>
      <c r="R40" s="37">
        <f>SUM(R11:R27)</f>
        <v>0.9567300000000001</v>
      </c>
    </row>
    <row r="41" spans="1:18" ht="12.75">
      <c r="A41" s="31"/>
      <c r="B41" s="31" t="s">
        <v>45</v>
      </c>
      <c r="C41" s="39"/>
      <c r="D41" s="34">
        <f>(F41-H41)*2/F41*100</f>
        <v>0</v>
      </c>
      <c r="E41" s="37"/>
      <c r="F41" s="37">
        <f>(F40/F37/0.0283*(21-7)/(21-F38))</f>
        <v>0.9540364416617134</v>
      </c>
      <c r="G41" s="37">
        <f>(G40/G37/0.0283*(21-7)/(21-G38))</f>
        <v>50.2548424387925</v>
      </c>
      <c r="H41" s="37">
        <f>(H40/H37/0.0283*(21-7)/(21-H38))</f>
        <v>0.9540364416617134</v>
      </c>
      <c r="I41" s="34">
        <f>(K41-M41)*2/K41*100</f>
        <v>0</v>
      </c>
      <c r="J41" s="37"/>
      <c r="K41" s="37">
        <f>K40/K37/0.0283*(21-7)/(21-K38)</f>
        <v>0.9016309585250707</v>
      </c>
      <c r="L41" s="37">
        <f>(L40/L37/0.0283*(21-7)/(21-L38))</f>
        <v>46.403883204947434</v>
      </c>
      <c r="M41" s="37">
        <f>M40/M37/0.0283*(21-7)/(21-M38)</f>
        <v>0.9016309585250707</v>
      </c>
      <c r="N41" s="34">
        <f>(P41-R41)*2/P41*100</f>
        <v>0</v>
      </c>
      <c r="O41" s="37"/>
      <c r="P41" s="37">
        <f>P40/P37/0.0283*(21-7)/(21-P38)</f>
        <v>0.571314391688585</v>
      </c>
      <c r="Q41" s="37">
        <f>(Q40/Q37/0.0283*(21-7)/(21-Q38))</f>
        <v>27.725823592968755</v>
      </c>
      <c r="R41" s="37">
        <f>R40/R37/0.0283*(21-7)/(21-R38)</f>
        <v>0.571314391688585</v>
      </c>
    </row>
    <row r="42" spans="1:18" ht="12.75">
      <c r="A42" s="31"/>
      <c r="B42" s="31"/>
      <c r="C42" s="31"/>
      <c r="D42" s="31"/>
      <c r="E42" s="36"/>
      <c r="F42" s="39"/>
      <c r="G42" s="36"/>
      <c r="H42" s="39"/>
      <c r="I42" s="36"/>
      <c r="J42" s="36"/>
      <c r="K42" s="36"/>
      <c r="L42" s="36"/>
      <c r="M42" s="36"/>
      <c r="N42" s="36"/>
      <c r="O42" s="36"/>
      <c r="P42" s="38"/>
      <c r="Q42" s="36"/>
      <c r="R42" s="38"/>
    </row>
    <row r="43" spans="1:18" ht="12.75">
      <c r="A43" s="37"/>
      <c r="B43" s="31" t="s">
        <v>67</v>
      </c>
      <c r="C43" s="37">
        <f>AVERAGE(H41,M41,R41)</f>
        <v>0.8089939306251231</v>
      </c>
      <c r="D43" s="37"/>
      <c r="E43" s="37"/>
      <c r="F43" s="39"/>
      <c r="G43" s="37"/>
      <c r="H43" s="39"/>
      <c r="I43" s="37"/>
      <c r="J43" s="37"/>
      <c r="K43" s="37"/>
      <c r="L43" s="37"/>
      <c r="M43" s="37"/>
      <c r="N43" s="37"/>
      <c r="O43" s="37"/>
      <c r="P43" s="38"/>
      <c r="Q43" s="37"/>
      <c r="R43" s="38"/>
    </row>
    <row r="44" spans="1:18" ht="12.75">
      <c r="A44" s="31"/>
      <c r="B44" s="31" t="s">
        <v>68</v>
      </c>
      <c r="C44" s="37">
        <f>AVERAGE(G41,L41,Q41)</f>
        <v>41.46151641223623</v>
      </c>
      <c r="D44" s="31"/>
      <c r="E44" s="38"/>
      <c r="F44" s="39"/>
      <c r="G44" s="38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7" spans="6:8" ht="12.75">
      <c r="F47" s="52"/>
      <c r="H47" s="52"/>
    </row>
    <row r="48" spans="6:8" ht="12.75">
      <c r="F48" s="69"/>
      <c r="H48" s="69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C1">
      <selection activeCell="C2" sqref="C2"/>
    </sheetView>
  </sheetViews>
  <sheetFormatPr defaultColWidth="9.140625" defaultRowHeight="12.75"/>
  <cols>
    <col min="1" max="2" width="8.00390625" style="0" hidden="1" customWidth="1"/>
    <col min="3" max="3" width="18.57421875" style="0" customWidth="1"/>
    <col min="4" max="4" width="7.00390625" style="68" customWidth="1"/>
    <col min="5" max="5" width="3.421875" style="0" customWidth="1"/>
    <col min="6" max="6" width="7.57421875" style="86" bestFit="1" customWidth="1"/>
    <col min="7" max="7" width="7.7109375" style="86" customWidth="1"/>
    <col min="8" max="8" width="8.28125" style="86" customWidth="1"/>
    <col min="9" max="9" width="6.00390625" style="0" customWidth="1"/>
    <col min="10" max="10" width="9.140625" style="86" customWidth="1"/>
    <col min="11" max="11" width="8.57421875" style="86" bestFit="1" customWidth="1"/>
    <col min="12" max="12" width="8.28125" style="86" customWidth="1"/>
    <col min="13" max="13" width="4.57421875" style="0" customWidth="1"/>
    <col min="14" max="14" width="8.28125" style="86" customWidth="1"/>
    <col min="15" max="15" width="7.7109375" style="86" customWidth="1"/>
    <col min="16" max="16" width="8.28125" style="86" customWidth="1"/>
    <col min="17" max="17" width="2.57421875" style="0" customWidth="1"/>
    <col min="19" max="19" width="7.7109375" style="0" customWidth="1"/>
    <col min="20" max="20" width="8.28125" style="0" customWidth="1"/>
    <col min="21" max="21" width="2.7109375" style="0" customWidth="1"/>
    <col min="23" max="23" width="7.7109375" style="0" customWidth="1"/>
    <col min="24" max="24" width="8.28125" style="0" customWidth="1"/>
  </cols>
  <sheetData>
    <row r="1" ht="12.75">
      <c r="C1" s="8" t="s">
        <v>211</v>
      </c>
    </row>
    <row r="2" spans="6:16" ht="12.75">
      <c r="F2" s="87" t="s">
        <v>56</v>
      </c>
      <c r="G2" s="87"/>
      <c r="H2" s="87"/>
      <c r="J2" s="87" t="s">
        <v>57</v>
      </c>
      <c r="K2" s="87"/>
      <c r="L2" s="87"/>
      <c r="N2" s="87" t="s">
        <v>58</v>
      </c>
      <c r="O2" s="87"/>
      <c r="P2" s="87"/>
    </row>
    <row r="3" spans="3:16" ht="12.75">
      <c r="C3" t="s">
        <v>76</v>
      </c>
      <c r="D3" s="68" t="s">
        <v>22</v>
      </c>
      <c r="F3" s="88" t="s">
        <v>24</v>
      </c>
      <c r="G3" s="88" t="s">
        <v>24</v>
      </c>
      <c r="H3" s="88" t="s">
        <v>26</v>
      </c>
      <c r="J3" s="88" t="s">
        <v>24</v>
      </c>
      <c r="K3" s="88" t="s">
        <v>24</v>
      </c>
      <c r="L3" s="88" t="s">
        <v>26</v>
      </c>
      <c r="N3" s="88" t="s">
        <v>24</v>
      </c>
      <c r="O3" s="88" t="s">
        <v>24</v>
      </c>
      <c r="P3" s="88" t="s">
        <v>26</v>
      </c>
    </row>
    <row r="4" spans="4:16" ht="12.75">
      <c r="D4" s="68" t="s">
        <v>241</v>
      </c>
      <c r="F4" s="88" t="s">
        <v>242</v>
      </c>
      <c r="G4" s="88" t="s">
        <v>79</v>
      </c>
      <c r="H4" s="88" t="s">
        <v>79</v>
      </c>
      <c r="J4" s="88" t="s">
        <v>242</v>
      </c>
      <c r="K4" s="88" t="s">
        <v>79</v>
      </c>
      <c r="L4" s="88" t="s">
        <v>79</v>
      </c>
      <c r="N4" s="88" t="s">
        <v>242</v>
      </c>
      <c r="O4" s="88" t="s">
        <v>79</v>
      </c>
      <c r="P4" s="88" t="s">
        <v>79</v>
      </c>
    </row>
    <row r="5" spans="1:16" s="62" customFormat="1" ht="12.75">
      <c r="A5" s="62" t="s">
        <v>211</v>
      </c>
      <c r="C5" s="62" t="s">
        <v>243</v>
      </c>
      <c r="D5" s="70">
        <v>1</v>
      </c>
      <c r="E5" s="63">
        <v>2</v>
      </c>
      <c r="F5" s="89">
        <v>0.013119095477920529</v>
      </c>
      <c r="G5" s="89">
        <f>IF(E5=1,F5/2,F5)</f>
        <v>0.013119095477920529</v>
      </c>
      <c r="H5" s="89">
        <f>G5*$D5</f>
        <v>0.013119095477920529</v>
      </c>
      <c r="I5" s="63"/>
      <c r="J5" s="89">
        <v>0.059902213454665</v>
      </c>
      <c r="K5" s="89">
        <f>IF(I5=1,J5/2,J5)</f>
        <v>0.059902213454665</v>
      </c>
      <c r="L5" s="89">
        <f>K5*$D5</f>
        <v>0.059902213454665</v>
      </c>
      <c r="M5" s="63"/>
      <c r="N5" s="89">
        <v>0.02352629225015275</v>
      </c>
      <c r="O5" s="89">
        <f>IF(M5=1,N5/2,N5)</f>
        <v>0.02352629225015275</v>
      </c>
      <c r="P5" s="89">
        <f>O5*$D5</f>
        <v>0.02352629225015275</v>
      </c>
    </row>
    <row r="6" spans="1:16" s="62" customFormat="1" ht="12.75">
      <c r="A6" s="62" t="s">
        <v>211</v>
      </c>
      <c r="C6" s="62" t="s">
        <v>244</v>
      </c>
      <c r="D6" s="70">
        <v>0</v>
      </c>
      <c r="E6" s="63"/>
      <c r="F6" s="89">
        <v>5.6280919600279</v>
      </c>
      <c r="G6" s="89">
        <f aca="true" t="shared" si="0" ref="G6:G37">IF(E6=1,F6/2,F6)</f>
        <v>5.6280919600279</v>
      </c>
      <c r="H6" s="89">
        <f aca="true" t="shared" si="1" ref="H6:H37">G6*$D6</f>
        <v>0</v>
      </c>
      <c r="I6" s="63"/>
      <c r="J6" s="89">
        <v>7.87714106928845</v>
      </c>
      <c r="K6" s="89">
        <f aca="true" t="shared" si="2" ref="K6:K37">IF(I6=1,J6/2,J6)</f>
        <v>7.87714106928845</v>
      </c>
      <c r="L6" s="89">
        <f aca="true" t="shared" si="3" ref="L6:L37">K6*$D6</f>
        <v>0</v>
      </c>
      <c r="M6" s="63"/>
      <c r="N6" s="89">
        <v>3.328970353396614</v>
      </c>
      <c r="O6" s="89">
        <f aca="true" t="shared" si="4" ref="O6:O37">IF(M6=1,N6/2,N6)</f>
        <v>3.328970353396614</v>
      </c>
      <c r="P6" s="89">
        <f aca="true" t="shared" si="5" ref="P6:P37">O6*$D6</f>
        <v>0</v>
      </c>
    </row>
    <row r="7" spans="1:16" s="62" customFormat="1" ht="12.75">
      <c r="A7" s="62" t="s">
        <v>211</v>
      </c>
      <c r="C7" s="62" t="s">
        <v>245</v>
      </c>
      <c r="D7" s="70">
        <v>0</v>
      </c>
      <c r="E7" s="63"/>
      <c r="F7" s="89">
        <v>5.641211055505826</v>
      </c>
      <c r="G7" s="89">
        <f t="shared" si="0"/>
        <v>5.641211055505826</v>
      </c>
      <c r="H7" s="89">
        <f t="shared" si="1"/>
        <v>0</v>
      </c>
      <c r="I7" s="63"/>
      <c r="J7" s="89">
        <v>7.937043282743114</v>
      </c>
      <c r="K7" s="89">
        <f t="shared" si="2"/>
        <v>7.937043282743114</v>
      </c>
      <c r="L7" s="89">
        <f t="shared" si="3"/>
        <v>0</v>
      </c>
      <c r="M7" s="63"/>
      <c r="N7" s="89">
        <v>3.352496645646767</v>
      </c>
      <c r="O7" s="89">
        <f t="shared" si="4"/>
        <v>3.352496645646767</v>
      </c>
      <c r="P7" s="89">
        <f t="shared" si="5"/>
        <v>0</v>
      </c>
    </row>
    <row r="8" spans="1:16" s="62" customFormat="1" ht="12.75">
      <c r="A8" s="62" t="s">
        <v>211</v>
      </c>
      <c r="C8" s="62" t="s">
        <v>246</v>
      </c>
      <c r="D8" s="70">
        <v>0.5</v>
      </c>
      <c r="E8" s="63"/>
      <c r="F8" s="89">
        <v>0.24926281408049</v>
      </c>
      <c r="G8" s="89">
        <f t="shared" si="0"/>
        <v>0.24926281408049</v>
      </c>
      <c r="H8" s="89">
        <f t="shared" si="1"/>
        <v>0.124631407040245</v>
      </c>
      <c r="I8" s="63"/>
      <c r="J8" s="89">
        <v>0.35941328072799</v>
      </c>
      <c r="K8" s="89">
        <f t="shared" si="2"/>
        <v>0.35941328072799</v>
      </c>
      <c r="L8" s="89">
        <f t="shared" si="3"/>
        <v>0.179706640363995</v>
      </c>
      <c r="M8" s="63"/>
      <c r="N8" s="89">
        <v>0.12939460737584</v>
      </c>
      <c r="O8" s="89">
        <f t="shared" si="4"/>
        <v>0.12939460737584</v>
      </c>
      <c r="P8" s="89">
        <f t="shared" si="5"/>
        <v>0.06469730368792</v>
      </c>
    </row>
    <row r="9" spans="1:16" s="62" customFormat="1" ht="12.75">
      <c r="A9" s="62" t="s">
        <v>211</v>
      </c>
      <c r="C9" s="62" t="s">
        <v>247</v>
      </c>
      <c r="D9" s="70">
        <v>0</v>
      </c>
      <c r="E9" s="63"/>
      <c r="F9" s="89">
        <v>10.246013568256</v>
      </c>
      <c r="G9" s="89">
        <f t="shared" si="0"/>
        <v>10.246013568256</v>
      </c>
      <c r="H9" s="89">
        <f t="shared" si="1"/>
        <v>0</v>
      </c>
      <c r="I9" s="63"/>
      <c r="J9" s="89">
        <v>8.101774369743444</v>
      </c>
      <c r="K9" s="89">
        <f t="shared" si="2"/>
        <v>8.101774369743444</v>
      </c>
      <c r="L9" s="89">
        <f t="shared" si="3"/>
        <v>0</v>
      </c>
      <c r="M9" s="63"/>
      <c r="N9" s="89">
        <v>3.3995492301470724</v>
      </c>
      <c r="O9" s="89">
        <f t="shared" si="4"/>
        <v>3.3995492301470724</v>
      </c>
      <c r="P9" s="89">
        <f t="shared" si="5"/>
        <v>0</v>
      </c>
    </row>
    <row r="10" spans="1:16" s="62" customFormat="1" ht="12.75">
      <c r="A10" s="62" t="s">
        <v>211</v>
      </c>
      <c r="C10" s="62" t="s">
        <v>248</v>
      </c>
      <c r="D10" s="70">
        <v>0</v>
      </c>
      <c r="E10" s="63"/>
      <c r="F10" s="89">
        <v>10.49527638233642</v>
      </c>
      <c r="G10" s="89">
        <f t="shared" si="0"/>
        <v>10.49527638233642</v>
      </c>
      <c r="H10" s="89">
        <f t="shared" si="1"/>
        <v>0</v>
      </c>
      <c r="I10" s="63"/>
      <c r="J10" s="89">
        <v>8.461187650471434</v>
      </c>
      <c r="K10" s="89">
        <f t="shared" si="2"/>
        <v>8.461187650471434</v>
      </c>
      <c r="L10" s="89">
        <f t="shared" si="3"/>
        <v>0</v>
      </c>
      <c r="M10" s="63"/>
      <c r="N10" s="89">
        <v>3.5289438375229127</v>
      </c>
      <c r="O10" s="89">
        <f t="shared" si="4"/>
        <v>3.5289438375229127</v>
      </c>
      <c r="P10" s="89">
        <f t="shared" si="5"/>
        <v>0</v>
      </c>
    </row>
    <row r="11" spans="1:16" s="62" customFormat="1" ht="12.75">
      <c r="A11" s="62" t="s">
        <v>211</v>
      </c>
      <c r="C11" s="62" t="s">
        <v>249</v>
      </c>
      <c r="D11" s="70">
        <v>0.1</v>
      </c>
      <c r="E11" s="63"/>
      <c r="F11" s="89">
        <v>0.3214178392090529</v>
      </c>
      <c r="G11" s="89">
        <f t="shared" si="0"/>
        <v>0.3214178392090529</v>
      </c>
      <c r="H11" s="89">
        <f t="shared" si="1"/>
        <v>0.0321417839209053</v>
      </c>
      <c r="I11" s="63"/>
      <c r="J11" s="89">
        <v>0.5241443677283188</v>
      </c>
      <c r="K11" s="89">
        <f t="shared" si="2"/>
        <v>0.5241443677283188</v>
      </c>
      <c r="L11" s="89">
        <f t="shared" si="3"/>
        <v>0.05241443677283189</v>
      </c>
      <c r="M11" s="63"/>
      <c r="N11" s="89">
        <v>0.17056561881360746</v>
      </c>
      <c r="O11" s="89">
        <f t="shared" si="4"/>
        <v>0.17056561881360746</v>
      </c>
      <c r="P11" s="89">
        <f t="shared" si="5"/>
        <v>0.017056561881360746</v>
      </c>
    </row>
    <row r="12" spans="1:16" s="62" customFormat="1" ht="12.75">
      <c r="A12" s="62" t="s">
        <v>211</v>
      </c>
      <c r="C12" s="62" t="s">
        <v>250</v>
      </c>
      <c r="D12" s="70">
        <v>0.1</v>
      </c>
      <c r="E12" s="63"/>
      <c r="F12" s="89">
        <v>0.72155025128563</v>
      </c>
      <c r="G12" s="89">
        <f t="shared" si="0"/>
        <v>0.72155025128563</v>
      </c>
      <c r="H12" s="89">
        <f t="shared" si="1"/>
        <v>0.072155025128563</v>
      </c>
      <c r="I12" s="63"/>
      <c r="J12" s="89">
        <v>1.0482887354566377</v>
      </c>
      <c r="K12" s="89">
        <f t="shared" si="2"/>
        <v>1.0482887354566377</v>
      </c>
      <c r="L12" s="89">
        <f t="shared" si="3"/>
        <v>0.10482887354566378</v>
      </c>
      <c r="M12" s="63"/>
      <c r="N12" s="89">
        <v>0.3823022490649822</v>
      </c>
      <c r="O12" s="89">
        <f t="shared" si="4"/>
        <v>0.3823022490649822</v>
      </c>
      <c r="P12" s="89">
        <f t="shared" si="5"/>
        <v>0.038230224906498224</v>
      </c>
    </row>
    <row r="13" spans="1:16" s="62" customFormat="1" ht="12.75">
      <c r="A13" s="62" t="s">
        <v>211</v>
      </c>
      <c r="C13" s="62" t="s">
        <v>251</v>
      </c>
      <c r="D13" s="70">
        <v>0.1</v>
      </c>
      <c r="E13" s="63"/>
      <c r="F13" s="89">
        <v>0.72155025128563</v>
      </c>
      <c r="G13" s="89">
        <f t="shared" si="0"/>
        <v>0.72155025128563</v>
      </c>
      <c r="H13" s="89">
        <f t="shared" si="1"/>
        <v>0.072155025128563</v>
      </c>
      <c r="I13" s="63"/>
      <c r="J13" s="89">
        <v>1.123166502274969</v>
      </c>
      <c r="K13" s="89">
        <f t="shared" si="2"/>
        <v>1.123166502274969</v>
      </c>
      <c r="L13" s="89">
        <f t="shared" si="3"/>
        <v>0.11231665022749691</v>
      </c>
      <c r="M13" s="63"/>
      <c r="N13" s="89">
        <v>0.36465752987736766</v>
      </c>
      <c r="O13" s="89">
        <f t="shared" si="4"/>
        <v>0.36465752987736766</v>
      </c>
      <c r="P13" s="89">
        <f t="shared" si="5"/>
        <v>0.036465752987736764</v>
      </c>
    </row>
    <row r="14" spans="1:16" s="62" customFormat="1" ht="12.75">
      <c r="A14" s="62" t="s">
        <v>211</v>
      </c>
      <c r="C14" s="62" t="s">
        <v>252</v>
      </c>
      <c r="D14" s="70">
        <v>0</v>
      </c>
      <c r="E14" s="63"/>
      <c r="F14" s="89">
        <v>11.748150000477834</v>
      </c>
      <c r="G14" s="89">
        <f t="shared" si="0"/>
        <v>11.748150000477834</v>
      </c>
      <c r="H14" s="89">
        <f t="shared" si="1"/>
        <v>0</v>
      </c>
      <c r="I14" s="63"/>
      <c r="J14" s="89">
        <v>17.74603073594451</v>
      </c>
      <c r="K14" s="89">
        <f t="shared" si="2"/>
        <v>17.74603073594451</v>
      </c>
      <c r="L14" s="89">
        <f t="shared" si="3"/>
        <v>0</v>
      </c>
      <c r="M14" s="63"/>
      <c r="N14" s="89">
        <v>6.84615104479445</v>
      </c>
      <c r="O14" s="89">
        <f t="shared" si="4"/>
        <v>6.84615104479445</v>
      </c>
      <c r="P14" s="89">
        <f t="shared" si="5"/>
        <v>0</v>
      </c>
    </row>
    <row r="15" spans="1:16" s="62" customFormat="1" ht="12.75">
      <c r="A15" s="62" t="s">
        <v>211</v>
      </c>
      <c r="C15" s="62" t="s">
        <v>253</v>
      </c>
      <c r="D15" s="70">
        <v>0</v>
      </c>
      <c r="E15" s="63"/>
      <c r="F15" s="89">
        <v>13.512668342258145</v>
      </c>
      <c r="G15" s="89">
        <f t="shared" si="0"/>
        <v>13.512668342258145</v>
      </c>
      <c r="H15" s="89">
        <f t="shared" si="1"/>
        <v>0</v>
      </c>
      <c r="I15" s="63"/>
      <c r="J15" s="89">
        <v>20.441630341404437</v>
      </c>
      <c r="K15" s="89">
        <f t="shared" si="2"/>
        <v>20.441630341404437</v>
      </c>
      <c r="L15" s="89">
        <f t="shared" si="3"/>
        <v>0</v>
      </c>
      <c r="M15" s="63"/>
      <c r="N15" s="89">
        <v>7.7636764425504</v>
      </c>
      <c r="O15" s="89">
        <f t="shared" si="4"/>
        <v>7.7636764425504</v>
      </c>
      <c r="P15" s="89">
        <f t="shared" si="5"/>
        <v>0</v>
      </c>
    </row>
    <row r="16" spans="1:16" s="62" customFormat="1" ht="12.75">
      <c r="A16" s="62" t="s">
        <v>211</v>
      </c>
      <c r="C16" s="62" t="s">
        <v>254</v>
      </c>
      <c r="D16" s="70">
        <v>0.01</v>
      </c>
      <c r="E16" s="63"/>
      <c r="F16" s="89">
        <v>3.3453693468697345</v>
      </c>
      <c r="G16" s="89">
        <f t="shared" si="0"/>
        <v>3.3453693468697345</v>
      </c>
      <c r="H16" s="89">
        <f t="shared" si="1"/>
        <v>0.033453693468697344</v>
      </c>
      <c r="I16" s="63"/>
      <c r="J16" s="89">
        <v>5.391199210919851</v>
      </c>
      <c r="K16" s="89">
        <f t="shared" si="2"/>
        <v>5.391199210919851</v>
      </c>
      <c r="L16" s="89">
        <f t="shared" si="3"/>
        <v>0.05391199210919851</v>
      </c>
      <c r="M16" s="63"/>
      <c r="N16" s="89">
        <v>1.9409191106376</v>
      </c>
      <c r="O16" s="89">
        <f t="shared" si="4"/>
        <v>1.9409191106376</v>
      </c>
      <c r="P16" s="89">
        <f t="shared" si="5"/>
        <v>0.019409191106376</v>
      </c>
    </row>
    <row r="17" spans="1:16" s="62" customFormat="1" ht="12.75">
      <c r="A17" s="62" t="s">
        <v>211</v>
      </c>
      <c r="C17" s="62" t="s">
        <v>255</v>
      </c>
      <c r="D17" s="70">
        <v>0</v>
      </c>
      <c r="E17" s="63"/>
      <c r="F17" s="89">
        <v>4.72287437205139</v>
      </c>
      <c r="G17" s="89">
        <f t="shared" si="0"/>
        <v>4.72287437205139</v>
      </c>
      <c r="H17" s="89">
        <f t="shared" si="1"/>
        <v>0</v>
      </c>
      <c r="I17" s="63"/>
      <c r="J17" s="89">
        <v>7.487776681833127</v>
      </c>
      <c r="K17" s="89">
        <f t="shared" si="2"/>
        <v>7.487776681833127</v>
      </c>
      <c r="L17" s="89">
        <f t="shared" si="3"/>
        <v>0</v>
      </c>
      <c r="M17" s="63"/>
      <c r="N17" s="89">
        <v>2.411444955640657</v>
      </c>
      <c r="O17" s="89">
        <f t="shared" si="4"/>
        <v>2.411444955640657</v>
      </c>
      <c r="P17" s="89">
        <f t="shared" si="5"/>
        <v>0</v>
      </c>
    </row>
    <row r="18" spans="1:16" s="62" customFormat="1" ht="12.75">
      <c r="A18" s="62" t="s">
        <v>211</v>
      </c>
      <c r="C18" s="62" t="s">
        <v>256</v>
      </c>
      <c r="D18" s="70">
        <v>0</v>
      </c>
      <c r="E18" s="63"/>
      <c r="F18" s="89">
        <v>8.068243718921124</v>
      </c>
      <c r="G18" s="89">
        <f t="shared" si="0"/>
        <v>8.068243718921124</v>
      </c>
      <c r="H18" s="89">
        <f t="shared" si="1"/>
        <v>0</v>
      </c>
      <c r="I18" s="63"/>
      <c r="J18" s="89">
        <v>12.878975892753</v>
      </c>
      <c r="K18" s="89">
        <f t="shared" si="2"/>
        <v>12.878975892753</v>
      </c>
      <c r="L18" s="89">
        <f t="shared" si="3"/>
        <v>0</v>
      </c>
      <c r="M18" s="63"/>
      <c r="N18" s="89">
        <v>4.352364066278259</v>
      </c>
      <c r="O18" s="89">
        <f t="shared" si="4"/>
        <v>4.352364066278259</v>
      </c>
      <c r="P18" s="89">
        <f t="shared" si="5"/>
        <v>0</v>
      </c>
    </row>
    <row r="19" spans="1:16" s="62" customFormat="1" ht="12.75">
      <c r="A19" s="62" t="s">
        <v>211</v>
      </c>
      <c r="C19" s="62" t="s">
        <v>257</v>
      </c>
      <c r="D19" s="70">
        <v>0.001</v>
      </c>
      <c r="E19" s="63"/>
      <c r="F19" s="89">
        <v>3.0829874373113237</v>
      </c>
      <c r="G19" s="89">
        <f t="shared" si="0"/>
        <v>3.0829874373113237</v>
      </c>
      <c r="H19" s="89">
        <f t="shared" si="1"/>
        <v>0.003082987437311324</v>
      </c>
      <c r="I19" s="63"/>
      <c r="J19" s="89">
        <v>5.0168103768282</v>
      </c>
      <c r="K19" s="89">
        <f t="shared" si="2"/>
        <v>5.0168103768282</v>
      </c>
      <c r="L19" s="89">
        <f t="shared" si="3"/>
        <v>0.005016810376828201</v>
      </c>
      <c r="M19" s="63"/>
      <c r="N19" s="89">
        <v>1.999734841262984</v>
      </c>
      <c r="O19" s="89">
        <f t="shared" si="4"/>
        <v>1.999734841262984</v>
      </c>
      <c r="P19" s="89">
        <f t="shared" si="5"/>
        <v>0.001999734841262984</v>
      </c>
    </row>
    <row r="20" spans="1:16" s="62" customFormat="1" ht="12.75">
      <c r="A20" s="62" t="s">
        <v>211</v>
      </c>
      <c r="C20" s="62" t="s">
        <v>258</v>
      </c>
      <c r="D20" s="70">
        <v>0.1</v>
      </c>
      <c r="E20" s="63"/>
      <c r="F20" s="89">
        <v>0.28206055277529135</v>
      </c>
      <c r="G20" s="89">
        <f t="shared" si="0"/>
        <v>0.28206055277529135</v>
      </c>
      <c r="H20" s="89">
        <f t="shared" si="1"/>
        <v>0.028206055277529136</v>
      </c>
      <c r="I20" s="63"/>
      <c r="J20" s="89">
        <v>0.3893643874553226</v>
      </c>
      <c r="K20" s="89">
        <f t="shared" si="2"/>
        <v>0.3893643874553226</v>
      </c>
      <c r="L20" s="89">
        <f t="shared" si="3"/>
        <v>0.038936438745532265</v>
      </c>
      <c r="M20" s="63"/>
      <c r="N20" s="89">
        <v>0.21173663025137476</v>
      </c>
      <c r="O20" s="89">
        <f t="shared" si="4"/>
        <v>0.21173663025137476</v>
      </c>
      <c r="P20" s="89">
        <f t="shared" si="5"/>
        <v>0.021173663025137478</v>
      </c>
    </row>
    <row r="21" spans="1:16" s="62" customFormat="1" ht="12.75">
      <c r="A21" s="62" t="s">
        <v>211</v>
      </c>
      <c r="C21" s="62" t="s">
        <v>259</v>
      </c>
      <c r="D21" s="70">
        <v>0</v>
      </c>
      <c r="E21" s="63"/>
      <c r="F21" s="89">
        <v>9.6884520104443</v>
      </c>
      <c r="G21" s="89">
        <f t="shared" si="0"/>
        <v>9.6884520104443</v>
      </c>
      <c r="H21" s="89">
        <f t="shared" si="1"/>
        <v>0</v>
      </c>
      <c r="I21" s="63"/>
      <c r="J21" s="89">
        <v>14.436433442574268</v>
      </c>
      <c r="K21" s="89">
        <f t="shared" si="2"/>
        <v>14.436433442574268</v>
      </c>
      <c r="L21" s="89">
        <f t="shared" si="3"/>
        <v>0</v>
      </c>
      <c r="M21" s="63"/>
      <c r="N21" s="89">
        <v>7.199045428546741</v>
      </c>
      <c r="O21" s="89">
        <f t="shared" si="4"/>
        <v>7.199045428546741</v>
      </c>
      <c r="P21" s="89">
        <f t="shared" si="5"/>
        <v>0</v>
      </c>
    </row>
    <row r="22" spans="1:16" s="62" customFormat="1" ht="12.75">
      <c r="A22" s="62" t="s">
        <v>211</v>
      </c>
      <c r="C22" s="62" t="s">
        <v>260</v>
      </c>
      <c r="D22" s="70">
        <v>0</v>
      </c>
      <c r="E22" s="63"/>
      <c r="F22" s="89">
        <v>9.9705125632196</v>
      </c>
      <c r="G22" s="89">
        <f t="shared" si="0"/>
        <v>9.9705125632196</v>
      </c>
      <c r="H22" s="89">
        <f t="shared" si="1"/>
        <v>0</v>
      </c>
      <c r="I22" s="63"/>
      <c r="J22" s="89">
        <v>14.825797830029591</v>
      </c>
      <c r="K22" s="89">
        <f t="shared" si="2"/>
        <v>14.825797830029591</v>
      </c>
      <c r="L22" s="89">
        <f t="shared" si="3"/>
        <v>0</v>
      </c>
      <c r="M22" s="63"/>
      <c r="N22" s="89">
        <v>7.410782058798116</v>
      </c>
      <c r="O22" s="89">
        <f t="shared" si="4"/>
        <v>7.410782058798116</v>
      </c>
      <c r="P22" s="89">
        <f t="shared" si="5"/>
        <v>0</v>
      </c>
    </row>
    <row r="23" spans="1:16" s="62" customFormat="1" ht="12.75">
      <c r="A23" s="62" t="s">
        <v>211</v>
      </c>
      <c r="C23" s="62" t="s">
        <v>261</v>
      </c>
      <c r="D23" s="70">
        <v>0.05</v>
      </c>
      <c r="E23" s="63"/>
      <c r="F23" s="89">
        <v>0.400132412076576</v>
      </c>
      <c r="G23" s="89">
        <f t="shared" si="0"/>
        <v>0.400132412076576</v>
      </c>
      <c r="H23" s="89">
        <f t="shared" si="1"/>
        <v>0.020006620603828802</v>
      </c>
      <c r="I23" s="63">
        <v>2</v>
      </c>
      <c r="J23" s="89">
        <v>0.5615832511374845</v>
      </c>
      <c r="K23" s="89">
        <f t="shared" si="2"/>
        <v>0.5615832511374845</v>
      </c>
      <c r="L23" s="89">
        <f t="shared" si="3"/>
        <v>0.02807916255687423</v>
      </c>
      <c r="M23" s="63"/>
      <c r="N23" s="89">
        <v>0.24114449556406567</v>
      </c>
      <c r="O23" s="89">
        <f t="shared" si="4"/>
        <v>0.24114449556406567</v>
      </c>
      <c r="P23" s="89">
        <f t="shared" si="5"/>
        <v>0.012057224778203285</v>
      </c>
    </row>
    <row r="24" spans="1:16" s="62" customFormat="1" ht="12.75">
      <c r="A24" s="62" t="s">
        <v>211</v>
      </c>
      <c r="C24" s="62" t="s">
        <v>262</v>
      </c>
      <c r="D24" s="70">
        <v>0.5</v>
      </c>
      <c r="E24" s="63"/>
      <c r="F24" s="89">
        <v>1.1807185930128474</v>
      </c>
      <c r="G24" s="89">
        <f t="shared" si="0"/>
        <v>1.1807185930128474</v>
      </c>
      <c r="H24" s="89">
        <f t="shared" si="1"/>
        <v>0.5903592965064237</v>
      </c>
      <c r="I24" s="63"/>
      <c r="J24" s="89">
        <v>1.4226775695483</v>
      </c>
      <c r="K24" s="89">
        <f t="shared" si="2"/>
        <v>1.4226775695483</v>
      </c>
      <c r="L24" s="89">
        <f t="shared" si="3"/>
        <v>0.71133878477415</v>
      </c>
      <c r="M24" s="63"/>
      <c r="N24" s="89">
        <v>0.7646044981299644</v>
      </c>
      <c r="O24" s="89">
        <f t="shared" si="4"/>
        <v>0.7646044981299644</v>
      </c>
      <c r="P24" s="89">
        <f t="shared" si="5"/>
        <v>0.3823022490649822</v>
      </c>
    </row>
    <row r="25" spans="1:16" s="62" customFormat="1" ht="12.75">
      <c r="A25" s="62" t="s">
        <v>211</v>
      </c>
      <c r="C25" s="62" t="s">
        <v>263</v>
      </c>
      <c r="D25" s="70">
        <v>0</v>
      </c>
      <c r="E25" s="63"/>
      <c r="F25" s="89">
        <v>10.751098744155872</v>
      </c>
      <c r="G25" s="89">
        <f t="shared" si="0"/>
        <v>10.751098744155872</v>
      </c>
      <c r="H25" s="89">
        <f t="shared" si="1"/>
        <v>0</v>
      </c>
      <c r="I25" s="63"/>
      <c r="J25" s="89">
        <v>13.440559143890464</v>
      </c>
      <c r="K25" s="89">
        <f t="shared" si="2"/>
        <v>13.440559143890464</v>
      </c>
      <c r="L25" s="89">
        <f t="shared" si="3"/>
        <v>0</v>
      </c>
      <c r="M25" s="63"/>
      <c r="N25" s="89">
        <v>7.463716216360962</v>
      </c>
      <c r="O25" s="89">
        <f t="shared" si="4"/>
        <v>7.463716216360962</v>
      </c>
      <c r="P25" s="89">
        <f t="shared" si="5"/>
        <v>0</v>
      </c>
    </row>
    <row r="26" spans="1:16" s="62" customFormat="1" ht="12.75">
      <c r="A26" s="62" t="s">
        <v>211</v>
      </c>
      <c r="C26" s="62" t="s">
        <v>264</v>
      </c>
      <c r="D26" s="70">
        <v>0</v>
      </c>
      <c r="E26" s="63"/>
      <c r="F26" s="89">
        <v>12.331949749245295</v>
      </c>
      <c r="G26" s="89">
        <f t="shared" si="0"/>
        <v>12.331949749245295</v>
      </c>
      <c r="H26" s="89">
        <f t="shared" si="1"/>
        <v>0</v>
      </c>
      <c r="I26" s="63"/>
      <c r="J26" s="89">
        <v>15.424819964576242</v>
      </c>
      <c r="K26" s="89">
        <f t="shared" si="2"/>
        <v>15.424819964576242</v>
      </c>
      <c r="L26" s="89">
        <f t="shared" si="3"/>
        <v>0</v>
      </c>
      <c r="M26" s="63"/>
      <c r="N26" s="89">
        <v>8.469465210055</v>
      </c>
      <c r="O26" s="89">
        <f t="shared" si="4"/>
        <v>8.469465210055</v>
      </c>
      <c r="P26" s="89">
        <f t="shared" si="5"/>
        <v>0</v>
      </c>
    </row>
    <row r="27" spans="1:16" s="62" customFormat="1" ht="12.75">
      <c r="A27" s="62" t="s">
        <v>211</v>
      </c>
      <c r="C27" s="62" t="s">
        <v>265</v>
      </c>
      <c r="D27" s="70">
        <v>0.1</v>
      </c>
      <c r="E27" s="63"/>
      <c r="F27" s="89">
        <v>1.8366733669088737</v>
      </c>
      <c r="G27" s="89">
        <f t="shared" si="0"/>
        <v>1.8366733669088737</v>
      </c>
      <c r="H27" s="89">
        <f t="shared" si="1"/>
        <v>0.1836673366908874</v>
      </c>
      <c r="I27" s="63"/>
      <c r="J27" s="89">
        <v>2.470966305004932</v>
      </c>
      <c r="K27" s="89">
        <f t="shared" si="2"/>
        <v>2.470966305004932</v>
      </c>
      <c r="L27" s="89">
        <f t="shared" si="3"/>
        <v>0.24709663050049324</v>
      </c>
      <c r="M27" s="63"/>
      <c r="N27" s="89">
        <v>1.2939460737584</v>
      </c>
      <c r="O27" s="89">
        <f t="shared" si="4"/>
        <v>1.2939460737584</v>
      </c>
      <c r="P27" s="89">
        <f t="shared" si="5"/>
        <v>0.12939460737584002</v>
      </c>
    </row>
    <row r="28" spans="1:16" s="62" customFormat="1" ht="12.75">
      <c r="A28" s="62" t="s">
        <v>211</v>
      </c>
      <c r="C28" s="62" t="s">
        <v>266</v>
      </c>
      <c r="D28" s="70">
        <v>0.1</v>
      </c>
      <c r="E28" s="63"/>
      <c r="F28" s="89">
        <v>0.72155025128563</v>
      </c>
      <c r="G28" s="89">
        <f t="shared" si="0"/>
        <v>0.72155025128563</v>
      </c>
      <c r="H28" s="89">
        <f t="shared" si="1"/>
        <v>0.072155025128563</v>
      </c>
      <c r="I28" s="63"/>
      <c r="J28" s="89">
        <v>1.123166502274969</v>
      </c>
      <c r="K28" s="89">
        <f t="shared" si="2"/>
        <v>1.123166502274969</v>
      </c>
      <c r="L28" s="89">
        <f t="shared" si="3"/>
        <v>0.11231665022749691</v>
      </c>
      <c r="M28" s="63"/>
      <c r="N28" s="89">
        <v>0.49405213725320773</v>
      </c>
      <c r="O28" s="89">
        <f t="shared" si="4"/>
        <v>0.49405213725320773</v>
      </c>
      <c r="P28" s="89">
        <f t="shared" si="5"/>
        <v>0.04940521372532078</v>
      </c>
    </row>
    <row r="29" spans="1:16" s="62" customFormat="1" ht="12.75">
      <c r="A29" s="62" t="s">
        <v>211</v>
      </c>
      <c r="C29" s="62" t="s">
        <v>267</v>
      </c>
      <c r="D29" s="70">
        <v>0.1</v>
      </c>
      <c r="E29" s="63"/>
      <c r="F29" s="89">
        <v>0.039357286433761574</v>
      </c>
      <c r="G29" s="89">
        <f t="shared" si="0"/>
        <v>0.039357286433761574</v>
      </c>
      <c r="H29" s="89">
        <f t="shared" si="1"/>
        <v>0.003935728643376157</v>
      </c>
      <c r="I29" s="63"/>
      <c r="J29" s="89">
        <v>0.04492666009099876</v>
      </c>
      <c r="K29" s="89">
        <f t="shared" si="2"/>
        <v>0.04492666009099876</v>
      </c>
      <c r="L29" s="89">
        <f t="shared" si="3"/>
        <v>0.0044926660090998756</v>
      </c>
      <c r="M29" s="63"/>
      <c r="N29" s="89">
        <v>0.04117101143776732</v>
      </c>
      <c r="O29" s="89">
        <f t="shared" si="4"/>
        <v>0.04117101143776732</v>
      </c>
      <c r="P29" s="89">
        <f t="shared" si="5"/>
        <v>0.0041171011437767325</v>
      </c>
    </row>
    <row r="30" spans="1:16" s="62" customFormat="1" ht="12.75">
      <c r="A30" s="62" t="s">
        <v>211</v>
      </c>
      <c r="C30" s="62" t="s">
        <v>268</v>
      </c>
      <c r="D30" s="70">
        <v>0.1</v>
      </c>
      <c r="E30" s="63"/>
      <c r="F30" s="89">
        <v>1.4431005025712582</v>
      </c>
      <c r="G30" s="89">
        <f t="shared" si="0"/>
        <v>1.4431005025712582</v>
      </c>
      <c r="H30" s="89">
        <f t="shared" si="1"/>
        <v>0.14431005025712582</v>
      </c>
      <c r="I30" s="63"/>
      <c r="J30" s="89">
        <v>2.0965774709132754</v>
      </c>
      <c r="K30" s="89">
        <f t="shared" si="2"/>
        <v>2.0965774709132754</v>
      </c>
      <c r="L30" s="89">
        <f t="shared" si="3"/>
        <v>0.20965774709132756</v>
      </c>
      <c r="M30" s="63"/>
      <c r="N30" s="89">
        <v>1.2351303431330194</v>
      </c>
      <c r="O30" s="89">
        <f t="shared" si="4"/>
        <v>1.2351303431330194</v>
      </c>
      <c r="P30" s="89">
        <f t="shared" si="5"/>
        <v>0.12351303431330195</v>
      </c>
    </row>
    <row r="31" spans="1:16" s="62" customFormat="1" ht="12.75">
      <c r="A31" s="62" t="s">
        <v>211</v>
      </c>
      <c r="C31" s="62" t="s">
        <v>269</v>
      </c>
      <c r="D31" s="70">
        <v>0</v>
      </c>
      <c r="E31" s="63"/>
      <c r="F31" s="89">
        <v>4.486730653448818</v>
      </c>
      <c r="G31" s="89">
        <f t="shared" si="0"/>
        <v>4.486730653448818</v>
      </c>
      <c r="H31" s="89">
        <f t="shared" si="1"/>
        <v>0</v>
      </c>
      <c r="I31" s="63"/>
      <c r="J31" s="89">
        <v>7.667483322197116</v>
      </c>
      <c r="K31" s="89">
        <f t="shared" si="2"/>
        <v>7.667483322197116</v>
      </c>
      <c r="L31" s="89">
        <f t="shared" si="3"/>
        <v>0</v>
      </c>
      <c r="M31" s="63"/>
      <c r="N31" s="89">
        <v>3.8171409175872837</v>
      </c>
      <c r="O31" s="89">
        <f t="shared" si="4"/>
        <v>3.8171409175872837</v>
      </c>
      <c r="P31" s="89">
        <f t="shared" si="5"/>
        <v>0</v>
      </c>
    </row>
    <row r="32" spans="1:16" s="62" customFormat="1" ht="12.75">
      <c r="A32" s="62" t="s">
        <v>211</v>
      </c>
      <c r="C32" s="62" t="s">
        <v>270</v>
      </c>
      <c r="D32" s="70">
        <v>0</v>
      </c>
      <c r="E32" s="63"/>
      <c r="F32" s="89">
        <v>8.527412060648341</v>
      </c>
      <c r="G32" s="89">
        <f t="shared" si="0"/>
        <v>8.527412060648341</v>
      </c>
      <c r="H32" s="89">
        <f t="shared" si="1"/>
        <v>0</v>
      </c>
      <c r="I32" s="63"/>
      <c r="J32" s="89">
        <v>13.403120260481293</v>
      </c>
      <c r="K32" s="89">
        <f t="shared" si="2"/>
        <v>13.403120260481293</v>
      </c>
      <c r="L32" s="89">
        <f t="shared" si="3"/>
        <v>0</v>
      </c>
      <c r="M32" s="63"/>
      <c r="N32" s="89">
        <v>6.88144048316968</v>
      </c>
      <c r="O32" s="89">
        <f t="shared" si="4"/>
        <v>6.88144048316968</v>
      </c>
      <c r="P32" s="89">
        <f t="shared" si="5"/>
        <v>0</v>
      </c>
    </row>
    <row r="33" spans="1:16" s="62" customFormat="1" ht="12.75">
      <c r="A33" s="62" t="s">
        <v>211</v>
      </c>
      <c r="C33" s="62" t="s">
        <v>271</v>
      </c>
      <c r="D33" s="70">
        <v>0.01</v>
      </c>
      <c r="E33" s="63"/>
      <c r="F33" s="89">
        <v>2.2958417086361</v>
      </c>
      <c r="G33" s="89">
        <f t="shared" si="0"/>
        <v>2.2958417086361</v>
      </c>
      <c r="H33" s="89">
        <f t="shared" si="1"/>
        <v>0.022958417086361</v>
      </c>
      <c r="I33" s="63"/>
      <c r="J33" s="89">
        <v>3.3694995068249</v>
      </c>
      <c r="K33" s="89">
        <f t="shared" si="2"/>
        <v>3.3694995068249</v>
      </c>
      <c r="L33" s="89">
        <f t="shared" si="3"/>
        <v>0.033694995068249</v>
      </c>
      <c r="M33" s="63"/>
      <c r="N33" s="89">
        <v>1.8232876493868382</v>
      </c>
      <c r="O33" s="89">
        <f t="shared" si="4"/>
        <v>1.8232876493868382</v>
      </c>
      <c r="P33" s="89">
        <f t="shared" si="5"/>
        <v>0.018232876493868382</v>
      </c>
    </row>
    <row r="34" spans="1:16" s="62" customFormat="1" ht="12.75">
      <c r="A34" s="62" t="s">
        <v>211</v>
      </c>
      <c r="C34" s="62" t="s">
        <v>272</v>
      </c>
      <c r="D34" s="70">
        <v>0.01</v>
      </c>
      <c r="E34" s="63"/>
      <c r="F34" s="89">
        <v>0.24270326634153</v>
      </c>
      <c r="G34" s="89">
        <f t="shared" si="0"/>
        <v>0.24270326634153</v>
      </c>
      <c r="H34" s="89">
        <f t="shared" si="1"/>
        <v>0.0024270326634153</v>
      </c>
      <c r="I34" s="63"/>
      <c r="J34" s="89">
        <v>0.3444377273643239</v>
      </c>
      <c r="K34" s="89">
        <f t="shared" si="2"/>
        <v>0.3444377273643239</v>
      </c>
      <c r="L34" s="89">
        <f t="shared" si="3"/>
        <v>0.003444377273643239</v>
      </c>
      <c r="M34" s="63"/>
      <c r="N34" s="89">
        <v>0.36465752987736766</v>
      </c>
      <c r="O34" s="89">
        <f t="shared" si="4"/>
        <v>0.36465752987736766</v>
      </c>
      <c r="P34" s="89">
        <f t="shared" si="5"/>
        <v>0.003646575298773677</v>
      </c>
    </row>
    <row r="35" spans="1:16" s="62" customFormat="1" ht="12.75">
      <c r="A35" s="62" t="s">
        <v>211</v>
      </c>
      <c r="C35" s="62" t="s">
        <v>273</v>
      </c>
      <c r="D35" s="70">
        <v>0</v>
      </c>
      <c r="E35" s="63"/>
      <c r="F35" s="89">
        <v>0.9380153266713172</v>
      </c>
      <c r="G35" s="89">
        <f t="shared" si="0"/>
        <v>0.9380153266713172</v>
      </c>
      <c r="H35" s="89">
        <f t="shared" si="1"/>
        <v>0</v>
      </c>
      <c r="I35" s="63"/>
      <c r="J35" s="89">
        <v>2.426039644913933</v>
      </c>
      <c r="K35" s="89">
        <f t="shared" si="2"/>
        <v>2.426039644913933</v>
      </c>
      <c r="L35" s="89">
        <f t="shared" si="3"/>
        <v>0</v>
      </c>
      <c r="M35" s="63"/>
      <c r="N35" s="89">
        <v>1.75270877263638</v>
      </c>
      <c r="O35" s="89">
        <f t="shared" si="4"/>
        <v>1.75270877263638</v>
      </c>
      <c r="P35" s="89">
        <f t="shared" si="5"/>
        <v>0</v>
      </c>
    </row>
    <row r="36" spans="1:16" s="62" customFormat="1" ht="12.75">
      <c r="A36" s="62" t="s">
        <v>211</v>
      </c>
      <c r="C36" s="62" t="s">
        <v>274</v>
      </c>
      <c r="D36" s="70">
        <v>0</v>
      </c>
      <c r="E36" s="63"/>
      <c r="F36" s="89">
        <v>3.4765603016489393</v>
      </c>
      <c r="G36" s="89">
        <f t="shared" si="0"/>
        <v>3.4765603016489393</v>
      </c>
      <c r="H36" s="89">
        <f t="shared" si="1"/>
        <v>0</v>
      </c>
      <c r="I36" s="63"/>
      <c r="J36" s="89">
        <v>6.1399768791031635</v>
      </c>
      <c r="K36" s="89">
        <f t="shared" si="2"/>
        <v>6.1399768791031635</v>
      </c>
      <c r="L36" s="89">
        <f t="shared" si="3"/>
        <v>0</v>
      </c>
      <c r="M36" s="63"/>
      <c r="N36" s="89">
        <v>3.940653951900586</v>
      </c>
      <c r="O36" s="89">
        <f t="shared" si="4"/>
        <v>3.940653951900586</v>
      </c>
      <c r="P36" s="89">
        <f t="shared" si="5"/>
        <v>0</v>
      </c>
    </row>
    <row r="37" spans="1:16" s="62" customFormat="1" ht="12.75">
      <c r="A37" s="62" t="s">
        <v>211</v>
      </c>
      <c r="C37" s="62" t="s">
        <v>275</v>
      </c>
      <c r="D37" s="70">
        <v>0.001</v>
      </c>
      <c r="E37" s="63"/>
      <c r="F37" s="89">
        <v>1.3119095477920526</v>
      </c>
      <c r="G37" s="89">
        <f t="shared" si="0"/>
        <v>1.3119095477920526</v>
      </c>
      <c r="H37" s="89">
        <f t="shared" si="1"/>
        <v>0.0013119095477920526</v>
      </c>
      <c r="I37" s="63"/>
      <c r="J37" s="89">
        <v>1.4226775695483</v>
      </c>
      <c r="K37" s="89">
        <f t="shared" si="2"/>
        <v>1.4226775695483</v>
      </c>
      <c r="L37" s="89">
        <f t="shared" si="3"/>
        <v>0.0014226775695483</v>
      </c>
      <c r="M37" s="63"/>
      <c r="N37" s="89">
        <v>1.7056561881360743</v>
      </c>
      <c r="O37" s="89">
        <f t="shared" si="4"/>
        <v>1.7056561881360743</v>
      </c>
      <c r="P37" s="89">
        <f t="shared" si="5"/>
        <v>0.0017056561881360743</v>
      </c>
    </row>
    <row r="38" spans="1:16" s="62" customFormat="1" ht="12.75">
      <c r="A38" s="62" t="s">
        <v>211</v>
      </c>
      <c r="C38" s="62" t="s">
        <v>276</v>
      </c>
      <c r="D38" s="70"/>
      <c r="E38" s="63"/>
      <c r="F38" s="89">
        <v>76.418731158887</v>
      </c>
      <c r="G38" s="89">
        <f>SUM(G37,G36,G32,G26,G22,G19,G18,G15,G10,G7)</f>
        <v>76.41873115888707</v>
      </c>
      <c r="H38" s="89"/>
      <c r="I38" s="63"/>
      <c r="J38" s="89">
        <v>105.95204004793872</v>
      </c>
      <c r="K38" s="89">
        <f>SUM(K37,K36,K32,K26,K22,K19,K18,K15,K10,K7)</f>
        <v>105.95204004793878</v>
      </c>
      <c r="L38" s="89"/>
      <c r="M38" s="63"/>
      <c r="N38" s="89">
        <v>49.405213725320785</v>
      </c>
      <c r="O38" s="89">
        <f>SUM(O37,O36,O32,O26,O22,O19,O18,O15,O10,O7)</f>
        <v>49.40521372532078</v>
      </c>
      <c r="P38" s="89"/>
    </row>
    <row r="39" spans="1:16" s="62" customFormat="1" ht="12.75">
      <c r="A39" s="62" t="s">
        <v>211</v>
      </c>
      <c r="C39" s="62" t="s">
        <v>26</v>
      </c>
      <c r="D39" s="70"/>
      <c r="E39" s="67">
        <f>(F39-H39)*2/F39*100</f>
        <v>-1.0945271225967626E-12</v>
      </c>
      <c r="F39" s="89">
        <v>1.4200764900075</v>
      </c>
      <c r="G39" s="89"/>
      <c r="H39" s="89">
        <f>SUM(H5:H37)</f>
        <v>1.4200764900075078</v>
      </c>
      <c r="I39" s="67">
        <f>(J39-L39)*2/J39*100</f>
        <v>-4.0813318699775074E-13</v>
      </c>
      <c r="J39" s="89">
        <v>1.95857774666709</v>
      </c>
      <c r="K39" s="89"/>
      <c r="L39" s="89">
        <f>SUM(L5:L37)</f>
        <v>1.958577746667094</v>
      </c>
      <c r="M39" s="67">
        <f>(N39-P39)*2/N39*100</f>
        <v>7.034643736311566E-14</v>
      </c>
      <c r="N39" s="89">
        <v>0.9469332630686484</v>
      </c>
      <c r="O39" s="89"/>
      <c r="P39" s="89">
        <f>SUM(P5:P37)</f>
        <v>0.9469332630686481</v>
      </c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600" verticalDpi="600" orientation="landscape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C1">
      <selection activeCell="C2" sqref="C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4.140625" style="0" customWidth="1"/>
    <col min="4" max="4" width="7.00390625" style="68" customWidth="1"/>
    <col min="5" max="5" width="5.140625" style="0" customWidth="1"/>
    <col min="6" max="6" width="9.140625" style="86" customWidth="1"/>
    <col min="7" max="7" width="7.7109375" style="86" customWidth="1"/>
    <col min="8" max="8" width="8.28125" style="86" customWidth="1"/>
    <col min="9" max="9" width="3.57421875" style="0" bestFit="1" customWidth="1"/>
    <col min="10" max="10" width="9.140625" style="86" customWidth="1"/>
    <col min="11" max="11" width="7.7109375" style="86" customWidth="1"/>
    <col min="12" max="12" width="8.28125" style="86" customWidth="1"/>
    <col min="13" max="13" width="3.57421875" style="0" bestFit="1" customWidth="1"/>
    <col min="14" max="14" width="9.140625" style="86" customWidth="1"/>
    <col min="15" max="15" width="7.7109375" style="86" customWidth="1"/>
    <col min="16" max="16" width="8.28125" style="86" customWidth="1"/>
  </cols>
  <sheetData>
    <row r="1" ht="12.75">
      <c r="C1" s="8" t="s">
        <v>216</v>
      </c>
    </row>
    <row r="2" spans="6:16" ht="12.75">
      <c r="F2" s="87" t="s">
        <v>56</v>
      </c>
      <c r="G2" s="87"/>
      <c r="H2" s="87"/>
      <c r="J2" s="87" t="s">
        <v>57</v>
      </c>
      <c r="K2" s="87"/>
      <c r="L2" s="87"/>
      <c r="N2" s="87" t="s">
        <v>58</v>
      </c>
      <c r="O2" s="87"/>
      <c r="P2" s="87"/>
    </row>
    <row r="3" spans="3:16" ht="12.75">
      <c r="C3" t="s">
        <v>76</v>
      </c>
      <c r="D3" s="68" t="s">
        <v>22</v>
      </c>
      <c r="F3" s="88" t="s">
        <v>24</v>
      </c>
      <c r="G3" s="88" t="s">
        <v>24</v>
      </c>
      <c r="H3" s="88" t="s">
        <v>26</v>
      </c>
      <c r="I3" s="73"/>
      <c r="J3" s="88" t="s">
        <v>24</v>
      </c>
      <c r="K3" s="88" t="s">
        <v>24</v>
      </c>
      <c r="L3" s="88" t="s">
        <v>26</v>
      </c>
      <c r="M3" s="73"/>
      <c r="N3" s="88" t="s">
        <v>24</v>
      </c>
      <c r="O3" s="88" t="s">
        <v>24</v>
      </c>
      <c r="P3" s="86" t="s">
        <v>26</v>
      </c>
    </row>
    <row r="4" spans="4:16" ht="12.75">
      <c r="D4" s="68" t="s">
        <v>241</v>
      </c>
      <c r="F4" s="88" t="s">
        <v>242</v>
      </c>
      <c r="G4" s="88" t="s">
        <v>79</v>
      </c>
      <c r="H4" s="88" t="s">
        <v>79</v>
      </c>
      <c r="I4" s="73"/>
      <c r="J4" s="88" t="s">
        <v>242</v>
      </c>
      <c r="K4" s="88" t="s">
        <v>79</v>
      </c>
      <c r="L4" s="88" t="s">
        <v>79</v>
      </c>
      <c r="M4" s="73"/>
      <c r="N4" s="88" t="s">
        <v>242</v>
      </c>
      <c r="O4" s="88" t="s">
        <v>79</v>
      </c>
      <c r="P4" s="86" t="s">
        <v>79</v>
      </c>
    </row>
    <row r="5" spans="1:16" s="62" customFormat="1" ht="12.75">
      <c r="A5" s="62" t="s">
        <v>216</v>
      </c>
      <c r="C5" s="62" t="s">
        <v>243</v>
      </c>
      <c r="D5" s="70">
        <v>1</v>
      </c>
      <c r="E5" s="63">
        <v>1</v>
      </c>
      <c r="F5" s="89">
        <v>0.018537412414289783</v>
      </c>
      <c r="G5" s="89">
        <f>IF(E5=1,F5/2,F5)</f>
        <v>0.009268706207144891</v>
      </c>
      <c r="H5" s="89">
        <f>G5*$D5</f>
        <v>0.009268706207144891</v>
      </c>
      <c r="I5" s="63">
        <v>1</v>
      </c>
      <c r="J5" s="89">
        <v>0.018738956452717816</v>
      </c>
      <c r="K5" s="89">
        <f>IF(I5=1,J5/2,J5)</f>
        <v>0.009369478226358908</v>
      </c>
      <c r="L5" s="89">
        <f>K5*$D5</f>
        <v>0.009369478226358908</v>
      </c>
      <c r="M5" s="63"/>
      <c r="N5" s="89">
        <v>0.017863963496112363</v>
      </c>
      <c r="O5" s="89">
        <f>IF(M5=1,N5/2,N5)</f>
        <v>0.017863963496112363</v>
      </c>
      <c r="P5" s="89">
        <f>O5*$D5</f>
        <v>0.017863963496112363</v>
      </c>
    </row>
    <row r="6" spans="1:16" s="62" customFormat="1" ht="12.75">
      <c r="A6" s="62" t="s">
        <v>216</v>
      </c>
      <c r="C6" s="62" t="s">
        <v>244</v>
      </c>
      <c r="D6" s="70">
        <v>0</v>
      </c>
      <c r="E6" s="63"/>
      <c r="F6" s="89">
        <v>3.50357094630077</v>
      </c>
      <c r="G6" s="89">
        <f aca="true" t="shared" si="0" ref="G6:G37">IF(E6=1,F6/2,F6)</f>
        <v>3.50357094630077</v>
      </c>
      <c r="H6" s="89">
        <f aca="true" t="shared" si="1" ref="H6:H37">G6*$D6</f>
        <v>0</v>
      </c>
      <c r="I6" s="63"/>
      <c r="J6" s="89">
        <v>3.6041259577394</v>
      </c>
      <c r="K6" s="89">
        <f aca="true" t="shared" si="2" ref="K6:K37">IF(I6=1,J6/2,J6)</f>
        <v>3.6041259577394</v>
      </c>
      <c r="L6" s="89">
        <f aca="true" t="shared" si="3" ref="L6:L37">K6*$D6</f>
        <v>0</v>
      </c>
      <c r="M6" s="63"/>
      <c r="N6" s="89">
        <v>2.1853582010244126</v>
      </c>
      <c r="O6" s="89">
        <f aca="true" t="shared" si="4" ref="O6:O37">IF(M6=1,N6/2,N6)</f>
        <v>2.1853582010244126</v>
      </c>
      <c r="P6" s="89">
        <f aca="true" t="shared" si="5" ref="P6:P37">O6*$D6</f>
        <v>0</v>
      </c>
    </row>
    <row r="7" spans="1:16" s="62" customFormat="1" ht="12.75">
      <c r="A7" s="62" t="s">
        <v>216</v>
      </c>
      <c r="C7" s="62" t="s">
        <v>245</v>
      </c>
      <c r="D7" s="70">
        <v>0</v>
      </c>
      <c r="E7" s="63"/>
      <c r="F7" s="89">
        <v>3.5221083587150597</v>
      </c>
      <c r="G7" s="89">
        <f t="shared" si="0"/>
        <v>3.5221083587150597</v>
      </c>
      <c r="H7" s="89">
        <f t="shared" si="1"/>
        <v>0</v>
      </c>
      <c r="I7" s="63"/>
      <c r="J7" s="89">
        <v>3.622864914192111</v>
      </c>
      <c r="K7" s="89">
        <f t="shared" si="2"/>
        <v>3.622864914192111</v>
      </c>
      <c r="L7" s="89">
        <f t="shared" si="3"/>
        <v>0</v>
      </c>
      <c r="M7" s="63"/>
      <c r="N7" s="89">
        <v>2.203222164520525</v>
      </c>
      <c r="O7" s="89">
        <f t="shared" si="4"/>
        <v>2.203222164520525</v>
      </c>
      <c r="P7" s="89">
        <f t="shared" si="5"/>
        <v>0</v>
      </c>
    </row>
    <row r="8" spans="1:16" s="62" customFormat="1" ht="12.75">
      <c r="A8" s="62" t="s">
        <v>216</v>
      </c>
      <c r="C8" s="62" t="s">
        <v>246</v>
      </c>
      <c r="D8" s="70">
        <v>0.5</v>
      </c>
      <c r="E8" s="63">
        <v>1</v>
      </c>
      <c r="F8" s="89">
        <v>0.16065757425717814</v>
      </c>
      <c r="G8" s="89">
        <f t="shared" si="0"/>
        <v>0.08032878712858907</v>
      </c>
      <c r="H8" s="89">
        <f t="shared" si="1"/>
        <v>0.040164393564294534</v>
      </c>
      <c r="I8" s="63"/>
      <c r="J8" s="89">
        <v>0.19988220216232339</v>
      </c>
      <c r="K8" s="89">
        <f t="shared" si="2"/>
        <v>0.19988220216232339</v>
      </c>
      <c r="L8" s="89">
        <f t="shared" si="3"/>
        <v>0.09994110108116169</v>
      </c>
      <c r="M8" s="63"/>
      <c r="N8" s="89">
        <v>0.10718378097667418</v>
      </c>
      <c r="O8" s="89">
        <f t="shared" si="4"/>
        <v>0.10718378097667418</v>
      </c>
      <c r="P8" s="89">
        <f t="shared" si="5"/>
        <v>0.05359189048833709</v>
      </c>
    </row>
    <row r="9" spans="1:16" s="62" customFormat="1" ht="12.75">
      <c r="A9" s="62" t="s">
        <v>216</v>
      </c>
      <c r="C9" s="62" t="s">
        <v>247</v>
      </c>
      <c r="D9" s="70">
        <v>0</v>
      </c>
      <c r="E9" s="63"/>
      <c r="F9" s="89">
        <v>6.451019520172843</v>
      </c>
      <c r="G9" s="89">
        <f t="shared" si="0"/>
        <v>6.451019520172843</v>
      </c>
      <c r="H9" s="89">
        <f t="shared" si="1"/>
        <v>0</v>
      </c>
      <c r="I9" s="63"/>
      <c r="J9" s="89">
        <v>3.9226882174356</v>
      </c>
      <c r="K9" s="89">
        <f t="shared" si="2"/>
        <v>3.9226882174356</v>
      </c>
      <c r="L9" s="89">
        <f t="shared" si="3"/>
        <v>0</v>
      </c>
      <c r="M9" s="63"/>
      <c r="N9" s="89">
        <v>2.03649183855681</v>
      </c>
      <c r="O9" s="89">
        <f t="shared" si="4"/>
        <v>2.03649183855681</v>
      </c>
      <c r="P9" s="89">
        <f t="shared" si="5"/>
        <v>0</v>
      </c>
    </row>
    <row r="10" spans="1:16" s="62" customFormat="1" ht="12.75">
      <c r="A10" s="62" t="s">
        <v>216</v>
      </c>
      <c r="C10" s="62" t="s">
        <v>248</v>
      </c>
      <c r="D10" s="70">
        <v>0</v>
      </c>
      <c r="E10" s="63"/>
      <c r="F10" s="89">
        <v>6.611677094430021</v>
      </c>
      <c r="G10" s="89">
        <f t="shared" si="0"/>
        <v>6.611677094430021</v>
      </c>
      <c r="H10" s="89">
        <f t="shared" si="1"/>
        <v>0</v>
      </c>
      <c r="I10" s="63"/>
      <c r="J10" s="89">
        <v>4.12257041959792</v>
      </c>
      <c r="K10" s="89">
        <f t="shared" si="2"/>
        <v>4.12257041959792</v>
      </c>
      <c r="L10" s="89">
        <f t="shared" si="3"/>
        <v>0</v>
      </c>
      <c r="M10" s="63"/>
      <c r="N10" s="89">
        <v>2.143675619533484</v>
      </c>
      <c r="O10" s="89">
        <f t="shared" si="4"/>
        <v>2.143675619533484</v>
      </c>
      <c r="P10" s="89">
        <f t="shared" si="5"/>
        <v>0</v>
      </c>
    </row>
    <row r="11" spans="1:16" s="62" customFormat="1" ht="12.75">
      <c r="A11" s="62" t="s">
        <v>216</v>
      </c>
      <c r="C11" s="62" t="s">
        <v>249</v>
      </c>
      <c r="D11" s="70">
        <v>0.1</v>
      </c>
      <c r="E11" s="63"/>
      <c r="F11" s="89">
        <v>0.173015849200038</v>
      </c>
      <c r="G11" s="89">
        <f t="shared" si="0"/>
        <v>0.173015849200038</v>
      </c>
      <c r="H11" s="89">
        <f t="shared" si="1"/>
        <v>0.0173015849200038</v>
      </c>
      <c r="I11" s="63"/>
      <c r="J11" s="89">
        <v>0.20612852097989598</v>
      </c>
      <c r="K11" s="89">
        <f t="shared" si="2"/>
        <v>0.20612852097989598</v>
      </c>
      <c r="L11" s="89">
        <f t="shared" si="3"/>
        <v>0.0206128520979896</v>
      </c>
      <c r="M11" s="63"/>
      <c r="N11" s="89">
        <v>0.10122912647797</v>
      </c>
      <c r="O11" s="89">
        <f t="shared" si="4"/>
        <v>0.10122912647797</v>
      </c>
      <c r="P11" s="89">
        <f t="shared" si="5"/>
        <v>0.010122912647797001</v>
      </c>
    </row>
    <row r="12" spans="1:16" s="62" customFormat="1" ht="12.75">
      <c r="A12" s="62" t="s">
        <v>216</v>
      </c>
      <c r="C12" s="62" t="s">
        <v>250</v>
      </c>
      <c r="D12" s="70">
        <v>0.1</v>
      </c>
      <c r="E12" s="63"/>
      <c r="F12" s="89">
        <v>0.3954647981715154</v>
      </c>
      <c r="G12" s="89">
        <f t="shared" si="0"/>
        <v>0.3954647981715154</v>
      </c>
      <c r="H12" s="89">
        <f t="shared" si="1"/>
        <v>0.03954647981715154</v>
      </c>
      <c r="I12" s="63"/>
      <c r="J12" s="89">
        <v>0.41225704195979196</v>
      </c>
      <c r="K12" s="89">
        <f t="shared" si="2"/>
        <v>0.41225704195979196</v>
      </c>
      <c r="L12" s="89">
        <f t="shared" si="3"/>
        <v>0.0412257041959792</v>
      </c>
      <c r="M12" s="63"/>
      <c r="N12" s="89">
        <v>0.24414083444686893</v>
      </c>
      <c r="O12" s="89">
        <f t="shared" si="4"/>
        <v>0.24414083444686893</v>
      </c>
      <c r="P12" s="89">
        <f t="shared" si="5"/>
        <v>0.024414083444686895</v>
      </c>
    </row>
    <row r="13" spans="1:16" s="62" customFormat="1" ht="12.75">
      <c r="A13" s="62" t="s">
        <v>216</v>
      </c>
      <c r="C13" s="62" t="s">
        <v>251</v>
      </c>
      <c r="D13" s="70">
        <v>0.1</v>
      </c>
      <c r="E13" s="63"/>
      <c r="F13" s="89">
        <v>0.45107703541438476</v>
      </c>
      <c r="G13" s="89">
        <f t="shared" si="0"/>
        <v>0.45107703541438476</v>
      </c>
      <c r="H13" s="89">
        <f t="shared" si="1"/>
        <v>0.045107703541438476</v>
      </c>
      <c r="I13" s="63"/>
      <c r="J13" s="89">
        <v>0.5184444618585262</v>
      </c>
      <c r="K13" s="89">
        <f t="shared" si="2"/>
        <v>0.5184444618585262</v>
      </c>
      <c r="L13" s="89">
        <f t="shared" si="3"/>
        <v>0.05184444618585263</v>
      </c>
      <c r="M13" s="63"/>
      <c r="N13" s="89">
        <v>0.27391410694039</v>
      </c>
      <c r="O13" s="89">
        <f t="shared" si="4"/>
        <v>0.27391410694039</v>
      </c>
      <c r="P13" s="89">
        <f t="shared" si="5"/>
        <v>0.027391410694038998</v>
      </c>
    </row>
    <row r="14" spans="1:16" s="62" customFormat="1" ht="12.75">
      <c r="A14" s="62" t="s">
        <v>216</v>
      </c>
      <c r="C14" s="62" t="s">
        <v>252</v>
      </c>
      <c r="D14" s="70">
        <v>0</v>
      </c>
      <c r="E14" s="63"/>
      <c r="F14" s="89">
        <v>5.715702161072684</v>
      </c>
      <c r="G14" s="89">
        <f t="shared" si="0"/>
        <v>5.715702161072684</v>
      </c>
      <c r="H14" s="89">
        <f t="shared" si="1"/>
        <v>0</v>
      </c>
      <c r="I14" s="63"/>
      <c r="J14" s="89">
        <v>6.358752556288914</v>
      </c>
      <c r="K14" s="89">
        <f t="shared" si="2"/>
        <v>6.358752556288914</v>
      </c>
      <c r="L14" s="89">
        <f t="shared" si="3"/>
        <v>0</v>
      </c>
      <c r="M14" s="63"/>
      <c r="N14" s="89">
        <v>3.66806717120174</v>
      </c>
      <c r="O14" s="89">
        <f t="shared" si="4"/>
        <v>3.66806717120174</v>
      </c>
      <c r="P14" s="89">
        <f t="shared" si="5"/>
        <v>0</v>
      </c>
    </row>
    <row r="15" spans="1:16" s="62" customFormat="1" ht="12.75">
      <c r="A15" s="62" t="s">
        <v>216</v>
      </c>
      <c r="C15" s="62" t="s">
        <v>253</v>
      </c>
      <c r="D15" s="70">
        <v>0</v>
      </c>
      <c r="E15" s="63"/>
      <c r="F15" s="89">
        <v>6.735259843858622</v>
      </c>
      <c r="G15" s="89">
        <f t="shared" si="0"/>
        <v>6.735259843858622</v>
      </c>
      <c r="H15" s="89">
        <f t="shared" si="1"/>
        <v>0</v>
      </c>
      <c r="I15" s="63"/>
      <c r="J15" s="89">
        <v>7.4955825810871275</v>
      </c>
      <c r="K15" s="89">
        <f t="shared" si="2"/>
        <v>7.4955825810871275</v>
      </c>
      <c r="L15" s="89">
        <f t="shared" si="3"/>
        <v>0</v>
      </c>
      <c r="M15" s="63"/>
      <c r="N15" s="89">
        <v>4.287351239066968</v>
      </c>
      <c r="O15" s="89">
        <f t="shared" si="4"/>
        <v>4.287351239066968</v>
      </c>
      <c r="P15" s="89">
        <f t="shared" si="5"/>
        <v>0</v>
      </c>
    </row>
    <row r="16" spans="1:16" s="62" customFormat="1" ht="12.75">
      <c r="A16" s="62" t="s">
        <v>216</v>
      </c>
      <c r="C16" s="62" t="s">
        <v>254</v>
      </c>
      <c r="D16" s="70">
        <v>0.01</v>
      </c>
      <c r="E16" s="63"/>
      <c r="F16" s="89">
        <v>1.7919498667146792</v>
      </c>
      <c r="G16" s="89">
        <f t="shared" si="0"/>
        <v>1.7919498667146792</v>
      </c>
      <c r="H16" s="89">
        <f t="shared" si="1"/>
        <v>0.01791949866714679</v>
      </c>
      <c r="I16" s="63"/>
      <c r="J16" s="89">
        <v>1.8114324570960556</v>
      </c>
      <c r="K16" s="89">
        <f t="shared" si="2"/>
        <v>1.8114324570960556</v>
      </c>
      <c r="L16" s="89">
        <f t="shared" si="3"/>
        <v>0.018114324570960558</v>
      </c>
      <c r="M16" s="63"/>
      <c r="N16" s="89">
        <v>0.95274471979266</v>
      </c>
      <c r="O16" s="89">
        <f t="shared" si="4"/>
        <v>0.95274471979266</v>
      </c>
      <c r="P16" s="89">
        <f t="shared" si="5"/>
        <v>0.0095274471979266</v>
      </c>
    </row>
    <row r="17" spans="1:16" s="62" customFormat="1" ht="12.75">
      <c r="A17" s="62" t="s">
        <v>216</v>
      </c>
      <c r="C17" s="62" t="s">
        <v>255</v>
      </c>
      <c r="D17" s="70">
        <v>0</v>
      </c>
      <c r="E17" s="63"/>
      <c r="F17" s="89">
        <v>2.409863613857672</v>
      </c>
      <c r="G17" s="89">
        <f t="shared" si="0"/>
        <v>2.409863613857672</v>
      </c>
      <c r="H17" s="89">
        <f t="shared" si="1"/>
        <v>0</v>
      </c>
      <c r="I17" s="63"/>
      <c r="J17" s="89">
        <v>2.4360643388533156</v>
      </c>
      <c r="K17" s="89">
        <f t="shared" si="2"/>
        <v>2.4360643388533156</v>
      </c>
      <c r="L17" s="89">
        <f t="shared" si="3"/>
        <v>0</v>
      </c>
      <c r="M17" s="63"/>
      <c r="N17" s="89">
        <v>1.369570534701948</v>
      </c>
      <c r="O17" s="89">
        <f t="shared" si="4"/>
        <v>1.369570534701948</v>
      </c>
      <c r="P17" s="89">
        <f t="shared" si="5"/>
        <v>0</v>
      </c>
    </row>
    <row r="18" spans="1:16" s="62" customFormat="1" ht="12.75">
      <c r="A18" s="62" t="s">
        <v>216</v>
      </c>
      <c r="C18" s="62" t="s">
        <v>256</v>
      </c>
      <c r="D18" s="70">
        <v>0</v>
      </c>
      <c r="E18" s="63"/>
      <c r="F18" s="89">
        <v>4.201813480572351</v>
      </c>
      <c r="G18" s="89">
        <f t="shared" si="0"/>
        <v>4.201813480572351</v>
      </c>
      <c r="H18" s="89">
        <f t="shared" si="1"/>
        <v>0</v>
      </c>
      <c r="I18" s="63"/>
      <c r="J18" s="89">
        <v>4.247496795949371</v>
      </c>
      <c r="K18" s="89">
        <f t="shared" si="2"/>
        <v>4.247496795949371</v>
      </c>
      <c r="L18" s="89">
        <f t="shared" si="3"/>
        <v>0</v>
      </c>
      <c r="M18" s="63"/>
      <c r="N18" s="89">
        <v>2.3223152544946</v>
      </c>
      <c r="O18" s="89">
        <f t="shared" si="4"/>
        <v>2.3223152544946</v>
      </c>
      <c r="P18" s="89">
        <f t="shared" si="5"/>
        <v>0</v>
      </c>
    </row>
    <row r="19" spans="1:16" s="62" customFormat="1" ht="12.75">
      <c r="A19" s="62" t="s">
        <v>216</v>
      </c>
      <c r="C19" s="62" t="s">
        <v>257</v>
      </c>
      <c r="D19" s="70">
        <v>0.001</v>
      </c>
      <c r="E19" s="63"/>
      <c r="F19" s="89">
        <v>1.544784367857482</v>
      </c>
      <c r="G19" s="89">
        <f t="shared" si="0"/>
        <v>1.544784367857482</v>
      </c>
      <c r="H19" s="89">
        <f t="shared" si="1"/>
        <v>0.001544784367857482</v>
      </c>
      <c r="I19" s="63"/>
      <c r="J19" s="89">
        <v>1.6240428925688775</v>
      </c>
      <c r="K19" s="89">
        <f t="shared" si="2"/>
        <v>1.6240428925688775</v>
      </c>
      <c r="L19" s="89">
        <f t="shared" si="3"/>
        <v>0.0016240428925688776</v>
      </c>
      <c r="M19" s="63"/>
      <c r="N19" s="89">
        <v>0.7741050848315358</v>
      </c>
      <c r="O19" s="89">
        <f t="shared" si="4"/>
        <v>0.7741050848315358</v>
      </c>
      <c r="P19" s="89">
        <f t="shared" si="5"/>
        <v>0.0007741050848315359</v>
      </c>
    </row>
    <row r="20" spans="1:16" s="62" customFormat="1" ht="12.75">
      <c r="A20" s="62" t="s">
        <v>216</v>
      </c>
      <c r="C20" s="62" t="s">
        <v>258</v>
      </c>
      <c r="D20" s="70">
        <v>0.1</v>
      </c>
      <c r="E20" s="63"/>
      <c r="F20" s="89">
        <v>0.22862808644290733</v>
      </c>
      <c r="G20" s="89">
        <f t="shared" si="0"/>
        <v>0.22862808644290733</v>
      </c>
      <c r="H20" s="89">
        <f t="shared" si="1"/>
        <v>0.022862808644290734</v>
      </c>
      <c r="I20" s="63"/>
      <c r="J20" s="89">
        <v>0.19363588334475</v>
      </c>
      <c r="K20" s="89">
        <f t="shared" si="2"/>
        <v>0.19363588334475</v>
      </c>
      <c r="L20" s="89">
        <f t="shared" si="3"/>
        <v>0.019363588334475</v>
      </c>
      <c r="M20" s="63"/>
      <c r="N20" s="89">
        <v>0.1429117079688989</v>
      </c>
      <c r="O20" s="89">
        <f t="shared" si="4"/>
        <v>0.1429117079688989</v>
      </c>
      <c r="P20" s="89">
        <f t="shared" si="5"/>
        <v>0.014291170796889891</v>
      </c>
    </row>
    <row r="21" spans="1:16" s="62" customFormat="1" ht="12.75">
      <c r="A21" s="62" t="s">
        <v>216</v>
      </c>
      <c r="C21" s="62" t="s">
        <v>259</v>
      </c>
      <c r="D21" s="70">
        <v>0</v>
      </c>
      <c r="E21" s="63"/>
      <c r="F21" s="89">
        <v>8.3603729988447</v>
      </c>
      <c r="G21" s="89">
        <f t="shared" si="0"/>
        <v>8.3603729988447</v>
      </c>
      <c r="H21" s="89">
        <f t="shared" si="1"/>
        <v>0</v>
      </c>
      <c r="I21" s="63"/>
      <c r="J21" s="89">
        <v>8.051504955851088</v>
      </c>
      <c r="K21" s="89">
        <f t="shared" si="2"/>
        <v>8.051504955851088</v>
      </c>
      <c r="L21" s="89">
        <f t="shared" si="3"/>
        <v>0</v>
      </c>
      <c r="M21" s="63"/>
      <c r="N21" s="89">
        <v>5.156730795877769</v>
      </c>
      <c r="O21" s="89">
        <f t="shared" si="4"/>
        <v>5.156730795877769</v>
      </c>
      <c r="P21" s="89">
        <f t="shared" si="5"/>
        <v>0</v>
      </c>
    </row>
    <row r="22" spans="1:16" s="62" customFormat="1" ht="12.75">
      <c r="A22" s="62" t="s">
        <v>216</v>
      </c>
      <c r="C22" s="62" t="s">
        <v>260</v>
      </c>
      <c r="D22" s="70">
        <v>0</v>
      </c>
      <c r="E22" s="63"/>
      <c r="F22" s="89">
        <v>8.5890010852876</v>
      </c>
      <c r="G22" s="89">
        <f t="shared" si="0"/>
        <v>8.5890010852876</v>
      </c>
      <c r="H22" s="89">
        <f t="shared" si="1"/>
        <v>0</v>
      </c>
      <c r="I22" s="63"/>
      <c r="J22" s="89">
        <v>8.24514083919584</v>
      </c>
      <c r="K22" s="89">
        <f t="shared" si="2"/>
        <v>8.24514083919584</v>
      </c>
      <c r="L22" s="89">
        <f t="shared" si="3"/>
        <v>0</v>
      </c>
      <c r="M22" s="63"/>
      <c r="N22" s="89">
        <v>5.299642503846668</v>
      </c>
      <c r="O22" s="89">
        <f t="shared" si="4"/>
        <v>5.299642503846668</v>
      </c>
      <c r="P22" s="89">
        <f t="shared" si="5"/>
        <v>0</v>
      </c>
    </row>
    <row r="23" spans="1:16" s="62" customFormat="1" ht="12.75">
      <c r="A23" s="62" t="s">
        <v>216</v>
      </c>
      <c r="C23" s="62" t="s">
        <v>261</v>
      </c>
      <c r="D23" s="70">
        <v>0.05</v>
      </c>
      <c r="E23" s="63"/>
      <c r="F23" s="89">
        <v>0.30277773610006653</v>
      </c>
      <c r="G23" s="89">
        <f t="shared" si="0"/>
        <v>0.30277773610006653</v>
      </c>
      <c r="H23" s="89">
        <f t="shared" si="1"/>
        <v>0.015138886805003327</v>
      </c>
      <c r="I23" s="63"/>
      <c r="J23" s="89">
        <v>0.31856225969620294</v>
      </c>
      <c r="K23" s="89">
        <f t="shared" si="2"/>
        <v>0.31856225969620294</v>
      </c>
      <c r="L23" s="89">
        <f t="shared" si="3"/>
        <v>0.015928112984810148</v>
      </c>
      <c r="M23" s="63"/>
      <c r="N23" s="89">
        <v>0.17268498046242</v>
      </c>
      <c r="O23" s="89">
        <f t="shared" si="4"/>
        <v>0.17268498046242</v>
      </c>
      <c r="P23" s="89">
        <f t="shared" si="5"/>
        <v>0.008634249023121</v>
      </c>
    </row>
    <row r="24" spans="1:16" s="62" customFormat="1" ht="12.75">
      <c r="A24" s="62" t="s">
        <v>216</v>
      </c>
      <c r="C24" s="62" t="s">
        <v>262</v>
      </c>
      <c r="D24" s="70">
        <v>0.5</v>
      </c>
      <c r="E24" s="63"/>
      <c r="F24" s="89">
        <v>0.86507924600019</v>
      </c>
      <c r="G24" s="89">
        <f t="shared" si="0"/>
        <v>0.86507924600019</v>
      </c>
      <c r="H24" s="89">
        <f t="shared" si="1"/>
        <v>0.432539623000095</v>
      </c>
      <c r="I24" s="63"/>
      <c r="J24" s="89">
        <v>0.7495582581087126</v>
      </c>
      <c r="K24" s="89">
        <f t="shared" si="2"/>
        <v>0.7495582581087126</v>
      </c>
      <c r="L24" s="89">
        <f t="shared" si="3"/>
        <v>0.3747791290543563</v>
      </c>
      <c r="M24" s="63"/>
      <c r="N24" s="89">
        <v>0.494236323392442</v>
      </c>
      <c r="O24" s="89">
        <f t="shared" si="4"/>
        <v>0.494236323392442</v>
      </c>
      <c r="P24" s="89">
        <f t="shared" si="5"/>
        <v>0.247118161696221</v>
      </c>
    </row>
    <row r="25" spans="1:16" s="62" customFormat="1" ht="12.75">
      <c r="A25" s="62" t="s">
        <v>216</v>
      </c>
      <c r="C25" s="62" t="s">
        <v>263</v>
      </c>
      <c r="D25" s="70">
        <v>0</v>
      </c>
      <c r="E25" s="63"/>
      <c r="F25" s="89">
        <v>8.71876297218763</v>
      </c>
      <c r="G25" s="89">
        <f t="shared" si="0"/>
        <v>8.71876297218763</v>
      </c>
      <c r="H25" s="89">
        <f t="shared" si="1"/>
        <v>0</v>
      </c>
      <c r="I25" s="63"/>
      <c r="J25" s="89">
        <v>8.238894520378269</v>
      </c>
      <c r="K25" s="89">
        <f t="shared" si="2"/>
        <v>8.238894520378269</v>
      </c>
      <c r="L25" s="89">
        <f t="shared" si="3"/>
        <v>0</v>
      </c>
      <c r="M25" s="63"/>
      <c r="N25" s="89">
        <v>4.751814289965889</v>
      </c>
      <c r="O25" s="89">
        <f t="shared" si="4"/>
        <v>4.751814289965889</v>
      </c>
      <c r="P25" s="89">
        <f t="shared" si="5"/>
        <v>0</v>
      </c>
    </row>
    <row r="26" spans="1:16" s="62" customFormat="1" ht="12.75">
      <c r="A26" s="62" t="s">
        <v>216</v>
      </c>
      <c r="C26" s="62" t="s">
        <v>264</v>
      </c>
      <c r="D26" s="70">
        <v>0</v>
      </c>
      <c r="E26" s="63"/>
      <c r="F26" s="89">
        <v>9.886619954287887</v>
      </c>
      <c r="G26" s="89">
        <f t="shared" si="0"/>
        <v>9.886619954287887</v>
      </c>
      <c r="H26" s="89">
        <f t="shared" si="1"/>
        <v>0</v>
      </c>
      <c r="I26" s="63"/>
      <c r="J26" s="89">
        <v>9.307015038183183</v>
      </c>
      <c r="K26" s="89">
        <f t="shared" si="2"/>
        <v>9.307015038183183</v>
      </c>
      <c r="L26" s="89">
        <f t="shared" si="3"/>
        <v>0</v>
      </c>
      <c r="M26" s="63"/>
      <c r="N26" s="89">
        <v>5.41873559382075</v>
      </c>
      <c r="O26" s="89">
        <f t="shared" si="4"/>
        <v>5.41873559382075</v>
      </c>
      <c r="P26" s="89">
        <f t="shared" si="5"/>
        <v>0</v>
      </c>
    </row>
    <row r="27" spans="1:16" s="62" customFormat="1" ht="12.75">
      <c r="A27" s="62" t="s">
        <v>216</v>
      </c>
      <c r="C27" s="62" t="s">
        <v>265</v>
      </c>
      <c r="D27" s="70">
        <v>0.1</v>
      </c>
      <c r="E27" s="63"/>
      <c r="F27" s="89">
        <v>0.9886619954287887</v>
      </c>
      <c r="G27" s="89">
        <f t="shared" si="0"/>
        <v>0.9886619954287887</v>
      </c>
      <c r="H27" s="89">
        <f t="shared" si="1"/>
        <v>0.09886619954287888</v>
      </c>
      <c r="I27" s="63"/>
      <c r="J27" s="89">
        <v>0.93694782263589</v>
      </c>
      <c r="K27" s="89">
        <f t="shared" si="2"/>
        <v>0.93694782263589</v>
      </c>
      <c r="L27" s="89">
        <f t="shared" si="3"/>
        <v>0.09369478226358902</v>
      </c>
      <c r="M27" s="63"/>
      <c r="N27" s="89">
        <v>0.5954654498704122</v>
      </c>
      <c r="O27" s="89">
        <f t="shared" si="4"/>
        <v>0.5954654498704122</v>
      </c>
      <c r="P27" s="89">
        <f t="shared" si="5"/>
        <v>0.05954654498704122</v>
      </c>
    </row>
    <row r="28" spans="1:16" s="62" customFormat="1" ht="12.75">
      <c r="A28" s="62" t="s">
        <v>216</v>
      </c>
      <c r="C28" s="62" t="s">
        <v>266</v>
      </c>
      <c r="D28" s="70">
        <v>0.1</v>
      </c>
      <c r="E28" s="63"/>
      <c r="F28" s="89">
        <v>0.3707482482857957</v>
      </c>
      <c r="G28" s="89">
        <f t="shared" si="0"/>
        <v>0.3707482482857957</v>
      </c>
      <c r="H28" s="89">
        <f t="shared" si="1"/>
        <v>0.03707482482857957</v>
      </c>
      <c r="I28" s="63"/>
      <c r="J28" s="89">
        <v>0.38727176668950153</v>
      </c>
      <c r="K28" s="89">
        <f t="shared" si="2"/>
        <v>0.38727176668950153</v>
      </c>
      <c r="L28" s="89">
        <f t="shared" si="3"/>
        <v>0.038727176668950154</v>
      </c>
      <c r="M28" s="63"/>
      <c r="N28" s="89">
        <v>0.2620047979429813</v>
      </c>
      <c r="O28" s="89">
        <f t="shared" si="4"/>
        <v>0.2620047979429813</v>
      </c>
      <c r="P28" s="89">
        <f t="shared" si="5"/>
        <v>0.026200479794298133</v>
      </c>
    </row>
    <row r="29" spans="1:16" s="62" customFormat="1" ht="12.75">
      <c r="A29" s="62" t="s">
        <v>216</v>
      </c>
      <c r="C29" s="62" t="s">
        <v>267</v>
      </c>
      <c r="D29" s="70">
        <v>0.1</v>
      </c>
      <c r="E29" s="63"/>
      <c r="F29" s="89">
        <v>0.04943309977143943</v>
      </c>
      <c r="G29" s="89">
        <f t="shared" si="0"/>
        <v>0.04943309977143943</v>
      </c>
      <c r="H29" s="89">
        <f t="shared" si="1"/>
        <v>0.004943309977143943</v>
      </c>
      <c r="I29" s="63">
        <v>1</v>
      </c>
      <c r="J29" s="89">
        <v>0.043724231723008246</v>
      </c>
      <c r="K29" s="89">
        <f t="shared" si="2"/>
        <v>0.021862115861504123</v>
      </c>
      <c r="L29" s="89">
        <f t="shared" si="3"/>
        <v>0.0021862115861504125</v>
      </c>
      <c r="M29" s="63"/>
      <c r="N29" s="89">
        <v>0.023818617994816486</v>
      </c>
      <c r="O29" s="89">
        <f t="shared" si="4"/>
        <v>0.023818617994816486</v>
      </c>
      <c r="P29" s="89">
        <f t="shared" si="5"/>
        <v>0.0023818617994816487</v>
      </c>
    </row>
    <row r="30" spans="1:16" s="62" customFormat="1" ht="12.75">
      <c r="A30" s="62" t="s">
        <v>216</v>
      </c>
      <c r="C30" s="62" t="s">
        <v>268</v>
      </c>
      <c r="D30" s="70">
        <v>0.1</v>
      </c>
      <c r="E30" s="63"/>
      <c r="F30" s="89">
        <v>1.0504533701430878</v>
      </c>
      <c r="G30" s="89">
        <f t="shared" si="0"/>
        <v>1.0504533701430878</v>
      </c>
      <c r="H30" s="89">
        <f t="shared" si="1"/>
        <v>0.10504533701430879</v>
      </c>
      <c r="I30" s="63"/>
      <c r="J30" s="89">
        <v>0.8744846344601647</v>
      </c>
      <c r="K30" s="89">
        <f t="shared" si="2"/>
        <v>0.8744846344601647</v>
      </c>
      <c r="L30" s="89">
        <f t="shared" si="3"/>
        <v>0.08744846344601648</v>
      </c>
      <c r="M30" s="63"/>
      <c r="N30" s="89">
        <v>0.5954654498704122</v>
      </c>
      <c r="O30" s="89">
        <f t="shared" si="4"/>
        <v>0.5954654498704122</v>
      </c>
      <c r="P30" s="89">
        <f t="shared" si="5"/>
        <v>0.05954654498704122</v>
      </c>
    </row>
    <row r="31" spans="1:16" s="62" customFormat="1" ht="12.75">
      <c r="A31" s="62" t="s">
        <v>216</v>
      </c>
      <c r="C31" s="62" t="s">
        <v>269</v>
      </c>
      <c r="D31" s="70">
        <v>0</v>
      </c>
      <c r="E31" s="63"/>
      <c r="F31" s="89">
        <v>3.1019270106578247</v>
      </c>
      <c r="G31" s="89">
        <f t="shared" si="0"/>
        <v>3.1019270106578247</v>
      </c>
      <c r="H31" s="89">
        <f t="shared" si="1"/>
        <v>0</v>
      </c>
      <c r="I31" s="63"/>
      <c r="J31" s="89">
        <v>3.0044793512524235</v>
      </c>
      <c r="K31" s="89">
        <f t="shared" si="2"/>
        <v>3.0044793512524235</v>
      </c>
      <c r="L31" s="89">
        <f t="shared" si="3"/>
        <v>0</v>
      </c>
      <c r="M31" s="63"/>
      <c r="N31" s="89">
        <v>1.976945293569768</v>
      </c>
      <c r="O31" s="89">
        <f t="shared" si="4"/>
        <v>1.976945293569768</v>
      </c>
      <c r="P31" s="89">
        <f t="shared" si="5"/>
        <v>0</v>
      </c>
    </row>
    <row r="32" spans="1:16" s="62" customFormat="1" ht="12.75">
      <c r="A32" s="62" t="s">
        <v>216</v>
      </c>
      <c r="C32" s="62" t="s">
        <v>270</v>
      </c>
      <c r="D32" s="70">
        <v>0</v>
      </c>
      <c r="E32" s="63"/>
      <c r="F32" s="89">
        <v>5.561223724286936</v>
      </c>
      <c r="G32" s="89">
        <f t="shared" si="0"/>
        <v>5.561223724286936</v>
      </c>
      <c r="H32" s="89">
        <f t="shared" si="1"/>
        <v>0</v>
      </c>
      <c r="I32" s="63"/>
      <c r="J32" s="89">
        <v>5.246907806760989</v>
      </c>
      <c r="K32" s="89">
        <f t="shared" si="2"/>
        <v>5.246907806760989</v>
      </c>
      <c r="L32" s="89">
        <f t="shared" si="3"/>
        <v>0</v>
      </c>
      <c r="M32" s="63"/>
      <c r="N32" s="89">
        <v>3.4536996092484</v>
      </c>
      <c r="O32" s="89">
        <f t="shared" si="4"/>
        <v>3.4536996092484</v>
      </c>
      <c r="P32" s="89">
        <f t="shared" si="5"/>
        <v>0</v>
      </c>
    </row>
    <row r="33" spans="1:16" s="62" customFormat="1" ht="12.75">
      <c r="A33" s="62" t="s">
        <v>216</v>
      </c>
      <c r="C33" s="62" t="s">
        <v>271</v>
      </c>
      <c r="D33" s="70">
        <v>0.01</v>
      </c>
      <c r="E33" s="63"/>
      <c r="F33" s="89">
        <v>1.1740361195716864</v>
      </c>
      <c r="G33" s="89">
        <f t="shared" si="0"/>
        <v>1.1740361195716864</v>
      </c>
      <c r="H33" s="89">
        <f t="shared" si="1"/>
        <v>0.011740361195716864</v>
      </c>
      <c r="I33" s="63"/>
      <c r="J33" s="89">
        <v>1.0618741989873428</v>
      </c>
      <c r="K33" s="89">
        <f t="shared" si="2"/>
        <v>1.0618741989873428</v>
      </c>
      <c r="L33" s="89">
        <f t="shared" si="3"/>
        <v>0.010618741989873429</v>
      </c>
      <c r="M33" s="63"/>
      <c r="N33" s="89">
        <v>0.7145585398444947</v>
      </c>
      <c r="O33" s="89">
        <f t="shared" si="4"/>
        <v>0.7145585398444947</v>
      </c>
      <c r="P33" s="89">
        <f t="shared" si="5"/>
        <v>0.007145585398444947</v>
      </c>
    </row>
    <row r="34" spans="1:16" s="62" customFormat="1" ht="12.75">
      <c r="A34" s="62" t="s">
        <v>216</v>
      </c>
      <c r="C34" s="62" t="s">
        <v>272</v>
      </c>
      <c r="D34" s="70">
        <v>0.01</v>
      </c>
      <c r="E34" s="63"/>
      <c r="F34" s="89">
        <v>0.20391153655718766</v>
      </c>
      <c r="G34" s="89">
        <f t="shared" si="0"/>
        <v>0.20391153655718766</v>
      </c>
      <c r="H34" s="89">
        <f t="shared" si="1"/>
        <v>0.002039115365571877</v>
      </c>
      <c r="I34" s="63"/>
      <c r="J34" s="89">
        <v>0.14991165162174253</v>
      </c>
      <c r="K34" s="89">
        <f t="shared" si="2"/>
        <v>0.14991165162174253</v>
      </c>
      <c r="L34" s="89">
        <f t="shared" si="3"/>
        <v>0.0014991165162174253</v>
      </c>
      <c r="M34" s="63"/>
      <c r="N34" s="89">
        <v>0.08336516298185771</v>
      </c>
      <c r="O34" s="89">
        <f t="shared" si="4"/>
        <v>0.08336516298185771</v>
      </c>
      <c r="P34" s="89">
        <f t="shared" si="5"/>
        <v>0.0008336516298185771</v>
      </c>
    </row>
    <row r="35" spans="1:16" s="62" customFormat="1" ht="12.75">
      <c r="A35" s="62" t="s">
        <v>216</v>
      </c>
      <c r="C35" s="62" t="s">
        <v>273</v>
      </c>
      <c r="D35" s="70">
        <v>0</v>
      </c>
      <c r="E35" s="63"/>
      <c r="F35" s="89">
        <v>1.279081456586</v>
      </c>
      <c r="G35" s="89">
        <f t="shared" si="0"/>
        <v>1.279081456586</v>
      </c>
      <c r="H35" s="89">
        <f t="shared" si="1"/>
        <v>0</v>
      </c>
      <c r="I35" s="63"/>
      <c r="J35" s="89">
        <v>0.59964660648697</v>
      </c>
      <c r="K35" s="89">
        <f t="shared" si="2"/>
        <v>0.59964660648697</v>
      </c>
      <c r="L35" s="89">
        <f t="shared" si="3"/>
        <v>0</v>
      </c>
      <c r="M35" s="63"/>
      <c r="N35" s="89">
        <v>0.631193376862637</v>
      </c>
      <c r="O35" s="89">
        <f t="shared" si="4"/>
        <v>0.631193376862637</v>
      </c>
      <c r="P35" s="89">
        <f t="shared" si="5"/>
        <v>0</v>
      </c>
    </row>
    <row r="36" spans="1:16" s="62" customFormat="1" ht="12.75">
      <c r="A36" s="62" t="s">
        <v>216</v>
      </c>
      <c r="C36" s="62" t="s">
        <v>274</v>
      </c>
      <c r="D36" s="70">
        <v>0</v>
      </c>
      <c r="E36" s="63"/>
      <c r="F36" s="89">
        <v>2.657029112714869</v>
      </c>
      <c r="G36" s="89">
        <f t="shared" si="0"/>
        <v>2.657029112714869</v>
      </c>
      <c r="H36" s="89">
        <f t="shared" si="1"/>
        <v>0</v>
      </c>
      <c r="I36" s="63"/>
      <c r="J36" s="89">
        <v>1.8114324570960556</v>
      </c>
      <c r="K36" s="89">
        <f t="shared" si="2"/>
        <v>1.8114324570960556</v>
      </c>
      <c r="L36" s="89">
        <f t="shared" si="3"/>
        <v>0</v>
      </c>
      <c r="M36" s="63"/>
      <c r="N36" s="89">
        <v>1.4291170796889894</v>
      </c>
      <c r="O36" s="89">
        <f t="shared" si="4"/>
        <v>1.4291170796889894</v>
      </c>
      <c r="P36" s="89">
        <f t="shared" si="5"/>
        <v>0</v>
      </c>
    </row>
    <row r="37" spans="1:16" s="62" customFormat="1" ht="12.75">
      <c r="A37" s="62" t="s">
        <v>216</v>
      </c>
      <c r="C37" s="62" t="s">
        <v>275</v>
      </c>
      <c r="D37" s="70">
        <v>0.001</v>
      </c>
      <c r="E37" s="63"/>
      <c r="F37" s="89">
        <v>0.80328787128589</v>
      </c>
      <c r="G37" s="89">
        <f t="shared" si="0"/>
        <v>0.80328787128589</v>
      </c>
      <c r="H37" s="89">
        <f t="shared" si="1"/>
        <v>0.00080328787128589</v>
      </c>
      <c r="I37" s="63"/>
      <c r="J37" s="89">
        <v>0.54967605594639</v>
      </c>
      <c r="K37" s="89">
        <f t="shared" si="2"/>
        <v>0.54967605594639</v>
      </c>
      <c r="L37" s="89">
        <f t="shared" si="3"/>
        <v>0.00054967605594639</v>
      </c>
      <c r="M37" s="63"/>
      <c r="N37" s="89">
        <v>0.31559668843131844</v>
      </c>
      <c r="O37" s="89">
        <f t="shared" si="4"/>
        <v>0.31559668843131844</v>
      </c>
      <c r="P37" s="89">
        <f t="shared" si="5"/>
        <v>0.0003155966884313184</v>
      </c>
    </row>
    <row r="38" spans="1:16" s="62" customFormat="1" ht="12.75">
      <c r="A38" s="62" t="s">
        <v>216</v>
      </c>
      <c r="C38" s="62" t="s">
        <v>276</v>
      </c>
      <c r="D38" s="70"/>
      <c r="E38" s="63"/>
      <c r="F38" s="89">
        <v>50.11280489329672</v>
      </c>
      <c r="G38" s="89">
        <f>SUM(G37,G36,G32,G26,G22,G19,G18,G15,G10,G7)</f>
        <v>50.11280489329672</v>
      </c>
      <c r="H38" s="89"/>
      <c r="I38" s="63"/>
      <c r="J38" s="89">
        <v>46.27272980057786</v>
      </c>
      <c r="K38" s="89">
        <f>SUM(K37,K36,K32,K26,K22,K19,K18,K15,K10,K7)</f>
        <v>46.272729800577864</v>
      </c>
      <c r="L38" s="89"/>
      <c r="M38" s="63"/>
      <c r="N38" s="89">
        <v>27.647460837483234</v>
      </c>
      <c r="O38" s="89">
        <f>SUM(O37,O36,O32,O26,O22,O19,O18,O15,O10,O7)</f>
        <v>27.647460837483237</v>
      </c>
      <c r="P38" s="89"/>
    </row>
    <row r="39" spans="1:16" s="62" customFormat="1" ht="12.75">
      <c r="A39" s="62" t="s">
        <v>216</v>
      </c>
      <c r="C39" s="62" t="s">
        <v>26</v>
      </c>
      <c r="D39" s="70"/>
      <c r="E39" s="67">
        <f>(F39-H39)*2/F39*100</f>
        <v>10.392309690828801</v>
      </c>
      <c r="F39" s="89">
        <v>0.951340005101352</v>
      </c>
      <c r="G39" s="89"/>
      <c r="H39" s="89">
        <f>SUM(H5:H37)</f>
        <v>0.9019069053299125</v>
      </c>
      <c r="I39" s="67">
        <f>(J39-L39)*2/J39*100</f>
        <v>2.570551209548555</v>
      </c>
      <c r="J39" s="89">
        <v>0.8990826379637658</v>
      </c>
      <c r="K39" s="89"/>
      <c r="L39" s="89">
        <f>SUM(L5:L37)</f>
        <v>0.8875269481512564</v>
      </c>
      <c r="M39" s="67">
        <f>(N39-P39)*2/N39*100</f>
        <v>1.9487865323785975E-13</v>
      </c>
      <c r="N39" s="89">
        <v>0.56969965985452</v>
      </c>
      <c r="O39" s="89"/>
      <c r="P39" s="89">
        <f>SUM(P5:P37)</f>
        <v>0.5696996598545194</v>
      </c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600" verticalDpi="600" orientation="landscape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22">
      <selection activeCell="H1" sqref="H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6.28125" style="0" customWidth="1"/>
    <col min="4" max="4" width="7.00390625" style="68" customWidth="1"/>
    <col min="5" max="5" width="2.421875" style="0" customWidth="1"/>
    <col min="7" max="7" width="7.7109375" style="69" customWidth="1"/>
    <col min="8" max="8" width="8.28125" style="69" customWidth="1"/>
    <col min="9" max="9" width="2.421875" style="0" customWidth="1"/>
    <col min="11" max="11" width="7.7109375" style="69" customWidth="1"/>
    <col min="12" max="12" width="8.28125" style="69" customWidth="1"/>
    <col min="13" max="13" width="2.140625" style="0" customWidth="1"/>
    <col min="15" max="15" width="7.7109375" style="69" customWidth="1"/>
    <col min="16" max="16" width="8.28125" style="69" customWidth="1"/>
  </cols>
  <sheetData>
    <row r="1" ht="12.75">
      <c r="C1" s="8" t="s">
        <v>196</v>
      </c>
    </row>
    <row r="2" spans="6:16" ht="12.75">
      <c r="F2" s="82" t="s">
        <v>56</v>
      </c>
      <c r="G2" s="82"/>
      <c r="H2" s="82"/>
      <c r="J2" s="82" t="s">
        <v>57</v>
      </c>
      <c r="K2" s="82"/>
      <c r="L2" s="82"/>
      <c r="N2" s="82" t="s">
        <v>58</v>
      </c>
      <c r="O2" s="82"/>
      <c r="P2" s="82"/>
    </row>
    <row r="3" spans="3:16" ht="12.75">
      <c r="C3" t="s">
        <v>76</v>
      </c>
      <c r="D3" s="68" t="s">
        <v>22</v>
      </c>
      <c r="F3" t="s">
        <v>24</v>
      </c>
      <c r="G3" s="69" t="s">
        <v>24</v>
      </c>
      <c r="H3" s="69" t="s">
        <v>26</v>
      </c>
      <c r="J3" t="s">
        <v>24</v>
      </c>
      <c r="K3" s="69" t="s">
        <v>24</v>
      </c>
      <c r="L3" s="69" t="s">
        <v>26</v>
      </c>
      <c r="N3" t="s">
        <v>24</v>
      </c>
      <c r="O3" s="69" t="s">
        <v>24</v>
      </c>
      <c r="P3" s="69" t="s">
        <v>26</v>
      </c>
    </row>
    <row r="4" spans="4:16" ht="12.75">
      <c r="D4" s="68" t="s">
        <v>241</v>
      </c>
      <c r="F4" t="s">
        <v>242</v>
      </c>
      <c r="G4" s="69" t="s">
        <v>79</v>
      </c>
      <c r="H4" s="69" t="s">
        <v>79</v>
      </c>
      <c r="J4" t="s">
        <v>242</v>
      </c>
      <c r="K4" s="69" t="s">
        <v>79</v>
      </c>
      <c r="L4" s="69" t="s">
        <v>79</v>
      </c>
      <c r="N4" t="s">
        <v>242</v>
      </c>
      <c r="O4" s="69" t="s">
        <v>79</v>
      </c>
      <c r="P4" s="69" t="s">
        <v>79</v>
      </c>
    </row>
    <row r="5" spans="1:42" s="62" customFormat="1" ht="12.75">
      <c r="A5" s="62" t="s">
        <v>196</v>
      </c>
      <c r="B5" s="62">
        <v>1</v>
      </c>
      <c r="C5" s="62" t="s">
        <v>243</v>
      </c>
      <c r="D5" s="70">
        <v>1</v>
      </c>
      <c r="E5" s="63"/>
      <c r="F5" s="71">
        <v>1.8485071393346</v>
      </c>
      <c r="G5" s="71">
        <f>IF(E5=1,F5/2,F5)</f>
        <v>1.8485071393346</v>
      </c>
      <c r="H5" s="71">
        <f>G5*$D5</f>
        <v>1.8485071393346</v>
      </c>
      <c r="I5" s="63"/>
      <c r="J5" s="71">
        <v>0.7776818493297133</v>
      </c>
      <c r="K5" s="71">
        <f>IF(I5=1,J5/2,J5)</f>
        <v>0.7776818493297133</v>
      </c>
      <c r="L5" s="71">
        <f>K5*$D5</f>
        <v>0.7776818493297133</v>
      </c>
      <c r="M5" s="63"/>
      <c r="N5" s="71">
        <v>0.47458484522366273</v>
      </c>
      <c r="O5" s="71">
        <f>IF(M5=1,N5/2,N5)</f>
        <v>0.47458484522366273</v>
      </c>
      <c r="P5" s="71">
        <f>O5*$D5</f>
        <v>0.47458484522366273</v>
      </c>
      <c r="Q5" s="63"/>
      <c r="R5" s="71"/>
      <c r="S5" s="63"/>
      <c r="T5" s="71"/>
      <c r="U5" s="63"/>
      <c r="V5" s="71"/>
      <c r="W5" s="63"/>
      <c r="X5" s="71"/>
      <c r="Y5" s="63"/>
      <c r="Z5" s="71"/>
      <c r="AA5" s="63"/>
      <c r="AB5" s="72"/>
      <c r="AC5" s="63"/>
      <c r="AD5" s="72"/>
      <c r="AE5" s="63"/>
      <c r="AF5" s="72"/>
      <c r="AG5" s="63"/>
      <c r="AH5" s="72"/>
      <c r="AI5" s="63"/>
      <c r="AJ5" s="72"/>
      <c r="AK5" s="63"/>
      <c r="AL5" s="72"/>
      <c r="AM5" s="63"/>
      <c r="AN5" s="72"/>
      <c r="AO5" s="63"/>
      <c r="AP5" s="72"/>
    </row>
    <row r="6" spans="1:42" s="62" customFormat="1" ht="12.75">
      <c r="A6" s="62" t="s">
        <v>196</v>
      </c>
      <c r="B6" s="62">
        <v>2</v>
      </c>
      <c r="C6" s="62" t="s">
        <v>244</v>
      </c>
      <c r="D6" s="70">
        <v>0</v>
      </c>
      <c r="E6" s="63"/>
      <c r="F6" s="71">
        <v>29.649686652809677</v>
      </c>
      <c r="G6" s="71">
        <f aca="true" t="shared" si="0" ref="G6:G37">IF(E6=1,F6/2,F6)</f>
        <v>29.649686652809677</v>
      </c>
      <c r="H6" s="71">
        <f aca="true" t="shared" si="1" ref="H6:H37">G6*$D6</f>
        <v>0</v>
      </c>
      <c r="I6" s="63"/>
      <c r="J6" s="71">
        <v>18.451454367526</v>
      </c>
      <c r="K6" s="71">
        <f aca="true" t="shared" si="2" ref="K6:K37">IF(I6=1,J6/2,J6)</f>
        <v>18.451454367526</v>
      </c>
      <c r="L6" s="71">
        <f aca="true" t="shared" si="3" ref="L6:L37">K6*$D6</f>
        <v>0</v>
      </c>
      <c r="M6" s="63"/>
      <c r="N6" s="71">
        <v>13.8088141197204</v>
      </c>
      <c r="O6" s="71">
        <f aca="true" t="shared" si="4" ref="O6:O37">IF(M6=1,N6/2,N6)</f>
        <v>13.8088141197204</v>
      </c>
      <c r="P6" s="71">
        <f aca="true" t="shared" si="5" ref="P6:P37">O6*$D6</f>
        <v>0</v>
      </c>
      <c r="Q6" s="63"/>
      <c r="R6" s="71"/>
      <c r="S6" s="63"/>
      <c r="T6" s="71"/>
      <c r="U6" s="63"/>
      <c r="V6" s="71"/>
      <c r="W6" s="63"/>
      <c r="X6" s="71"/>
      <c r="Y6" s="63"/>
      <c r="Z6" s="71"/>
      <c r="AA6" s="63"/>
      <c r="AB6" s="72"/>
      <c r="AC6" s="63"/>
      <c r="AD6" s="72"/>
      <c r="AE6" s="63"/>
      <c r="AF6" s="72"/>
      <c r="AG6" s="63"/>
      <c r="AH6" s="72"/>
      <c r="AI6" s="63"/>
      <c r="AJ6" s="72"/>
      <c r="AK6" s="63"/>
      <c r="AL6" s="72"/>
      <c r="AM6" s="63"/>
      <c r="AN6" s="72"/>
      <c r="AO6" s="63"/>
      <c r="AP6" s="72"/>
    </row>
    <row r="7" spans="1:42" s="62" customFormat="1" ht="12.75">
      <c r="A7" s="62" t="s">
        <v>196</v>
      </c>
      <c r="B7" s="62">
        <v>3</v>
      </c>
      <c r="C7" s="62" t="s">
        <v>245</v>
      </c>
      <c r="D7" s="70">
        <v>0</v>
      </c>
      <c r="E7" s="63"/>
      <c r="F7" s="71">
        <v>31.498193792144274</v>
      </c>
      <c r="G7" s="71">
        <f t="shared" si="0"/>
        <v>31.498193792144274</v>
      </c>
      <c r="H7" s="71">
        <f t="shared" si="1"/>
        <v>0</v>
      </c>
      <c r="I7" s="63"/>
      <c r="J7" s="71">
        <v>19.229136216855732</v>
      </c>
      <c r="K7" s="71">
        <f t="shared" si="2"/>
        <v>19.229136216855732</v>
      </c>
      <c r="L7" s="71">
        <f t="shared" si="3"/>
        <v>0</v>
      </c>
      <c r="M7" s="63"/>
      <c r="N7" s="71">
        <v>14.283398964944</v>
      </c>
      <c r="O7" s="71">
        <f t="shared" si="4"/>
        <v>14.283398964944</v>
      </c>
      <c r="P7" s="71">
        <f t="shared" si="5"/>
        <v>0</v>
      </c>
      <c r="Q7" s="63"/>
      <c r="R7" s="71"/>
      <c r="S7" s="63"/>
      <c r="T7" s="71"/>
      <c r="U7" s="63"/>
      <c r="V7" s="71"/>
      <c r="W7" s="63"/>
      <c r="X7" s="71"/>
      <c r="Y7" s="63"/>
      <c r="Z7" s="71"/>
      <c r="AA7" s="63"/>
      <c r="AB7" s="72"/>
      <c r="AC7" s="63"/>
      <c r="AD7" s="72"/>
      <c r="AE7" s="63"/>
      <c r="AF7" s="72"/>
      <c r="AG7" s="63"/>
      <c r="AH7" s="72"/>
      <c r="AI7" s="63"/>
      <c r="AJ7" s="72"/>
      <c r="AK7" s="63"/>
      <c r="AL7" s="72"/>
      <c r="AM7" s="63"/>
      <c r="AN7" s="72"/>
      <c r="AO7" s="63"/>
      <c r="AP7" s="72"/>
    </row>
    <row r="8" spans="1:42" s="62" customFormat="1" ht="12.75">
      <c r="A8" s="62" t="s">
        <v>196</v>
      </c>
      <c r="B8" s="62">
        <v>4</v>
      </c>
      <c r="C8" s="62" t="s">
        <v>246</v>
      </c>
      <c r="D8" s="70">
        <v>0.5</v>
      </c>
      <c r="E8" s="63"/>
      <c r="F8" s="71">
        <v>5.44895761221766</v>
      </c>
      <c r="G8" s="71">
        <f t="shared" si="0"/>
        <v>5.44895761221766</v>
      </c>
      <c r="H8" s="71">
        <f t="shared" si="1"/>
        <v>2.72447880610883</v>
      </c>
      <c r="I8" s="63"/>
      <c r="J8" s="71">
        <v>2.353215970594233</v>
      </c>
      <c r="K8" s="71">
        <f t="shared" si="2"/>
        <v>2.353215970594233</v>
      </c>
      <c r="L8" s="71">
        <f t="shared" si="3"/>
        <v>1.1766079852971165</v>
      </c>
      <c r="M8" s="63"/>
      <c r="N8" s="71">
        <v>1.2839010305567686</v>
      </c>
      <c r="O8" s="71">
        <f t="shared" si="4"/>
        <v>1.2839010305567686</v>
      </c>
      <c r="P8" s="71">
        <f t="shared" si="5"/>
        <v>0.6419505152783843</v>
      </c>
      <c r="Q8" s="63"/>
      <c r="R8" s="71"/>
      <c r="S8" s="63"/>
      <c r="T8" s="71"/>
      <c r="U8" s="63"/>
      <c r="V8" s="71"/>
      <c r="W8" s="63"/>
      <c r="X8" s="71"/>
      <c r="Y8" s="63"/>
      <c r="Z8" s="71"/>
      <c r="AA8" s="63"/>
      <c r="AB8" s="72"/>
      <c r="AC8" s="63"/>
      <c r="AD8" s="72"/>
      <c r="AE8" s="63"/>
      <c r="AF8" s="72"/>
      <c r="AG8" s="63"/>
      <c r="AH8" s="72"/>
      <c r="AI8" s="63"/>
      <c r="AJ8" s="72"/>
      <c r="AK8" s="63"/>
      <c r="AL8" s="72"/>
      <c r="AM8" s="63"/>
      <c r="AN8" s="72"/>
      <c r="AO8" s="63"/>
      <c r="AP8" s="72"/>
    </row>
    <row r="9" spans="1:42" s="62" customFormat="1" ht="12.75">
      <c r="A9" s="62" t="s">
        <v>196</v>
      </c>
      <c r="B9" s="62">
        <v>5</v>
      </c>
      <c r="C9" s="62" t="s">
        <v>247</v>
      </c>
      <c r="D9" s="70">
        <v>0</v>
      </c>
      <c r="E9" s="63"/>
      <c r="F9" s="71">
        <v>46.281652630355</v>
      </c>
      <c r="G9" s="71">
        <f t="shared" si="0"/>
        <v>46.281652630355</v>
      </c>
      <c r="H9" s="71">
        <f t="shared" si="1"/>
        <v>0</v>
      </c>
      <c r="I9" s="63"/>
      <c r="J9" s="71">
        <v>29.0229969706622</v>
      </c>
      <c r="K9" s="71">
        <f t="shared" si="2"/>
        <v>29.0229969706622</v>
      </c>
      <c r="L9" s="71">
        <f t="shared" si="3"/>
        <v>0</v>
      </c>
      <c r="M9" s="63"/>
      <c r="N9" s="71">
        <v>20.817538138313317</v>
      </c>
      <c r="O9" s="71">
        <f t="shared" si="4"/>
        <v>20.817538138313317</v>
      </c>
      <c r="P9" s="71">
        <f t="shared" si="5"/>
        <v>0</v>
      </c>
      <c r="Q9" s="63"/>
      <c r="R9" s="71"/>
      <c r="S9" s="63"/>
      <c r="T9" s="71"/>
      <c r="U9" s="63"/>
      <c r="V9" s="71"/>
      <c r="W9" s="63"/>
      <c r="X9" s="71"/>
      <c r="Y9" s="63"/>
      <c r="Z9" s="71"/>
      <c r="AA9" s="63"/>
      <c r="AB9" s="72"/>
      <c r="AC9" s="63"/>
      <c r="AD9" s="72"/>
      <c r="AE9" s="63"/>
      <c r="AF9" s="72"/>
      <c r="AG9" s="63"/>
      <c r="AH9" s="72"/>
      <c r="AI9" s="63"/>
      <c r="AJ9" s="72"/>
      <c r="AK9" s="63"/>
      <c r="AL9" s="72"/>
      <c r="AM9" s="63"/>
      <c r="AN9" s="72"/>
      <c r="AO9" s="63"/>
      <c r="AP9" s="72"/>
    </row>
    <row r="10" spans="1:42" s="62" customFormat="1" ht="12.75">
      <c r="A10" s="62" t="s">
        <v>196</v>
      </c>
      <c r="B10" s="62">
        <v>6</v>
      </c>
      <c r="C10" s="62" t="s">
        <v>248</v>
      </c>
      <c r="D10" s="70">
        <v>0</v>
      </c>
      <c r="E10" s="63"/>
      <c r="F10" s="71">
        <v>51.7306102425727</v>
      </c>
      <c r="G10" s="71">
        <f t="shared" si="0"/>
        <v>51.7306102425727</v>
      </c>
      <c r="H10" s="71">
        <f t="shared" si="1"/>
        <v>0</v>
      </c>
      <c r="I10" s="63"/>
      <c r="J10" s="71">
        <v>31.376212941256437</v>
      </c>
      <c r="K10" s="71">
        <f t="shared" si="2"/>
        <v>31.376212941256437</v>
      </c>
      <c r="L10" s="71">
        <f t="shared" si="3"/>
        <v>0</v>
      </c>
      <c r="M10" s="63"/>
      <c r="N10" s="71">
        <v>22.10143916887</v>
      </c>
      <c r="O10" s="71">
        <f t="shared" si="4"/>
        <v>22.10143916887</v>
      </c>
      <c r="P10" s="71">
        <f t="shared" si="5"/>
        <v>0</v>
      </c>
      <c r="Q10" s="63"/>
      <c r="R10" s="71"/>
      <c r="S10" s="63"/>
      <c r="T10" s="71"/>
      <c r="U10" s="63"/>
      <c r="V10" s="71"/>
      <c r="W10" s="63"/>
      <c r="X10" s="71"/>
      <c r="Y10" s="63"/>
      <c r="Z10" s="71"/>
      <c r="AA10" s="63"/>
      <c r="AB10" s="72"/>
      <c r="AC10" s="63"/>
      <c r="AD10" s="72"/>
      <c r="AE10" s="63"/>
      <c r="AF10" s="72"/>
      <c r="AG10" s="63"/>
      <c r="AH10" s="72"/>
      <c r="AI10" s="63"/>
      <c r="AJ10" s="72"/>
      <c r="AK10" s="63"/>
      <c r="AL10" s="72"/>
      <c r="AM10" s="63"/>
      <c r="AN10" s="72"/>
      <c r="AO10" s="63"/>
      <c r="AP10" s="72"/>
    </row>
    <row r="11" spans="1:42" s="62" customFormat="1" ht="12.75">
      <c r="A11" s="62" t="s">
        <v>196</v>
      </c>
      <c r="B11" s="62">
        <v>7</v>
      </c>
      <c r="C11" s="62" t="s">
        <v>249</v>
      </c>
      <c r="D11" s="70">
        <v>0.1</v>
      </c>
      <c r="E11" s="63"/>
      <c r="F11" s="71">
        <v>6.391604287748983</v>
      </c>
      <c r="G11" s="71">
        <f t="shared" si="0"/>
        <v>6.391604287748983</v>
      </c>
      <c r="H11" s="71">
        <f t="shared" si="1"/>
        <v>0.6391604287748983</v>
      </c>
      <c r="I11" s="63"/>
      <c r="J11" s="71">
        <v>2.398039131938885</v>
      </c>
      <c r="K11" s="71">
        <f t="shared" si="2"/>
        <v>2.398039131938885</v>
      </c>
      <c r="L11" s="71">
        <f t="shared" si="3"/>
        <v>0.2398039131938885</v>
      </c>
      <c r="M11" s="63"/>
      <c r="N11" s="71">
        <v>1.2839010305567686</v>
      </c>
      <c r="O11" s="71">
        <f t="shared" si="4"/>
        <v>1.2839010305567686</v>
      </c>
      <c r="P11" s="71">
        <f t="shared" si="5"/>
        <v>0.12839010305567686</v>
      </c>
      <c r="Q11" s="63"/>
      <c r="R11" s="71"/>
      <c r="S11" s="63"/>
      <c r="T11" s="71"/>
      <c r="U11" s="63"/>
      <c r="V11" s="71"/>
      <c r="W11" s="63"/>
      <c r="X11" s="71"/>
      <c r="Y11" s="63"/>
      <c r="Z11" s="71"/>
      <c r="AA11" s="63"/>
      <c r="AB11" s="72"/>
      <c r="AC11" s="63"/>
      <c r="AD11" s="72"/>
      <c r="AE11" s="63"/>
      <c r="AF11" s="72"/>
      <c r="AG11" s="63"/>
      <c r="AH11" s="72"/>
      <c r="AI11" s="63"/>
      <c r="AJ11" s="72"/>
      <c r="AK11" s="63"/>
      <c r="AL11" s="72"/>
      <c r="AM11" s="63"/>
      <c r="AN11" s="72"/>
      <c r="AO11" s="63"/>
      <c r="AP11" s="72"/>
    </row>
    <row r="12" spans="1:42" s="62" customFormat="1" ht="12.75">
      <c r="A12" s="62" t="s">
        <v>196</v>
      </c>
      <c r="B12" s="62">
        <v>8</v>
      </c>
      <c r="C12" s="62" t="s">
        <v>250</v>
      </c>
      <c r="D12" s="70">
        <v>0.1</v>
      </c>
      <c r="E12" s="63"/>
      <c r="F12" s="71">
        <v>7.495190639590535</v>
      </c>
      <c r="G12" s="71">
        <f t="shared" si="0"/>
        <v>7.495190639590535</v>
      </c>
      <c r="H12" s="71">
        <f t="shared" si="1"/>
        <v>0.7495190639590535</v>
      </c>
      <c r="I12" s="63"/>
      <c r="J12" s="71">
        <v>3.339325520176578</v>
      </c>
      <c r="K12" s="71">
        <f t="shared" si="2"/>
        <v>3.339325520176578</v>
      </c>
      <c r="L12" s="71">
        <f t="shared" si="3"/>
        <v>0.3339325520176578</v>
      </c>
      <c r="M12" s="63"/>
      <c r="N12" s="71">
        <v>1.9487783499522384</v>
      </c>
      <c r="O12" s="71">
        <f t="shared" si="4"/>
        <v>1.9487783499522384</v>
      </c>
      <c r="P12" s="71">
        <f t="shared" si="5"/>
        <v>0.19487783499522385</v>
      </c>
      <c r="Q12" s="63"/>
      <c r="R12" s="71"/>
      <c r="S12" s="63"/>
      <c r="T12" s="71"/>
      <c r="U12" s="63"/>
      <c r="V12" s="71"/>
      <c r="W12" s="63"/>
      <c r="X12" s="71"/>
      <c r="Y12" s="63"/>
      <c r="Z12" s="71"/>
      <c r="AA12" s="63"/>
      <c r="AB12" s="72"/>
      <c r="AC12" s="63"/>
      <c r="AD12" s="72"/>
      <c r="AE12" s="63"/>
      <c r="AF12" s="72"/>
      <c r="AG12" s="63"/>
      <c r="AH12" s="72"/>
      <c r="AI12" s="63"/>
      <c r="AJ12" s="72"/>
      <c r="AK12" s="63"/>
      <c r="AL12" s="72"/>
      <c r="AM12" s="63"/>
      <c r="AN12" s="72"/>
      <c r="AO12" s="63"/>
      <c r="AP12" s="72"/>
    </row>
    <row r="13" spans="1:42" s="62" customFormat="1" ht="12.75">
      <c r="A13" s="62" t="s">
        <v>196</v>
      </c>
      <c r="B13" s="62">
        <v>9</v>
      </c>
      <c r="C13" s="62" t="s">
        <v>251</v>
      </c>
      <c r="D13" s="70">
        <v>0.1</v>
      </c>
      <c r="E13" s="63"/>
      <c r="F13" s="71">
        <v>10.415096195504638</v>
      </c>
      <c r="G13" s="71">
        <f t="shared" si="0"/>
        <v>10.415096195504638</v>
      </c>
      <c r="H13" s="71">
        <f t="shared" si="1"/>
        <v>1.0415096195504638</v>
      </c>
      <c r="I13" s="63"/>
      <c r="J13" s="71">
        <v>4.8633130058947485</v>
      </c>
      <c r="K13" s="71">
        <f t="shared" si="2"/>
        <v>4.8633130058947485</v>
      </c>
      <c r="L13" s="71">
        <f t="shared" si="3"/>
        <v>0.4863313005894749</v>
      </c>
      <c r="M13" s="63"/>
      <c r="N13" s="71">
        <v>2.7512164940502193</v>
      </c>
      <c r="O13" s="71">
        <f t="shared" si="4"/>
        <v>2.7512164940502193</v>
      </c>
      <c r="P13" s="71">
        <f t="shared" si="5"/>
        <v>0.27512164940502193</v>
      </c>
      <c r="Q13" s="63"/>
      <c r="R13" s="71"/>
      <c r="S13" s="63"/>
      <c r="T13" s="71"/>
      <c r="U13" s="63"/>
      <c r="V13" s="71"/>
      <c r="W13" s="63"/>
      <c r="X13" s="71"/>
      <c r="Y13" s="63"/>
      <c r="Z13" s="71"/>
      <c r="AA13" s="63"/>
      <c r="AB13" s="72"/>
      <c r="AC13" s="63"/>
      <c r="AD13" s="72"/>
      <c r="AE13" s="63"/>
      <c r="AF13" s="72"/>
      <c r="AG13" s="63"/>
      <c r="AH13" s="72"/>
      <c r="AI13" s="63"/>
      <c r="AJ13" s="72"/>
      <c r="AK13" s="63"/>
      <c r="AL13" s="72"/>
      <c r="AM13" s="63"/>
      <c r="AN13" s="72"/>
      <c r="AO13" s="63"/>
      <c r="AP13" s="72"/>
    </row>
    <row r="14" spans="1:42" s="62" customFormat="1" ht="12.75">
      <c r="A14" s="62" t="s">
        <v>196</v>
      </c>
      <c r="B14" s="62">
        <v>10</v>
      </c>
      <c r="C14" s="62" t="s">
        <v>252</v>
      </c>
      <c r="D14" s="70">
        <v>0</v>
      </c>
      <c r="E14" s="63"/>
      <c r="F14" s="71">
        <v>51.79958438956282</v>
      </c>
      <c r="G14" s="71">
        <f t="shared" si="0"/>
        <v>51.79958438956282</v>
      </c>
      <c r="H14" s="71">
        <f t="shared" si="1"/>
        <v>0</v>
      </c>
      <c r="I14" s="63"/>
      <c r="J14" s="71">
        <v>36.463641753874434</v>
      </c>
      <c r="K14" s="71">
        <f t="shared" si="2"/>
        <v>36.463641753874434</v>
      </c>
      <c r="L14" s="71">
        <f t="shared" si="3"/>
        <v>0</v>
      </c>
      <c r="M14" s="63"/>
      <c r="N14" s="71">
        <v>21.299001024772</v>
      </c>
      <c r="O14" s="71">
        <f t="shared" si="4"/>
        <v>21.299001024772</v>
      </c>
      <c r="P14" s="71">
        <f t="shared" si="5"/>
        <v>0</v>
      </c>
      <c r="Q14" s="63"/>
      <c r="R14" s="71"/>
      <c r="S14" s="63"/>
      <c r="T14" s="71"/>
      <c r="U14" s="63"/>
      <c r="V14" s="71"/>
      <c r="W14" s="63"/>
      <c r="X14" s="71"/>
      <c r="Y14" s="63"/>
      <c r="Z14" s="71"/>
      <c r="AA14" s="63"/>
      <c r="AB14" s="72"/>
      <c r="AC14" s="63"/>
      <c r="AD14" s="72"/>
      <c r="AE14" s="63"/>
      <c r="AF14" s="72"/>
      <c r="AG14" s="63"/>
      <c r="AH14" s="72"/>
      <c r="AI14" s="63"/>
      <c r="AJ14" s="72"/>
      <c r="AK14" s="63"/>
      <c r="AL14" s="72"/>
      <c r="AM14" s="63"/>
      <c r="AN14" s="72"/>
      <c r="AO14" s="63"/>
      <c r="AP14" s="72"/>
    </row>
    <row r="15" spans="1:42" s="62" customFormat="1" ht="12.75">
      <c r="A15" s="62" t="s">
        <v>196</v>
      </c>
      <c r="B15" s="62">
        <v>11</v>
      </c>
      <c r="C15" s="62" t="s">
        <v>253</v>
      </c>
      <c r="D15" s="70">
        <v>0</v>
      </c>
      <c r="E15" s="63"/>
      <c r="F15" s="71">
        <v>76.101475512407</v>
      </c>
      <c r="G15" s="71">
        <f t="shared" si="0"/>
        <v>76.101475512407</v>
      </c>
      <c r="H15" s="71">
        <f t="shared" si="1"/>
        <v>0</v>
      </c>
      <c r="I15" s="63"/>
      <c r="J15" s="71">
        <v>47.06431941188465</v>
      </c>
      <c r="K15" s="71">
        <f t="shared" si="2"/>
        <v>47.06431941188465</v>
      </c>
      <c r="L15" s="71">
        <f t="shared" si="3"/>
        <v>0</v>
      </c>
      <c r="M15" s="63"/>
      <c r="N15" s="71">
        <v>27.282896899331334</v>
      </c>
      <c r="O15" s="71">
        <f t="shared" si="4"/>
        <v>27.282896899331334</v>
      </c>
      <c r="P15" s="71">
        <f t="shared" si="5"/>
        <v>0</v>
      </c>
      <c r="Q15" s="63"/>
      <c r="R15" s="71"/>
      <c r="S15" s="63"/>
      <c r="T15" s="71"/>
      <c r="U15" s="63"/>
      <c r="V15" s="71"/>
      <c r="W15" s="63"/>
      <c r="X15" s="71"/>
      <c r="Y15" s="63"/>
      <c r="Z15" s="71"/>
      <c r="AA15" s="63"/>
      <c r="AB15" s="72"/>
      <c r="AC15" s="63"/>
      <c r="AD15" s="72"/>
      <c r="AE15" s="63"/>
      <c r="AF15" s="72"/>
      <c r="AG15" s="63"/>
      <c r="AH15" s="72"/>
      <c r="AI15" s="63"/>
      <c r="AJ15" s="72"/>
      <c r="AK15" s="63"/>
      <c r="AL15" s="72"/>
      <c r="AM15" s="63"/>
      <c r="AN15" s="72"/>
      <c r="AO15" s="63"/>
      <c r="AP15" s="72"/>
    </row>
    <row r="16" spans="1:42" s="62" customFormat="1" ht="12.75">
      <c r="A16" s="62" t="s">
        <v>196</v>
      </c>
      <c r="B16" s="62">
        <v>12</v>
      </c>
      <c r="C16" s="62" t="s">
        <v>254</v>
      </c>
      <c r="D16" s="70">
        <v>0.01</v>
      </c>
      <c r="E16" s="63"/>
      <c r="F16" s="71">
        <v>24.830692916435</v>
      </c>
      <c r="G16" s="71">
        <f t="shared" si="0"/>
        <v>24.830692916435</v>
      </c>
      <c r="H16" s="71">
        <f t="shared" si="1"/>
        <v>0.24830692916435002</v>
      </c>
      <c r="I16" s="63"/>
      <c r="J16" s="71">
        <v>15.80016437398985</v>
      </c>
      <c r="K16" s="71">
        <f t="shared" si="2"/>
        <v>15.80016437398985</v>
      </c>
      <c r="L16" s="71">
        <f t="shared" si="3"/>
        <v>0.1580016437398985</v>
      </c>
      <c r="M16" s="63"/>
      <c r="N16" s="71">
        <v>8.735112368609446</v>
      </c>
      <c r="O16" s="71">
        <f t="shared" si="4"/>
        <v>8.735112368609446</v>
      </c>
      <c r="P16" s="71">
        <f t="shared" si="5"/>
        <v>0.08735112368609446</v>
      </c>
      <c r="Q16" s="63"/>
      <c r="R16" s="71"/>
      <c r="S16" s="63"/>
      <c r="T16" s="71"/>
      <c r="U16" s="63"/>
      <c r="V16" s="71"/>
      <c r="W16" s="63"/>
      <c r="X16" s="71"/>
      <c r="Y16" s="63"/>
      <c r="Z16" s="71"/>
      <c r="AA16" s="63"/>
      <c r="AB16" s="72"/>
      <c r="AC16" s="63"/>
      <c r="AD16" s="72"/>
      <c r="AE16" s="63"/>
      <c r="AF16" s="72"/>
      <c r="AG16" s="63"/>
      <c r="AH16" s="72"/>
      <c r="AI16" s="63"/>
      <c r="AJ16" s="72"/>
      <c r="AK16" s="63"/>
      <c r="AL16" s="72"/>
      <c r="AM16" s="63"/>
      <c r="AN16" s="72"/>
      <c r="AO16" s="63"/>
      <c r="AP16" s="72"/>
    </row>
    <row r="17" spans="1:42" s="62" customFormat="1" ht="12.75">
      <c r="A17" s="62" t="s">
        <v>196</v>
      </c>
      <c r="B17" s="62">
        <v>13</v>
      </c>
      <c r="C17" s="62" t="s">
        <v>255</v>
      </c>
      <c r="D17" s="70">
        <v>0</v>
      </c>
      <c r="E17" s="63"/>
      <c r="F17" s="71">
        <v>23.22129615333263</v>
      </c>
      <c r="G17" s="71">
        <f t="shared" si="0"/>
        <v>23.22129615333263</v>
      </c>
      <c r="H17" s="71">
        <f t="shared" si="1"/>
        <v>0</v>
      </c>
      <c r="I17" s="63"/>
      <c r="J17" s="71">
        <v>16.248395987436375</v>
      </c>
      <c r="K17" s="71">
        <f t="shared" si="2"/>
        <v>16.248395987436375</v>
      </c>
      <c r="L17" s="71">
        <f t="shared" si="3"/>
        <v>0</v>
      </c>
      <c r="M17" s="63"/>
      <c r="N17" s="71">
        <v>9.2624288633024</v>
      </c>
      <c r="O17" s="71">
        <f t="shared" si="4"/>
        <v>9.2624288633024</v>
      </c>
      <c r="P17" s="71">
        <f t="shared" si="5"/>
        <v>0</v>
      </c>
      <c r="Q17" s="63"/>
      <c r="R17" s="71"/>
      <c r="S17" s="63"/>
      <c r="T17" s="71"/>
      <c r="U17" s="63"/>
      <c r="V17" s="71"/>
      <c r="W17" s="63"/>
      <c r="X17" s="71"/>
      <c r="Y17" s="63"/>
      <c r="Z17" s="71"/>
      <c r="AA17" s="63"/>
      <c r="AB17" s="72"/>
      <c r="AC17" s="63"/>
      <c r="AD17" s="72"/>
      <c r="AE17" s="63"/>
      <c r="AF17" s="72"/>
      <c r="AG17" s="63"/>
      <c r="AH17" s="72"/>
      <c r="AI17" s="63"/>
      <c r="AJ17" s="72"/>
      <c r="AK17" s="63"/>
      <c r="AL17" s="72"/>
      <c r="AM17" s="63"/>
      <c r="AN17" s="72"/>
      <c r="AO17" s="63"/>
      <c r="AP17" s="72"/>
    </row>
    <row r="18" spans="1:42" s="62" customFormat="1" ht="12.75">
      <c r="A18" s="62" t="s">
        <v>196</v>
      </c>
      <c r="B18" s="62">
        <v>14</v>
      </c>
      <c r="C18" s="62" t="s">
        <v>256</v>
      </c>
      <c r="D18" s="70">
        <v>0</v>
      </c>
      <c r="E18" s="63"/>
      <c r="F18" s="71">
        <v>48.05198906976754</v>
      </c>
      <c r="G18" s="71">
        <f t="shared" si="0"/>
        <v>48.05198906976754</v>
      </c>
      <c r="H18" s="71">
        <f t="shared" si="1"/>
        <v>0</v>
      </c>
      <c r="I18" s="63"/>
      <c r="J18" s="71">
        <v>32.048560361426226</v>
      </c>
      <c r="K18" s="71">
        <f t="shared" si="2"/>
        <v>32.048560361426226</v>
      </c>
      <c r="L18" s="71">
        <f t="shared" si="3"/>
        <v>0</v>
      </c>
      <c r="M18" s="63"/>
      <c r="N18" s="71">
        <v>17.997541231911846</v>
      </c>
      <c r="O18" s="71">
        <f t="shared" si="4"/>
        <v>17.997541231911846</v>
      </c>
      <c r="P18" s="71">
        <f t="shared" si="5"/>
        <v>0</v>
      </c>
      <c r="Q18" s="63"/>
      <c r="R18" s="71"/>
      <c r="S18" s="63"/>
      <c r="T18" s="71"/>
      <c r="U18" s="63"/>
      <c r="V18" s="71"/>
      <c r="W18" s="63"/>
      <c r="X18" s="71"/>
      <c r="Y18" s="63"/>
      <c r="Z18" s="71"/>
      <c r="AA18" s="63"/>
      <c r="AB18" s="72"/>
      <c r="AC18" s="63"/>
      <c r="AD18" s="72"/>
      <c r="AE18" s="63"/>
      <c r="AF18" s="72"/>
      <c r="AG18" s="63"/>
      <c r="AH18" s="72"/>
      <c r="AI18" s="63"/>
      <c r="AJ18" s="72"/>
      <c r="AK18" s="63"/>
      <c r="AL18" s="72"/>
      <c r="AM18" s="63"/>
      <c r="AN18" s="72"/>
      <c r="AO18" s="63"/>
      <c r="AP18" s="72"/>
    </row>
    <row r="19" spans="1:42" s="62" customFormat="1" ht="12.75">
      <c r="A19" s="62" t="s">
        <v>196</v>
      </c>
      <c r="B19" s="62">
        <v>15</v>
      </c>
      <c r="C19" s="62" t="s">
        <v>257</v>
      </c>
      <c r="D19" s="70">
        <v>0.001</v>
      </c>
      <c r="E19" s="63"/>
      <c r="F19" s="71">
        <v>38.16569466785364</v>
      </c>
      <c r="G19" s="71">
        <f t="shared" si="0"/>
        <v>38.16569466785364</v>
      </c>
      <c r="H19" s="71">
        <f t="shared" si="1"/>
        <v>0.03816569466785364</v>
      </c>
      <c r="I19" s="63"/>
      <c r="J19" s="71">
        <v>13.64865262944655</v>
      </c>
      <c r="K19" s="71">
        <f t="shared" si="2"/>
        <v>13.64865262944655</v>
      </c>
      <c r="L19" s="71">
        <f t="shared" si="3"/>
        <v>0.013648652629446551</v>
      </c>
      <c r="M19" s="63"/>
      <c r="N19" s="71">
        <v>7.703406183340612</v>
      </c>
      <c r="O19" s="71">
        <f t="shared" si="4"/>
        <v>7.703406183340612</v>
      </c>
      <c r="P19" s="71">
        <f t="shared" si="5"/>
        <v>0.007703406183340612</v>
      </c>
      <c r="Q19" s="63"/>
      <c r="R19" s="71"/>
      <c r="S19" s="63"/>
      <c r="T19" s="71"/>
      <c r="U19" s="63"/>
      <c r="V19" s="71"/>
      <c r="W19" s="63"/>
      <c r="X19" s="71"/>
      <c r="Y19" s="63"/>
      <c r="Z19" s="71"/>
      <c r="AA19" s="63"/>
      <c r="AB19" s="72"/>
      <c r="AC19" s="63"/>
      <c r="AD19" s="72"/>
      <c r="AE19" s="63"/>
      <c r="AF19" s="72"/>
      <c r="AG19" s="63"/>
      <c r="AH19" s="72"/>
      <c r="AI19" s="63"/>
      <c r="AJ19" s="72"/>
      <c r="AK19" s="63"/>
      <c r="AL19" s="72"/>
      <c r="AM19" s="63"/>
      <c r="AN19" s="72"/>
      <c r="AO19" s="63"/>
      <c r="AP19" s="72"/>
    </row>
    <row r="20" spans="1:42" s="62" customFormat="1" ht="12.75">
      <c r="A20" s="62" t="s">
        <v>196</v>
      </c>
      <c r="B20" s="62">
        <v>16</v>
      </c>
      <c r="C20" s="62" t="s">
        <v>258</v>
      </c>
      <c r="D20" s="70">
        <v>0.1</v>
      </c>
      <c r="E20" s="63"/>
      <c r="F20" s="71">
        <v>7.035362992989889</v>
      </c>
      <c r="G20" s="71">
        <f t="shared" si="0"/>
        <v>7.035362992989889</v>
      </c>
      <c r="H20" s="71">
        <f t="shared" si="1"/>
        <v>0.7035362992989889</v>
      </c>
      <c r="I20" s="63"/>
      <c r="J20" s="71">
        <v>4.190965585724967</v>
      </c>
      <c r="K20" s="71">
        <f t="shared" si="2"/>
        <v>4.190965585724967</v>
      </c>
      <c r="L20" s="71">
        <f t="shared" si="3"/>
        <v>0.41909655857249667</v>
      </c>
      <c r="M20" s="63"/>
      <c r="N20" s="71">
        <v>2.4531680405281118</v>
      </c>
      <c r="O20" s="71">
        <f t="shared" si="4"/>
        <v>2.4531680405281118</v>
      </c>
      <c r="P20" s="71">
        <f t="shared" si="5"/>
        <v>0.2453168040528112</v>
      </c>
      <c r="Q20" s="63"/>
      <c r="R20" s="71"/>
      <c r="S20" s="63"/>
      <c r="T20" s="71"/>
      <c r="U20" s="63"/>
      <c r="V20" s="71"/>
      <c r="W20" s="63"/>
      <c r="X20" s="71"/>
      <c r="Y20" s="63"/>
      <c r="Z20" s="71"/>
      <c r="AA20" s="63"/>
      <c r="AB20" s="72"/>
      <c r="AC20" s="63"/>
      <c r="AD20" s="72"/>
      <c r="AE20" s="63"/>
      <c r="AF20" s="72"/>
      <c r="AG20" s="63"/>
      <c r="AH20" s="72"/>
      <c r="AI20" s="63"/>
      <c r="AJ20" s="72"/>
      <c r="AK20" s="63"/>
      <c r="AL20" s="72"/>
      <c r="AM20" s="63"/>
      <c r="AN20" s="72"/>
      <c r="AO20" s="63"/>
      <c r="AP20" s="72"/>
    </row>
    <row r="21" spans="1:42" s="62" customFormat="1" ht="12.75">
      <c r="A21" s="62" t="s">
        <v>196</v>
      </c>
      <c r="B21" s="62">
        <v>17</v>
      </c>
      <c r="C21" s="62" t="s">
        <v>259</v>
      </c>
      <c r="D21" s="70">
        <v>0</v>
      </c>
      <c r="E21" s="63"/>
      <c r="F21" s="71">
        <v>188.62130063558513</v>
      </c>
      <c r="G21" s="71">
        <f t="shared" si="0"/>
        <v>188.62130063558513</v>
      </c>
      <c r="H21" s="71">
        <f t="shared" si="1"/>
        <v>0</v>
      </c>
      <c r="I21" s="63"/>
      <c r="J21" s="71">
        <v>175.32579559960655</v>
      </c>
      <c r="K21" s="71">
        <f t="shared" si="2"/>
        <v>175.32579559960655</v>
      </c>
      <c r="L21" s="71">
        <f t="shared" si="3"/>
        <v>0</v>
      </c>
      <c r="M21" s="63"/>
      <c r="N21" s="71">
        <v>92.92233708654614</v>
      </c>
      <c r="O21" s="71">
        <f t="shared" si="4"/>
        <v>92.92233708654614</v>
      </c>
      <c r="P21" s="71">
        <f t="shared" si="5"/>
        <v>0</v>
      </c>
      <c r="Q21" s="63"/>
      <c r="R21" s="71"/>
      <c r="S21" s="63"/>
      <c r="T21" s="71"/>
      <c r="U21" s="63"/>
      <c r="V21" s="71"/>
      <c r="W21" s="63"/>
      <c r="X21" s="71"/>
      <c r="Y21" s="63"/>
      <c r="Z21" s="71"/>
      <c r="AA21" s="63"/>
      <c r="AB21" s="72"/>
      <c r="AC21" s="63"/>
      <c r="AD21" s="72"/>
      <c r="AE21" s="63"/>
      <c r="AF21" s="72"/>
      <c r="AG21" s="63"/>
      <c r="AH21" s="72"/>
      <c r="AI21" s="63"/>
      <c r="AJ21" s="72"/>
      <c r="AK21" s="63"/>
      <c r="AL21" s="72"/>
      <c r="AM21" s="63"/>
      <c r="AN21" s="72"/>
      <c r="AO21" s="63"/>
      <c r="AP21" s="72"/>
    </row>
    <row r="22" spans="1:42" s="62" customFormat="1" ht="12.75">
      <c r="A22" s="62" t="s">
        <v>196</v>
      </c>
      <c r="B22" s="62">
        <v>18</v>
      </c>
      <c r="C22" s="62" t="s">
        <v>260</v>
      </c>
      <c r="D22" s="70">
        <v>0</v>
      </c>
      <c r="E22" s="63"/>
      <c r="F22" s="71">
        <v>195.65666362857502</v>
      </c>
      <c r="G22" s="71">
        <f t="shared" si="0"/>
        <v>195.65666362857502</v>
      </c>
      <c r="H22" s="71">
        <f t="shared" si="1"/>
        <v>0</v>
      </c>
      <c r="I22" s="63"/>
      <c r="J22" s="71">
        <v>179.51676118533152</v>
      </c>
      <c r="K22" s="71">
        <f t="shared" si="2"/>
        <v>179.51676118533152</v>
      </c>
      <c r="L22" s="71">
        <f t="shared" si="3"/>
        <v>0</v>
      </c>
      <c r="M22" s="63"/>
      <c r="N22" s="71">
        <v>95.37550512707425</v>
      </c>
      <c r="O22" s="71">
        <f t="shared" si="4"/>
        <v>95.37550512707425</v>
      </c>
      <c r="P22" s="71">
        <f t="shared" si="5"/>
        <v>0</v>
      </c>
      <c r="Q22" s="63"/>
      <c r="R22" s="71"/>
      <c r="S22" s="63"/>
      <c r="T22" s="71"/>
      <c r="U22" s="63"/>
      <c r="V22" s="71"/>
      <c r="W22" s="63"/>
      <c r="X22" s="71"/>
      <c r="Y22" s="63"/>
      <c r="Z22" s="71"/>
      <c r="AA22" s="63"/>
      <c r="AB22" s="72"/>
      <c r="AC22" s="63"/>
      <c r="AD22" s="72"/>
      <c r="AE22" s="63"/>
      <c r="AF22" s="72"/>
      <c r="AG22" s="63"/>
      <c r="AH22" s="72"/>
      <c r="AI22" s="63"/>
      <c r="AJ22" s="72"/>
      <c r="AK22" s="63"/>
      <c r="AL22" s="72"/>
      <c r="AM22" s="63"/>
      <c r="AN22" s="72"/>
      <c r="AO22" s="63"/>
      <c r="AP22" s="72"/>
    </row>
    <row r="23" spans="1:42" s="62" customFormat="1" ht="12.75">
      <c r="A23" s="62" t="s">
        <v>196</v>
      </c>
      <c r="B23" s="62">
        <v>19</v>
      </c>
      <c r="C23" s="62" t="s">
        <v>261</v>
      </c>
      <c r="D23" s="70">
        <v>0.05</v>
      </c>
      <c r="E23" s="63"/>
      <c r="F23" s="71">
        <v>14.530553632580423</v>
      </c>
      <c r="G23" s="71">
        <f t="shared" si="0"/>
        <v>14.530553632580423</v>
      </c>
      <c r="H23" s="71">
        <f t="shared" si="1"/>
        <v>0.7265276816290211</v>
      </c>
      <c r="I23" s="63"/>
      <c r="J23" s="71">
        <v>8.2698732680883</v>
      </c>
      <c r="K23" s="71">
        <f t="shared" si="2"/>
        <v>8.2698732680883</v>
      </c>
      <c r="L23" s="71">
        <f t="shared" si="3"/>
        <v>0.41349366340441507</v>
      </c>
      <c r="M23" s="63"/>
      <c r="N23" s="71">
        <v>5.296091751046671</v>
      </c>
      <c r="O23" s="71">
        <f t="shared" si="4"/>
        <v>5.296091751046671</v>
      </c>
      <c r="P23" s="71">
        <f t="shared" si="5"/>
        <v>0.26480458755233355</v>
      </c>
      <c r="Q23" s="63"/>
      <c r="R23" s="71"/>
      <c r="S23" s="63"/>
      <c r="T23" s="71"/>
      <c r="U23" s="63"/>
      <c r="V23" s="71"/>
      <c r="W23" s="63"/>
      <c r="X23" s="71"/>
      <c r="Y23" s="63"/>
      <c r="Z23" s="71"/>
      <c r="AA23" s="63"/>
      <c r="AB23" s="72"/>
      <c r="AC23" s="63"/>
      <c r="AD23" s="72"/>
      <c r="AE23" s="63"/>
      <c r="AF23" s="72"/>
      <c r="AG23" s="63"/>
      <c r="AH23" s="72"/>
      <c r="AI23" s="63"/>
      <c r="AJ23" s="72"/>
      <c r="AK23" s="63"/>
      <c r="AL23" s="72"/>
      <c r="AM23" s="63"/>
      <c r="AN23" s="72"/>
      <c r="AO23" s="63"/>
      <c r="AP23" s="72"/>
    </row>
    <row r="24" spans="1:42" s="62" customFormat="1" ht="12.75">
      <c r="A24" s="62" t="s">
        <v>196</v>
      </c>
      <c r="B24" s="62">
        <v>20</v>
      </c>
      <c r="C24" s="62" t="s">
        <v>262</v>
      </c>
      <c r="D24" s="70">
        <v>0.5</v>
      </c>
      <c r="E24" s="63"/>
      <c r="F24" s="71">
        <v>21.267028655279894</v>
      </c>
      <c r="G24" s="71">
        <f t="shared" si="0"/>
        <v>21.267028655279894</v>
      </c>
      <c r="H24" s="71">
        <f t="shared" si="1"/>
        <v>10.633514327639947</v>
      </c>
      <c r="I24" s="63"/>
      <c r="J24" s="71">
        <v>19.498075184923643</v>
      </c>
      <c r="K24" s="71">
        <f t="shared" si="2"/>
        <v>19.498075184923643</v>
      </c>
      <c r="L24" s="71">
        <f t="shared" si="3"/>
        <v>9.749037592461821</v>
      </c>
      <c r="M24" s="63"/>
      <c r="N24" s="71">
        <v>9.28535566741949</v>
      </c>
      <c r="O24" s="71">
        <f t="shared" si="4"/>
        <v>9.28535566741949</v>
      </c>
      <c r="P24" s="71">
        <f t="shared" si="5"/>
        <v>4.642677833709745</v>
      </c>
      <c r="Q24" s="63"/>
      <c r="R24" s="71"/>
      <c r="S24" s="63"/>
      <c r="T24" s="71"/>
      <c r="U24" s="63"/>
      <c r="V24" s="71"/>
      <c r="W24" s="63"/>
      <c r="X24" s="71"/>
      <c r="Y24" s="63"/>
      <c r="Z24" s="71"/>
      <c r="AA24" s="63"/>
      <c r="AB24" s="72"/>
      <c r="AC24" s="63"/>
      <c r="AD24" s="72"/>
      <c r="AE24" s="63"/>
      <c r="AF24" s="72"/>
      <c r="AG24" s="63"/>
      <c r="AH24" s="72"/>
      <c r="AI24" s="63"/>
      <c r="AJ24" s="72"/>
      <c r="AK24" s="63"/>
      <c r="AL24" s="72"/>
      <c r="AM24" s="63"/>
      <c r="AN24" s="72"/>
      <c r="AO24" s="63"/>
      <c r="AP24" s="72"/>
    </row>
    <row r="25" spans="1:42" s="62" customFormat="1" ht="12.75">
      <c r="A25" s="62" t="s">
        <v>196</v>
      </c>
      <c r="B25" s="62">
        <v>21</v>
      </c>
      <c r="C25" s="62" t="s">
        <v>263</v>
      </c>
      <c r="D25" s="70">
        <v>0</v>
      </c>
      <c r="E25" s="63"/>
      <c r="F25" s="71">
        <v>139.85657871358663</v>
      </c>
      <c r="G25" s="71">
        <f t="shared" si="0"/>
        <v>139.85657871358663</v>
      </c>
      <c r="H25" s="71">
        <f t="shared" si="1"/>
        <v>0</v>
      </c>
      <c r="I25" s="63"/>
      <c r="J25" s="71">
        <v>171.47100372396645</v>
      </c>
      <c r="K25" s="71">
        <f t="shared" si="2"/>
        <v>171.47100372396645</v>
      </c>
      <c r="L25" s="71">
        <f t="shared" si="3"/>
        <v>0</v>
      </c>
      <c r="M25" s="63"/>
      <c r="N25" s="71">
        <v>81.94039791446234</v>
      </c>
      <c r="O25" s="71">
        <f t="shared" si="4"/>
        <v>81.94039791446234</v>
      </c>
      <c r="P25" s="71">
        <f t="shared" si="5"/>
        <v>0</v>
      </c>
      <c r="Q25" s="63"/>
      <c r="R25" s="71"/>
      <c r="S25" s="63"/>
      <c r="T25" s="71"/>
      <c r="U25" s="63"/>
      <c r="V25" s="71"/>
      <c r="W25" s="63"/>
      <c r="X25" s="71"/>
      <c r="Y25" s="63"/>
      <c r="Z25" s="71"/>
      <c r="AA25" s="63"/>
      <c r="AB25" s="72"/>
      <c r="AC25" s="63"/>
      <c r="AD25" s="72"/>
      <c r="AE25" s="63"/>
      <c r="AF25" s="72"/>
      <c r="AG25" s="63"/>
      <c r="AH25" s="72"/>
      <c r="AI25" s="63"/>
      <c r="AJ25" s="72"/>
      <c r="AK25" s="63"/>
      <c r="AL25" s="72"/>
      <c r="AM25" s="63"/>
      <c r="AN25" s="72"/>
      <c r="AO25" s="63"/>
      <c r="AP25" s="72"/>
    </row>
    <row r="26" spans="1:42" s="62" customFormat="1" ht="12.75">
      <c r="A26" s="62" t="s">
        <v>196</v>
      </c>
      <c r="B26" s="62">
        <v>22</v>
      </c>
      <c r="C26" s="62" t="s">
        <v>264</v>
      </c>
      <c r="D26" s="70">
        <v>0</v>
      </c>
      <c r="E26" s="63"/>
      <c r="F26" s="71">
        <v>175.65416100144694</v>
      </c>
      <c r="G26" s="71">
        <f t="shared" si="0"/>
        <v>175.65416100144694</v>
      </c>
      <c r="H26" s="71">
        <f t="shared" si="1"/>
        <v>0</v>
      </c>
      <c r="I26" s="63"/>
      <c r="J26" s="71">
        <v>199.2389521769784</v>
      </c>
      <c r="K26" s="71">
        <f t="shared" si="2"/>
        <v>199.2389521769784</v>
      </c>
      <c r="L26" s="71">
        <f t="shared" si="3"/>
        <v>0</v>
      </c>
      <c r="M26" s="63"/>
      <c r="N26" s="71">
        <v>96.5218453329285</v>
      </c>
      <c r="O26" s="71">
        <f t="shared" si="4"/>
        <v>96.5218453329285</v>
      </c>
      <c r="P26" s="71">
        <f t="shared" si="5"/>
        <v>0</v>
      </c>
      <c r="Q26" s="63"/>
      <c r="R26" s="71"/>
      <c r="S26" s="63"/>
      <c r="T26" s="71"/>
      <c r="U26" s="63"/>
      <c r="V26" s="71"/>
      <c r="W26" s="63"/>
      <c r="X26" s="71"/>
      <c r="Y26" s="63"/>
      <c r="Z26" s="71"/>
      <c r="AA26" s="63"/>
      <c r="AB26" s="72"/>
      <c r="AC26" s="63"/>
      <c r="AD26" s="72"/>
      <c r="AE26" s="63"/>
      <c r="AF26" s="72"/>
      <c r="AG26" s="63"/>
      <c r="AH26" s="72"/>
      <c r="AI26" s="63"/>
      <c r="AJ26" s="72"/>
      <c r="AK26" s="63"/>
      <c r="AL26" s="72"/>
      <c r="AM26" s="63"/>
      <c r="AN26" s="72"/>
      <c r="AO26" s="63"/>
      <c r="AP26" s="72"/>
    </row>
    <row r="27" spans="1:42" s="62" customFormat="1" ht="12.75">
      <c r="A27" s="62" t="s">
        <v>196</v>
      </c>
      <c r="B27" s="62">
        <v>23</v>
      </c>
      <c r="C27" s="62" t="s">
        <v>265</v>
      </c>
      <c r="D27" s="70">
        <v>0.1</v>
      </c>
      <c r="E27" s="63"/>
      <c r="F27" s="71">
        <v>48.97164436296883</v>
      </c>
      <c r="G27" s="71">
        <f t="shared" si="0"/>
        <v>48.97164436296883</v>
      </c>
      <c r="H27" s="71">
        <f t="shared" si="1"/>
        <v>4.897164436296883</v>
      </c>
      <c r="I27" s="63"/>
      <c r="J27" s="71">
        <v>44.37492973120554</v>
      </c>
      <c r="K27" s="71">
        <f t="shared" si="2"/>
        <v>44.37492973120554</v>
      </c>
      <c r="L27" s="71">
        <f t="shared" si="3"/>
        <v>4.437492973120555</v>
      </c>
      <c r="M27" s="63"/>
      <c r="N27" s="71">
        <v>20.015099994215337</v>
      </c>
      <c r="O27" s="71">
        <f t="shared" si="4"/>
        <v>20.015099994215337</v>
      </c>
      <c r="P27" s="71">
        <f t="shared" si="5"/>
        <v>2.001509999421534</v>
      </c>
      <c r="Q27" s="63"/>
      <c r="R27" s="71"/>
      <c r="S27" s="63"/>
      <c r="T27" s="71"/>
      <c r="U27" s="63"/>
      <c r="V27" s="71"/>
      <c r="W27" s="63"/>
      <c r="X27" s="71"/>
      <c r="Y27" s="63"/>
      <c r="Z27" s="71"/>
      <c r="AA27" s="63"/>
      <c r="AB27" s="72"/>
      <c r="AC27" s="63"/>
      <c r="AD27" s="72"/>
      <c r="AE27" s="63"/>
      <c r="AF27" s="72"/>
      <c r="AG27" s="63"/>
      <c r="AH27" s="72"/>
      <c r="AI27" s="63"/>
      <c r="AJ27" s="72"/>
      <c r="AK27" s="63"/>
      <c r="AL27" s="72"/>
      <c r="AM27" s="63"/>
      <c r="AN27" s="72"/>
      <c r="AO27" s="63"/>
      <c r="AP27" s="72"/>
    </row>
    <row r="28" spans="1:42" s="62" customFormat="1" ht="12.75">
      <c r="A28" s="62" t="s">
        <v>196</v>
      </c>
      <c r="B28" s="62">
        <v>24</v>
      </c>
      <c r="C28" s="62" t="s">
        <v>266</v>
      </c>
      <c r="D28" s="70">
        <v>0.1</v>
      </c>
      <c r="E28" s="63"/>
      <c r="F28" s="71">
        <v>12.369363693557386</v>
      </c>
      <c r="G28" s="71">
        <f t="shared" si="0"/>
        <v>12.369363693557386</v>
      </c>
      <c r="H28" s="71">
        <f t="shared" si="1"/>
        <v>1.2369363693557387</v>
      </c>
      <c r="I28" s="63"/>
      <c r="J28" s="71">
        <v>10.981674529439756</v>
      </c>
      <c r="K28" s="71">
        <f t="shared" si="2"/>
        <v>10.981674529439756</v>
      </c>
      <c r="L28" s="71">
        <f t="shared" si="3"/>
        <v>1.0981674529439756</v>
      </c>
      <c r="M28" s="63"/>
      <c r="N28" s="71">
        <v>5.7546278333883745</v>
      </c>
      <c r="O28" s="71">
        <f t="shared" si="4"/>
        <v>5.7546278333883745</v>
      </c>
      <c r="P28" s="71">
        <f t="shared" si="5"/>
        <v>0.5754627833388375</v>
      </c>
      <c r="Q28" s="63"/>
      <c r="R28" s="71"/>
      <c r="S28" s="63"/>
      <c r="T28" s="71"/>
      <c r="U28" s="63"/>
      <c r="V28" s="71"/>
      <c r="W28" s="63"/>
      <c r="X28" s="71"/>
      <c r="Y28" s="63"/>
      <c r="Z28" s="71"/>
      <c r="AA28" s="63"/>
      <c r="AB28" s="72"/>
      <c r="AC28" s="63"/>
      <c r="AD28" s="72"/>
      <c r="AE28" s="63"/>
      <c r="AF28" s="72"/>
      <c r="AG28" s="63"/>
      <c r="AH28" s="72"/>
      <c r="AI28" s="63"/>
      <c r="AJ28" s="72"/>
      <c r="AK28" s="63"/>
      <c r="AL28" s="72"/>
      <c r="AM28" s="63"/>
      <c r="AN28" s="72"/>
      <c r="AO28" s="63"/>
      <c r="AP28" s="72"/>
    </row>
    <row r="29" spans="1:42" s="62" customFormat="1" ht="12.75">
      <c r="A29" s="62" t="s">
        <v>196</v>
      </c>
      <c r="B29" s="62">
        <v>25</v>
      </c>
      <c r="C29" s="62" t="s">
        <v>267</v>
      </c>
      <c r="D29" s="70">
        <v>0.1</v>
      </c>
      <c r="E29" s="63"/>
      <c r="F29" s="71">
        <v>3.6096470258150735</v>
      </c>
      <c r="G29" s="71">
        <f t="shared" si="0"/>
        <v>3.6096470258150735</v>
      </c>
      <c r="H29" s="71">
        <f t="shared" si="1"/>
        <v>0.36096470258150737</v>
      </c>
      <c r="I29" s="63"/>
      <c r="J29" s="71">
        <v>2.1111708993331115</v>
      </c>
      <c r="K29" s="71">
        <f t="shared" si="2"/>
        <v>2.1111708993331115</v>
      </c>
      <c r="L29" s="71">
        <f t="shared" si="3"/>
        <v>0.21111708993331116</v>
      </c>
      <c r="M29" s="63"/>
      <c r="N29" s="71">
        <v>0.9193648450951148</v>
      </c>
      <c r="O29" s="71">
        <f t="shared" si="4"/>
        <v>0.9193648450951148</v>
      </c>
      <c r="P29" s="71">
        <f t="shared" si="5"/>
        <v>0.09193648450951149</v>
      </c>
      <c r="Q29" s="63"/>
      <c r="R29" s="71"/>
      <c r="S29" s="63"/>
      <c r="T29" s="71"/>
      <c r="U29" s="63"/>
      <c r="V29" s="71"/>
      <c r="W29" s="63"/>
      <c r="X29" s="71"/>
      <c r="Y29" s="63"/>
      <c r="Z29" s="71"/>
      <c r="AA29" s="63"/>
      <c r="AB29" s="72"/>
      <c r="AC29" s="63"/>
      <c r="AD29" s="72"/>
      <c r="AE29" s="63"/>
      <c r="AF29" s="72"/>
      <c r="AG29" s="63"/>
      <c r="AH29" s="72"/>
      <c r="AI29" s="63"/>
      <c r="AJ29" s="72"/>
      <c r="AK29" s="63"/>
      <c r="AL29" s="72"/>
      <c r="AM29" s="63"/>
      <c r="AN29" s="72"/>
      <c r="AO29" s="63"/>
      <c r="AP29" s="72"/>
    </row>
    <row r="30" spans="1:42" s="62" customFormat="1" ht="12.75">
      <c r="A30" s="62" t="s">
        <v>196</v>
      </c>
      <c r="B30" s="62">
        <v>26</v>
      </c>
      <c r="C30" s="62" t="s">
        <v>268</v>
      </c>
      <c r="D30" s="70">
        <v>0.1</v>
      </c>
      <c r="E30" s="63"/>
      <c r="F30" s="71">
        <v>15.49619169044178</v>
      </c>
      <c r="G30" s="71">
        <f t="shared" si="0"/>
        <v>15.49619169044178</v>
      </c>
      <c r="H30" s="71">
        <f t="shared" si="1"/>
        <v>1.549619169044178</v>
      </c>
      <c r="I30" s="63"/>
      <c r="J30" s="71">
        <v>17.346563440380347</v>
      </c>
      <c r="K30" s="71">
        <f t="shared" si="2"/>
        <v>17.346563440380347</v>
      </c>
      <c r="L30" s="71">
        <f t="shared" si="3"/>
        <v>1.7346563440380347</v>
      </c>
      <c r="M30" s="63"/>
      <c r="N30" s="71">
        <v>9.5834041209416</v>
      </c>
      <c r="O30" s="71">
        <f t="shared" si="4"/>
        <v>9.5834041209416</v>
      </c>
      <c r="P30" s="71">
        <f t="shared" si="5"/>
        <v>0.95834041209416</v>
      </c>
      <c r="Q30" s="63"/>
      <c r="R30" s="71"/>
      <c r="S30" s="63"/>
      <c r="T30" s="71"/>
      <c r="U30" s="63"/>
      <c r="V30" s="71"/>
      <c r="W30" s="63"/>
      <c r="X30" s="71"/>
      <c r="Y30" s="63"/>
      <c r="Z30" s="71"/>
      <c r="AA30" s="63"/>
      <c r="AB30" s="72"/>
      <c r="AC30" s="63"/>
      <c r="AD30" s="72"/>
      <c r="AE30" s="63"/>
      <c r="AF30" s="72"/>
      <c r="AG30" s="63"/>
      <c r="AH30" s="72"/>
      <c r="AI30" s="63"/>
      <c r="AJ30" s="72"/>
      <c r="AK30" s="63"/>
      <c r="AL30" s="72"/>
      <c r="AM30" s="63"/>
      <c r="AN30" s="72"/>
      <c r="AO30" s="63"/>
      <c r="AP30" s="72"/>
    </row>
    <row r="31" spans="1:42" s="62" customFormat="1" ht="12.75">
      <c r="A31" s="62" t="s">
        <v>196</v>
      </c>
      <c r="B31" s="62">
        <v>27</v>
      </c>
      <c r="C31" s="62" t="s">
        <v>269</v>
      </c>
      <c r="D31" s="70">
        <v>0</v>
      </c>
      <c r="E31" s="63"/>
      <c r="F31" s="71">
        <v>67.617655432625</v>
      </c>
      <c r="G31" s="71">
        <f t="shared" si="0"/>
        <v>67.617655432625</v>
      </c>
      <c r="H31" s="71">
        <f t="shared" si="1"/>
        <v>0</v>
      </c>
      <c r="I31" s="63"/>
      <c r="J31" s="71">
        <v>67.72331447563475</v>
      </c>
      <c r="K31" s="71">
        <f t="shared" si="2"/>
        <v>67.72331447563475</v>
      </c>
      <c r="L31" s="71">
        <f t="shared" si="3"/>
        <v>0</v>
      </c>
      <c r="M31" s="63"/>
      <c r="N31" s="71">
        <v>36.634740298690375</v>
      </c>
      <c r="O31" s="71">
        <f t="shared" si="4"/>
        <v>36.634740298690375</v>
      </c>
      <c r="P31" s="71">
        <f t="shared" si="5"/>
        <v>0</v>
      </c>
      <c r="Q31" s="63"/>
      <c r="R31" s="71"/>
      <c r="S31" s="63"/>
      <c r="T31" s="71"/>
      <c r="U31" s="63"/>
      <c r="V31" s="71"/>
      <c r="W31" s="63"/>
      <c r="X31" s="71"/>
      <c r="Y31" s="63"/>
      <c r="Z31" s="71"/>
      <c r="AA31" s="63"/>
      <c r="AB31" s="72"/>
      <c r="AC31" s="63"/>
      <c r="AD31" s="72"/>
      <c r="AE31" s="63"/>
      <c r="AF31" s="72"/>
      <c r="AG31" s="63"/>
      <c r="AH31" s="72"/>
      <c r="AI31" s="63"/>
      <c r="AJ31" s="72"/>
      <c r="AK31" s="63"/>
      <c r="AL31" s="72"/>
      <c r="AM31" s="63"/>
      <c r="AN31" s="72"/>
      <c r="AO31" s="63"/>
      <c r="AP31" s="72"/>
    </row>
    <row r="32" spans="1:42" s="62" customFormat="1" ht="12.75">
      <c r="A32" s="62" t="s">
        <v>196</v>
      </c>
      <c r="B32" s="62">
        <v>28</v>
      </c>
      <c r="C32" s="62" t="s">
        <v>270</v>
      </c>
      <c r="D32" s="70">
        <v>0</v>
      </c>
      <c r="E32" s="63"/>
      <c r="F32" s="71">
        <v>148.0645022054081</v>
      </c>
      <c r="G32" s="71">
        <f t="shared" si="0"/>
        <v>148.0645022054081</v>
      </c>
      <c r="H32" s="71">
        <f t="shared" si="1"/>
        <v>0</v>
      </c>
      <c r="I32" s="63"/>
      <c r="J32" s="71">
        <v>142.53765307599352</v>
      </c>
      <c r="K32" s="71">
        <f t="shared" si="2"/>
        <v>142.53765307599352</v>
      </c>
      <c r="L32" s="71">
        <f t="shared" si="3"/>
        <v>0</v>
      </c>
      <c r="M32" s="63"/>
      <c r="N32" s="71">
        <v>72.9072370923308</v>
      </c>
      <c r="O32" s="71">
        <f t="shared" si="4"/>
        <v>72.9072370923308</v>
      </c>
      <c r="P32" s="71">
        <f t="shared" si="5"/>
        <v>0</v>
      </c>
      <c r="Q32" s="63"/>
      <c r="R32" s="71"/>
      <c r="S32" s="63"/>
      <c r="T32" s="71"/>
      <c r="U32" s="63"/>
      <c r="V32" s="71"/>
      <c r="W32" s="63"/>
      <c r="X32" s="71"/>
      <c r="Y32" s="63"/>
      <c r="Z32" s="71"/>
      <c r="AA32" s="63"/>
      <c r="AB32" s="72"/>
      <c r="AC32" s="63"/>
      <c r="AD32" s="72"/>
      <c r="AE32" s="63"/>
      <c r="AF32" s="72"/>
      <c r="AG32" s="63"/>
      <c r="AH32" s="72"/>
      <c r="AI32" s="63"/>
      <c r="AJ32" s="72"/>
      <c r="AK32" s="63"/>
      <c r="AL32" s="72"/>
      <c r="AM32" s="63"/>
      <c r="AN32" s="72"/>
      <c r="AO32" s="63"/>
      <c r="AP32" s="72"/>
    </row>
    <row r="33" spans="1:42" s="62" customFormat="1" ht="12.75">
      <c r="A33" s="62" t="s">
        <v>196</v>
      </c>
      <c r="B33" s="62">
        <v>29</v>
      </c>
      <c r="C33" s="62" t="s">
        <v>271</v>
      </c>
      <c r="D33" s="70">
        <v>0.01</v>
      </c>
      <c r="E33" s="63"/>
      <c r="F33" s="71">
        <v>32.187935262045244</v>
      </c>
      <c r="G33" s="71">
        <f t="shared" si="0"/>
        <v>32.187935262045244</v>
      </c>
      <c r="H33" s="71">
        <f t="shared" si="1"/>
        <v>0.3218793526204524</v>
      </c>
      <c r="I33" s="63"/>
      <c r="J33" s="71">
        <v>28.238591647130793</v>
      </c>
      <c r="K33" s="71">
        <f t="shared" si="2"/>
        <v>28.238591647130793</v>
      </c>
      <c r="L33" s="71">
        <f t="shared" si="3"/>
        <v>0.28238591647130795</v>
      </c>
      <c r="M33" s="63"/>
      <c r="N33" s="71">
        <v>14.810715459637</v>
      </c>
      <c r="O33" s="71">
        <f t="shared" si="4"/>
        <v>14.810715459637</v>
      </c>
      <c r="P33" s="71">
        <f t="shared" si="5"/>
        <v>0.14810715459637</v>
      </c>
      <c r="Q33" s="63"/>
      <c r="R33" s="71"/>
      <c r="S33" s="63"/>
      <c r="T33" s="71"/>
      <c r="U33" s="63"/>
      <c r="V33" s="71"/>
      <c r="W33" s="63"/>
      <c r="X33" s="71"/>
      <c r="Y33" s="63"/>
      <c r="Z33" s="71"/>
      <c r="AA33" s="63"/>
      <c r="AB33" s="72"/>
      <c r="AC33" s="63"/>
      <c r="AD33" s="72"/>
      <c r="AE33" s="63"/>
      <c r="AF33" s="72"/>
      <c r="AG33" s="63"/>
      <c r="AH33" s="72"/>
      <c r="AI33" s="63"/>
      <c r="AJ33" s="72"/>
      <c r="AK33" s="63"/>
      <c r="AL33" s="72"/>
      <c r="AM33" s="63"/>
      <c r="AN33" s="72"/>
      <c r="AO33" s="63"/>
      <c r="AP33" s="72"/>
    </row>
    <row r="34" spans="1:42" s="62" customFormat="1" ht="12.75">
      <c r="A34" s="62" t="s">
        <v>196</v>
      </c>
      <c r="B34" s="62">
        <v>30</v>
      </c>
      <c r="C34" s="62" t="s">
        <v>272</v>
      </c>
      <c r="D34" s="70">
        <v>0.01</v>
      </c>
      <c r="E34" s="63"/>
      <c r="F34" s="71">
        <v>19.54267498052747</v>
      </c>
      <c r="G34" s="71">
        <f t="shared" si="0"/>
        <v>19.54267498052747</v>
      </c>
      <c r="H34" s="71">
        <f t="shared" si="1"/>
        <v>0.1954267498052747</v>
      </c>
      <c r="I34" s="63"/>
      <c r="J34" s="71">
        <v>11.22820191683534</v>
      </c>
      <c r="K34" s="71">
        <f t="shared" si="2"/>
        <v>11.22820191683534</v>
      </c>
      <c r="L34" s="71">
        <f t="shared" si="3"/>
        <v>0.11228201916835341</v>
      </c>
      <c r="M34" s="63"/>
      <c r="N34" s="71">
        <v>5.296091751046671</v>
      </c>
      <c r="O34" s="71">
        <f t="shared" si="4"/>
        <v>5.296091751046671</v>
      </c>
      <c r="P34" s="71">
        <f t="shared" si="5"/>
        <v>0.05296091751046671</v>
      </c>
      <c r="Q34" s="63"/>
      <c r="R34" s="71"/>
      <c r="S34" s="63"/>
      <c r="T34" s="71"/>
      <c r="U34" s="63"/>
      <c r="V34" s="71"/>
      <c r="W34" s="63"/>
      <c r="X34" s="71"/>
      <c r="Y34" s="63"/>
      <c r="Z34" s="71"/>
      <c r="AA34" s="63"/>
      <c r="AB34" s="72"/>
      <c r="AC34" s="63"/>
      <c r="AD34" s="72"/>
      <c r="AE34" s="63"/>
      <c r="AF34" s="72"/>
      <c r="AG34" s="63"/>
      <c r="AH34" s="72"/>
      <c r="AI34" s="63"/>
      <c r="AJ34" s="72"/>
      <c r="AK34" s="63"/>
      <c r="AL34" s="72"/>
      <c r="AM34" s="63"/>
      <c r="AN34" s="72"/>
      <c r="AO34" s="63"/>
      <c r="AP34" s="72"/>
    </row>
    <row r="35" spans="1:42" s="62" customFormat="1" ht="12.75">
      <c r="A35" s="62" t="s">
        <v>196</v>
      </c>
      <c r="B35" s="62">
        <v>31</v>
      </c>
      <c r="C35" s="62" t="s">
        <v>273</v>
      </c>
      <c r="D35" s="70">
        <v>0</v>
      </c>
      <c r="E35" s="63"/>
      <c r="F35" s="71">
        <v>21.8418132135307</v>
      </c>
      <c r="G35" s="71">
        <f t="shared" si="0"/>
        <v>21.8418132135307</v>
      </c>
      <c r="H35" s="71">
        <f t="shared" si="1"/>
        <v>0</v>
      </c>
      <c r="I35" s="63"/>
      <c r="J35" s="71">
        <v>16.562158116849</v>
      </c>
      <c r="K35" s="71">
        <f t="shared" si="2"/>
        <v>16.562158116849</v>
      </c>
      <c r="L35" s="71">
        <f t="shared" si="3"/>
        <v>0</v>
      </c>
      <c r="M35" s="63"/>
      <c r="N35" s="71">
        <v>14.0541309237732</v>
      </c>
      <c r="O35" s="71">
        <f t="shared" si="4"/>
        <v>14.0541309237732</v>
      </c>
      <c r="P35" s="71">
        <f t="shared" si="5"/>
        <v>0</v>
      </c>
      <c r="Q35" s="63"/>
      <c r="R35" s="71"/>
      <c r="S35" s="63"/>
      <c r="T35" s="71"/>
      <c r="U35" s="63"/>
      <c r="V35" s="71"/>
      <c r="W35" s="63"/>
      <c r="X35" s="71"/>
      <c r="Y35" s="63"/>
      <c r="Z35" s="71"/>
      <c r="AA35" s="63"/>
      <c r="AB35" s="72"/>
      <c r="AC35" s="63"/>
      <c r="AD35" s="72"/>
      <c r="AE35" s="63"/>
      <c r="AF35" s="72"/>
      <c r="AG35" s="63"/>
      <c r="AH35" s="72"/>
      <c r="AI35" s="63"/>
      <c r="AJ35" s="72"/>
      <c r="AK35" s="63"/>
      <c r="AL35" s="72"/>
      <c r="AM35" s="63"/>
      <c r="AN35" s="72"/>
      <c r="AO35" s="63"/>
      <c r="AP35" s="72"/>
    </row>
    <row r="36" spans="1:42" s="62" customFormat="1" ht="12.75">
      <c r="A36" s="62" t="s">
        <v>196</v>
      </c>
      <c r="B36" s="62">
        <v>32</v>
      </c>
      <c r="C36" s="62" t="s">
        <v>274</v>
      </c>
      <c r="D36" s="70">
        <v>0</v>
      </c>
      <c r="E36" s="63"/>
      <c r="F36" s="71">
        <v>73.57242345610341</v>
      </c>
      <c r="G36" s="71">
        <f t="shared" si="0"/>
        <v>73.57242345610341</v>
      </c>
      <c r="H36" s="71">
        <f t="shared" si="1"/>
        <v>0</v>
      </c>
      <c r="I36" s="63"/>
      <c r="J36" s="71">
        <v>56.028951680815</v>
      </c>
      <c r="K36" s="71">
        <f t="shared" si="2"/>
        <v>56.028951680815</v>
      </c>
      <c r="L36" s="71">
        <f t="shared" si="3"/>
        <v>0</v>
      </c>
      <c r="M36" s="63"/>
      <c r="N36" s="71">
        <v>34.160938134456885</v>
      </c>
      <c r="O36" s="71">
        <f t="shared" si="4"/>
        <v>34.160938134456885</v>
      </c>
      <c r="P36" s="71">
        <f t="shared" si="5"/>
        <v>0</v>
      </c>
      <c r="Q36" s="63"/>
      <c r="R36" s="71"/>
      <c r="S36" s="63"/>
      <c r="T36" s="71"/>
      <c r="U36" s="63"/>
      <c r="V36" s="71"/>
      <c r="W36" s="63"/>
      <c r="X36" s="71"/>
      <c r="Y36" s="63"/>
      <c r="Z36" s="71"/>
      <c r="AA36" s="63"/>
      <c r="AB36" s="72"/>
      <c r="AC36" s="63"/>
      <c r="AD36" s="72"/>
      <c r="AE36" s="63"/>
      <c r="AF36" s="72"/>
      <c r="AG36" s="63"/>
      <c r="AH36" s="72"/>
      <c r="AI36" s="63"/>
      <c r="AJ36" s="72"/>
      <c r="AK36" s="63"/>
      <c r="AL36" s="72"/>
      <c r="AM36" s="63"/>
      <c r="AN36" s="72"/>
      <c r="AO36" s="63"/>
      <c r="AP36" s="72"/>
    </row>
    <row r="37" spans="1:42" s="62" customFormat="1" ht="12.75">
      <c r="A37" s="62" t="s">
        <v>196</v>
      </c>
      <c r="B37" s="62">
        <v>33</v>
      </c>
      <c r="C37" s="62" t="s">
        <v>275</v>
      </c>
      <c r="D37" s="70">
        <v>0.001</v>
      </c>
      <c r="E37" s="63"/>
      <c r="F37" s="71">
        <v>44.143454073662</v>
      </c>
      <c r="G37" s="71">
        <f t="shared" si="0"/>
        <v>44.143454073662</v>
      </c>
      <c r="H37" s="71">
        <f t="shared" si="1"/>
        <v>0.044143454073662</v>
      </c>
      <c r="I37" s="63"/>
      <c r="J37" s="71">
        <v>30.92798132781</v>
      </c>
      <c r="K37" s="71">
        <f t="shared" si="2"/>
        <v>30.92798132781</v>
      </c>
      <c r="L37" s="71">
        <f t="shared" si="3"/>
        <v>0.030927981327809998</v>
      </c>
      <c r="M37" s="63"/>
      <c r="N37" s="71">
        <v>10.0419402032833</v>
      </c>
      <c r="O37" s="71">
        <f t="shared" si="4"/>
        <v>10.0419402032833</v>
      </c>
      <c r="P37" s="71">
        <f t="shared" si="5"/>
        <v>0.0100419402032833</v>
      </c>
      <c r="Q37" s="63"/>
      <c r="R37" s="71"/>
      <c r="S37" s="63"/>
      <c r="T37" s="71"/>
      <c r="U37" s="63"/>
      <c r="V37" s="71"/>
      <c r="W37" s="63"/>
      <c r="X37" s="71"/>
      <c r="Y37" s="63"/>
      <c r="Z37" s="71"/>
      <c r="AA37" s="63"/>
      <c r="AB37" s="72"/>
      <c r="AC37" s="63"/>
      <c r="AD37" s="72"/>
      <c r="AE37" s="63"/>
      <c r="AF37" s="72"/>
      <c r="AG37" s="63"/>
      <c r="AH37" s="72"/>
      <c r="AI37" s="63"/>
      <c r="AJ37" s="72"/>
      <c r="AK37" s="63"/>
      <c r="AL37" s="72"/>
      <c r="AM37" s="63"/>
      <c r="AN37" s="72"/>
      <c r="AO37" s="63"/>
      <c r="AP37" s="72"/>
    </row>
    <row r="38" spans="1:42" s="62" customFormat="1" ht="12.75">
      <c r="A38" s="62" t="s">
        <v>196</v>
      </c>
      <c r="B38" s="62">
        <v>34</v>
      </c>
      <c r="C38" s="62" t="s">
        <v>276</v>
      </c>
      <c r="D38" s="70"/>
      <c r="E38" s="63"/>
      <c r="F38" s="71">
        <v>882.63916764994</v>
      </c>
      <c r="G38" s="71">
        <f>SUM(G37,G36,G32,G26,G22,G19,G18,G15,G10,G7)</f>
        <v>882.6391676499404</v>
      </c>
      <c r="H38" s="71"/>
      <c r="I38" s="63"/>
      <c r="J38" s="71">
        <v>751.617181007798</v>
      </c>
      <c r="K38" s="71">
        <f>SUM(K37,K36,K32,K26,K22,K19,K18,K15,K10,K7)</f>
        <v>751.6171810077981</v>
      </c>
      <c r="L38" s="71"/>
      <c r="M38" s="63"/>
      <c r="N38" s="71">
        <v>398.3761483384717</v>
      </c>
      <c r="O38" s="71">
        <f>SUM(O37,O36,O32,O26,O22,O19,O18,O15,O10,O7)</f>
        <v>398.3761483384715</v>
      </c>
      <c r="P38" s="71"/>
      <c r="Q38" s="63"/>
      <c r="R38" s="71"/>
      <c r="S38" s="63"/>
      <c r="T38" s="71"/>
      <c r="U38" s="63"/>
      <c r="V38" s="71"/>
      <c r="W38" s="63"/>
      <c r="X38" s="71"/>
      <c r="Y38" s="63"/>
      <c r="Z38" s="71"/>
      <c r="AA38" s="63"/>
      <c r="AB38" s="72"/>
      <c r="AC38" s="63"/>
      <c r="AD38" s="72"/>
      <c r="AE38" s="63"/>
      <c r="AF38" s="72"/>
      <c r="AG38" s="63"/>
      <c r="AH38" s="72"/>
      <c r="AI38" s="63"/>
      <c r="AJ38" s="72"/>
      <c r="AK38" s="63"/>
      <c r="AL38" s="72"/>
      <c r="AM38" s="63"/>
      <c r="AN38" s="72"/>
      <c r="AO38" s="63"/>
      <c r="AP38" s="72"/>
    </row>
    <row r="39" spans="1:42" s="62" customFormat="1" ht="12.75">
      <c r="A39" s="62" t="s">
        <v>196</v>
      </c>
      <c r="B39" s="62">
        <v>35</v>
      </c>
      <c r="C39" s="62" t="s">
        <v>26</v>
      </c>
      <c r="D39" s="70"/>
      <c r="E39" s="63"/>
      <c r="F39" s="71">
        <v>27.9593602239057</v>
      </c>
      <c r="G39" s="71"/>
      <c r="H39" s="71">
        <f>SUM(H5:H37)</f>
        <v>27.959360223905705</v>
      </c>
      <c r="I39" s="63"/>
      <c r="J39" s="71">
        <v>21.674665488239278</v>
      </c>
      <c r="K39" s="71"/>
      <c r="L39" s="71">
        <f>SUM(L5:L37)</f>
        <v>21.674665488239278</v>
      </c>
      <c r="M39" s="63"/>
      <c r="N39" s="71">
        <v>10.801138394816459</v>
      </c>
      <c r="O39" s="71"/>
      <c r="P39" s="71">
        <f>SUM(P5:P37)</f>
        <v>10.801138394816459</v>
      </c>
      <c r="Q39" s="63"/>
      <c r="R39" s="71"/>
      <c r="S39" s="63"/>
      <c r="T39" s="71"/>
      <c r="U39" s="63"/>
      <c r="V39" s="71"/>
      <c r="W39" s="63"/>
      <c r="X39" s="71"/>
      <c r="Y39" s="63"/>
      <c r="Z39" s="71"/>
      <c r="AA39" s="63"/>
      <c r="AB39" s="72"/>
      <c r="AC39" s="63"/>
      <c r="AD39" s="72"/>
      <c r="AE39" s="63"/>
      <c r="AF39" s="72"/>
      <c r="AG39" s="63"/>
      <c r="AH39" s="72"/>
      <c r="AI39" s="63"/>
      <c r="AJ39" s="72"/>
      <c r="AK39" s="63"/>
      <c r="AL39" s="72"/>
      <c r="AM39" s="63"/>
      <c r="AN39" s="72"/>
      <c r="AO39" s="63"/>
      <c r="AP39" s="72"/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600" verticalDpi="600" orientation="landscape" scale="80" r:id="rId1"/>
  <headerFooter alignWithMargins="0">
    <oddFooter>&amp;C&amp;P, &amp;A, 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22">
      <selection activeCell="F3" sqref="F3:P4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6.140625" style="0" customWidth="1"/>
    <col min="4" max="4" width="7.00390625" style="68" customWidth="1"/>
    <col min="5" max="5" width="1.8515625" style="0" customWidth="1"/>
    <col min="7" max="7" width="7.7109375" style="69" customWidth="1"/>
    <col min="8" max="8" width="8.28125" style="69" customWidth="1"/>
    <col min="9" max="9" width="2.28125" style="0" customWidth="1"/>
    <col min="11" max="11" width="7.7109375" style="69" customWidth="1"/>
    <col min="12" max="12" width="8.28125" style="69" customWidth="1"/>
    <col min="13" max="13" width="1.7109375" style="0" customWidth="1"/>
    <col min="14" max="14" width="8.8515625" style="0" customWidth="1"/>
    <col min="15" max="15" width="7.7109375" style="69" customWidth="1"/>
    <col min="16" max="16" width="8.28125" style="69" customWidth="1"/>
  </cols>
  <sheetData>
    <row r="1" ht="12.75">
      <c r="C1" s="8" t="s">
        <v>205</v>
      </c>
    </row>
    <row r="2" spans="6:16" ht="12.75">
      <c r="F2" s="82" t="s">
        <v>56</v>
      </c>
      <c r="G2" s="82"/>
      <c r="H2" s="82"/>
      <c r="J2" s="82" t="s">
        <v>57</v>
      </c>
      <c r="K2" s="82"/>
      <c r="L2" s="82"/>
      <c r="N2" s="82" t="s">
        <v>58</v>
      </c>
      <c r="O2" s="82"/>
      <c r="P2" s="82"/>
    </row>
    <row r="3" spans="3:16" ht="12.75">
      <c r="C3" t="s">
        <v>76</v>
      </c>
      <c r="D3" s="68" t="s">
        <v>22</v>
      </c>
      <c r="F3" s="73" t="s">
        <v>24</v>
      </c>
      <c r="G3" s="85" t="s">
        <v>24</v>
      </c>
      <c r="H3" s="85" t="s">
        <v>26</v>
      </c>
      <c r="I3" s="73"/>
      <c r="J3" s="73" t="s">
        <v>24</v>
      </c>
      <c r="K3" s="85" t="s">
        <v>24</v>
      </c>
      <c r="L3" s="85" t="s">
        <v>26</v>
      </c>
      <c r="M3" s="73"/>
      <c r="N3" s="73" t="s">
        <v>24</v>
      </c>
      <c r="O3" s="85" t="s">
        <v>24</v>
      </c>
      <c r="P3" s="85" t="s">
        <v>26</v>
      </c>
    </row>
    <row r="4" spans="4:16" ht="12.75">
      <c r="D4" s="68" t="s">
        <v>241</v>
      </c>
      <c r="F4" s="73" t="s">
        <v>242</v>
      </c>
      <c r="G4" s="85" t="s">
        <v>79</v>
      </c>
      <c r="H4" s="85" t="s">
        <v>79</v>
      </c>
      <c r="I4" s="73"/>
      <c r="J4" s="73" t="s">
        <v>242</v>
      </c>
      <c r="K4" s="85" t="s">
        <v>79</v>
      </c>
      <c r="L4" s="85" t="s">
        <v>79</v>
      </c>
      <c r="M4" s="73"/>
      <c r="N4" s="73" t="s">
        <v>242</v>
      </c>
      <c r="O4" s="85" t="s">
        <v>79</v>
      </c>
      <c r="P4" s="85" t="s">
        <v>79</v>
      </c>
    </row>
    <row r="5" spans="1:42" s="62" customFormat="1" ht="12.75">
      <c r="A5" s="62" t="s">
        <v>205</v>
      </c>
      <c r="B5" s="62">
        <v>1</v>
      </c>
      <c r="C5" s="62" t="s">
        <v>243</v>
      </c>
      <c r="D5" s="70">
        <v>1</v>
      </c>
      <c r="E5" s="63"/>
      <c r="F5" s="71">
        <v>0.12240063958323</v>
      </c>
      <c r="G5" s="71">
        <f>IF(E5=1,F5/2,F5)</f>
        <v>0.12240063958323</v>
      </c>
      <c r="H5" s="71">
        <f>G5*$D5</f>
        <v>0.12240063958323</v>
      </c>
      <c r="I5" s="63"/>
      <c r="J5" s="71">
        <v>0.24908845899621</v>
      </c>
      <c r="K5" s="71">
        <f>IF(I5=1,J5/2,J5)</f>
        <v>0.24908845899621</v>
      </c>
      <c r="L5" s="71">
        <f>K5*$D5</f>
        <v>0.24908845899621</v>
      </c>
      <c r="M5" s="63"/>
      <c r="N5" s="71">
        <v>0.12038303289213</v>
      </c>
      <c r="O5" s="71">
        <f>IF(M5=1,N5/2,N5)</f>
        <v>0.12038303289213</v>
      </c>
      <c r="P5" s="71">
        <f>O5*$D5</f>
        <v>0.12038303289213</v>
      </c>
      <c r="Q5" s="63"/>
      <c r="R5" s="71"/>
      <c r="S5" s="63"/>
      <c r="T5" s="71"/>
      <c r="U5" s="63"/>
      <c r="V5" s="71"/>
      <c r="W5" s="63"/>
      <c r="X5" s="71"/>
      <c r="Y5" s="63"/>
      <c r="Z5" s="71"/>
      <c r="AA5" s="63"/>
      <c r="AB5" s="72"/>
      <c r="AC5" s="63"/>
      <c r="AD5" s="72"/>
      <c r="AE5" s="63"/>
      <c r="AF5" s="72"/>
      <c r="AG5" s="63"/>
      <c r="AH5" s="72"/>
      <c r="AI5" s="63"/>
      <c r="AJ5" s="72"/>
      <c r="AK5" s="63"/>
      <c r="AL5" s="72"/>
      <c r="AM5" s="63"/>
      <c r="AN5" s="72"/>
      <c r="AO5" s="63"/>
      <c r="AP5" s="72"/>
    </row>
    <row r="6" spans="1:42" s="62" customFormat="1" ht="12.75">
      <c r="A6" s="62" t="s">
        <v>205</v>
      </c>
      <c r="B6" s="62">
        <v>2</v>
      </c>
      <c r="C6" s="62" t="s">
        <v>244</v>
      </c>
      <c r="D6" s="70">
        <v>0</v>
      </c>
      <c r="E6" s="63"/>
      <c r="F6" s="71">
        <v>3.6924192940940777</v>
      </c>
      <c r="G6" s="71">
        <f aca="true" t="shared" si="0" ref="G6:G37">IF(E6=1,F6/2,F6)</f>
        <v>3.6924192940940777</v>
      </c>
      <c r="H6" s="71">
        <f aca="true" t="shared" si="1" ref="H6:H37">G6*$D6</f>
        <v>0</v>
      </c>
      <c r="I6" s="63"/>
      <c r="J6" s="71">
        <v>6.295144690995134</v>
      </c>
      <c r="K6" s="71">
        <f aca="true" t="shared" si="2" ref="K6:K37">IF(I6=1,J6/2,J6)</f>
        <v>6.295144690995134</v>
      </c>
      <c r="L6" s="71">
        <f aca="true" t="shared" si="3" ref="L6:L37">K6*$D6</f>
        <v>0</v>
      </c>
      <c r="M6" s="63"/>
      <c r="N6" s="71">
        <v>3.8647104697438732</v>
      </c>
      <c r="O6" s="71">
        <f aca="true" t="shared" si="4" ref="O6:O37">IF(M6=1,N6/2,N6)</f>
        <v>3.8647104697438732</v>
      </c>
      <c r="P6" s="71">
        <f aca="true" t="shared" si="5" ref="P6:P37">O6*$D6</f>
        <v>0</v>
      </c>
      <c r="Q6" s="63"/>
      <c r="R6" s="71"/>
      <c r="S6" s="63"/>
      <c r="T6" s="71"/>
      <c r="U6" s="63"/>
      <c r="V6" s="71"/>
      <c r="W6" s="63"/>
      <c r="X6" s="71"/>
      <c r="Y6" s="63"/>
      <c r="Z6" s="71"/>
      <c r="AA6" s="63"/>
      <c r="AB6" s="72"/>
      <c r="AC6" s="63"/>
      <c r="AD6" s="72"/>
      <c r="AE6" s="63"/>
      <c r="AF6" s="72"/>
      <c r="AG6" s="63"/>
      <c r="AH6" s="72"/>
      <c r="AI6" s="63"/>
      <c r="AJ6" s="72"/>
      <c r="AK6" s="63"/>
      <c r="AL6" s="72"/>
      <c r="AM6" s="63"/>
      <c r="AN6" s="72"/>
      <c r="AO6" s="63"/>
      <c r="AP6" s="72"/>
    </row>
    <row r="7" spans="1:42" s="62" customFormat="1" ht="12.75">
      <c r="A7" s="62" t="s">
        <v>205</v>
      </c>
      <c r="B7" s="62">
        <v>3</v>
      </c>
      <c r="C7" s="62" t="s">
        <v>245</v>
      </c>
      <c r="D7" s="70">
        <v>0</v>
      </c>
      <c r="E7" s="63"/>
      <c r="F7" s="71">
        <v>3.8148199336773</v>
      </c>
      <c r="G7" s="71">
        <f t="shared" si="0"/>
        <v>3.8148199336773</v>
      </c>
      <c r="H7" s="71">
        <f t="shared" si="1"/>
        <v>0</v>
      </c>
      <c r="I7" s="63"/>
      <c r="J7" s="71">
        <v>6.544233149991344</v>
      </c>
      <c r="K7" s="71">
        <f t="shared" si="2"/>
        <v>6.544233149991344</v>
      </c>
      <c r="L7" s="71">
        <f t="shared" si="3"/>
        <v>0</v>
      </c>
      <c r="M7" s="63"/>
      <c r="N7" s="71">
        <v>3.985093502636</v>
      </c>
      <c r="O7" s="71">
        <f t="shared" si="4"/>
        <v>3.985093502636</v>
      </c>
      <c r="P7" s="71">
        <f t="shared" si="5"/>
        <v>0</v>
      </c>
      <c r="Q7" s="63"/>
      <c r="R7" s="71"/>
      <c r="S7" s="63"/>
      <c r="T7" s="71"/>
      <c r="U7" s="63"/>
      <c r="V7" s="71"/>
      <c r="W7" s="63"/>
      <c r="X7" s="71"/>
      <c r="Y7" s="63"/>
      <c r="Z7" s="71"/>
      <c r="AA7" s="63"/>
      <c r="AB7" s="72"/>
      <c r="AC7" s="63"/>
      <c r="AD7" s="72"/>
      <c r="AE7" s="63"/>
      <c r="AF7" s="72"/>
      <c r="AG7" s="63"/>
      <c r="AH7" s="72"/>
      <c r="AI7" s="63"/>
      <c r="AJ7" s="72"/>
      <c r="AK7" s="63"/>
      <c r="AL7" s="72"/>
      <c r="AM7" s="63"/>
      <c r="AN7" s="72"/>
      <c r="AO7" s="63"/>
      <c r="AP7" s="72"/>
    </row>
    <row r="8" spans="1:42" s="62" customFormat="1" ht="12.75">
      <c r="A8" s="62" t="s">
        <v>205</v>
      </c>
      <c r="B8" s="62">
        <v>4</v>
      </c>
      <c r="C8" s="62" t="s">
        <v>246</v>
      </c>
      <c r="D8" s="70">
        <v>0.5</v>
      </c>
      <c r="E8" s="63"/>
      <c r="F8" s="71">
        <v>0.5100026649301213</v>
      </c>
      <c r="G8" s="71">
        <f t="shared" si="0"/>
        <v>0.5100026649301213</v>
      </c>
      <c r="H8" s="71">
        <f t="shared" si="1"/>
        <v>0.2550013324650606</v>
      </c>
      <c r="I8" s="63"/>
      <c r="J8" s="71">
        <v>0.9510650252582574</v>
      </c>
      <c r="K8" s="71">
        <f t="shared" si="2"/>
        <v>0.9510650252582574</v>
      </c>
      <c r="L8" s="71">
        <f t="shared" si="3"/>
        <v>0.4755325126291287</v>
      </c>
      <c r="M8" s="63"/>
      <c r="N8" s="71">
        <v>0.560403773808188</v>
      </c>
      <c r="O8" s="71">
        <f t="shared" si="4"/>
        <v>0.560403773808188</v>
      </c>
      <c r="P8" s="71">
        <f t="shared" si="5"/>
        <v>0.280201886904094</v>
      </c>
      <c r="Q8" s="63"/>
      <c r="R8" s="71"/>
      <c r="S8" s="63"/>
      <c r="T8" s="71"/>
      <c r="U8" s="63"/>
      <c r="V8" s="71"/>
      <c r="W8" s="63"/>
      <c r="X8" s="71"/>
      <c r="Y8" s="63"/>
      <c r="Z8" s="71"/>
      <c r="AA8" s="63"/>
      <c r="AB8" s="72"/>
      <c r="AC8" s="63"/>
      <c r="AD8" s="72"/>
      <c r="AE8" s="63"/>
      <c r="AF8" s="72"/>
      <c r="AG8" s="63"/>
      <c r="AH8" s="72"/>
      <c r="AI8" s="63"/>
      <c r="AJ8" s="72"/>
      <c r="AK8" s="63"/>
      <c r="AL8" s="72"/>
      <c r="AM8" s="63"/>
      <c r="AN8" s="72"/>
      <c r="AO8" s="63"/>
      <c r="AP8" s="72"/>
    </row>
    <row r="9" spans="1:42" s="62" customFormat="1" ht="12.75">
      <c r="A9" s="62" t="s">
        <v>205</v>
      </c>
      <c r="B9" s="62">
        <v>5</v>
      </c>
      <c r="C9" s="62" t="s">
        <v>247</v>
      </c>
      <c r="D9" s="70">
        <v>0</v>
      </c>
      <c r="E9" s="63"/>
      <c r="F9" s="71">
        <v>10.200053298602421</v>
      </c>
      <c r="G9" s="71">
        <f t="shared" si="0"/>
        <v>10.200053298602421</v>
      </c>
      <c r="H9" s="71">
        <f t="shared" si="1"/>
        <v>0</v>
      </c>
      <c r="I9" s="63"/>
      <c r="J9" s="71">
        <v>18.613701208626</v>
      </c>
      <c r="K9" s="71">
        <f t="shared" si="2"/>
        <v>18.613701208626</v>
      </c>
      <c r="L9" s="71">
        <f t="shared" si="3"/>
        <v>0</v>
      </c>
      <c r="M9" s="63"/>
      <c r="N9" s="71">
        <v>9.568375545391651</v>
      </c>
      <c r="O9" s="71">
        <f t="shared" si="4"/>
        <v>9.568375545391651</v>
      </c>
      <c r="P9" s="71">
        <f t="shared" si="5"/>
        <v>0</v>
      </c>
      <c r="Q9" s="63"/>
      <c r="R9" s="71"/>
      <c r="S9" s="63"/>
      <c r="T9" s="71"/>
      <c r="U9" s="63"/>
      <c r="V9" s="71"/>
      <c r="W9" s="63"/>
      <c r="X9" s="71"/>
      <c r="Y9" s="63"/>
      <c r="Z9" s="71"/>
      <c r="AA9" s="63"/>
      <c r="AB9" s="72"/>
      <c r="AC9" s="63"/>
      <c r="AD9" s="72"/>
      <c r="AE9" s="63"/>
      <c r="AF9" s="72"/>
      <c r="AG9" s="63"/>
      <c r="AH9" s="72"/>
      <c r="AI9" s="63"/>
      <c r="AJ9" s="72"/>
      <c r="AK9" s="63"/>
      <c r="AL9" s="72"/>
      <c r="AM9" s="63"/>
      <c r="AN9" s="72"/>
      <c r="AO9" s="63"/>
      <c r="AP9" s="72"/>
    </row>
    <row r="10" spans="1:42" s="62" customFormat="1" ht="12.75">
      <c r="A10" s="62" t="s">
        <v>205</v>
      </c>
      <c r="B10" s="62">
        <v>6</v>
      </c>
      <c r="C10" s="62" t="s">
        <v>248</v>
      </c>
      <c r="D10" s="70">
        <v>0</v>
      </c>
      <c r="E10" s="63"/>
      <c r="F10" s="71">
        <v>10.710055963532543</v>
      </c>
      <c r="G10" s="71">
        <f t="shared" si="0"/>
        <v>10.710055963532543</v>
      </c>
      <c r="H10" s="71">
        <f t="shared" si="1"/>
        <v>0</v>
      </c>
      <c r="I10" s="63"/>
      <c r="J10" s="71">
        <v>19.564766233884157</v>
      </c>
      <c r="K10" s="71">
        <f t="shared" si="2"/>
        <v>19.564766233884157</v>
      </c>
      <c r="L10" s="71">
        <f t="shared" si="3"/>
        <v>0</v>
      </c>
      <c r="M10" s="63"/>
      <c r="N10" s="71">
        <v>10.12877931919984</v>
      </c>
      <c r="O10" s="71">
        <f t="shared" si="4"/>
        <v>10.12877931919984</v>
      </c>
      <c r="P10" s="71">
        <f t="shared" si="5"/>
        <v>0</v>
      </c>
      <c r="Q10" s="63"/>
      <c r="R10" s="71"/>
      <c r="S10" s="63"/>
      <c r="T10" s="71"/>
      <c r="U10" s="63"/>
      <c r="V10" s="71"/>
      <c r="W10" s="63"/>
      <c r="X10" s="71"/>
      <c r="Y10" s="63"/>
      <c r="Z10" s="71"/>
      <c r="AA10" s="63"/>
      <c r="AB10" s="72"/>
      <c r="AC10" s="63"/>
      <c r="AD10" s="72"/>
      <c r="AE10" s="63"/>
      <c r="AF10" s="72"/>
      <c r="AG10" s="63"/>
      <c r="AH10" s="72"/>
      <c r="AI10" s="63"/>
      <c r="AJ10" s="72"/>
      <c r="AK10" s="63"/>
      <c r="AL10" s="72"/>
      <c r="AM10" s="63"/>
      <c r="AN10" s="72"/>
      <c r="AO10" s="63"/>
      <c r="AP10" s="72"/>
    </row>
    <row r="11" spans="1:42" s="62" customFormat="1" ht="12.75">
      <c r="A11" s="62" t="s">
        <v>205</v>
      </c>
      <c r="B11" s="62">
        <v>7</v>
      </c>
      <c r="C11" s="62" t="s">
        <v>249</v>
      </c>
      <c r="D11" s="70">
        <v>0.1</v>
      </c>
      <c r="E11" s="63"/>
      <c r="F11" s="71">
        <v>0.63240330451335</v>
      </c>
      <c r="G11" s="71">
        <f t="shared" si="0"/>
        <v>0.63240330451335</v>
      </c>
      <c r="H11" s="71">
        <f t="shared" si="1"/>
        <v>0.06324033045133501</v>
      </c>
      <c r="I11" s="63"/>
      <c r="J11" s="71">
        <v>1.041642646711425</v>
      </c>
      <c r="K11" s="71">
        <f t="shared" si="2"/>
        <v>1.041642646711425</v>
      </c>
      <c r="L11" s="71">
        <f t="shared" si="3"/>
        <v>0.10416426467114251</v>
      </c>
      <c r="M11" s="63"/>
      <c r="N11" s="71">
        <v>0.6226708597868754</v>
      </c>
      <c r="O11" s="71">
        <f t="shared" si="4"/>
        <v>0.6226708597868754</v>
      </c>
      <c r="P11" s="71">
        <f t="shared" si="5"/>
        <v>0.06226708597868755</v>
      </c>
      <c r="Q11" s="63"/>
      <c r="R11" s="71"/>
      <c r="S11" s="63"/>
      <c r="T11" s="71"/>
      <c r="U11" s="63"/>
      <c r="V11" s="71"/>
      <c r="W11" s="63"/>
      <c r="X11" s="71"/>
      <c r="Y11" s="63"/>
      <c r="Z11" s="71"/>
      <c r="AA11" s="63"/>
      <c r="AB11" s="72"/>
      <c r="AC11" s="63"/>
      <c r="AD11" s="72"/>
      <c r="AE11" s="63"/>
      <c r="AF11" s="72"/>
      <c r="AG11" s="63"/>
      <c r="AH11" s="72"/>
      <c r="AI11" s="63"/>
      <c r="AJ11" s="72"/>
      <c r="AK11" s="63"/>
      <c r="AL11" s="72"/>
      <c r="AM11" s="63"/>
      <c r="AN11" s="72"/>
      <c r="AO11" s="63"/>
      <c r="AP11" s="72"/>
    </row>
    <row r="12" spans="1:42" s="62" customFormat="1" ht="12.75">
      <c r="A12" s="62" t="s">
        <v>205</v>
      </c>
      <c r="B12" s="62">
        <v>8</v>
      </c>
      <c r="C12" s="62" t="s">
        <v>250</v>
      </c>
      <c r="D12" s="70">
        <v>0.1</v>
      </c>
      <c r="E12" s="63"/>
      <c r="F12" s="71">
        <v>1.2240063958323</v>
      </c>
      <c r="G12" s="71">
        <f t="shared" si="0"/>
        <v>1.2240063958323</v>
      </c>
      <c r="H12" s="71">
        <f t="shared" si="1"/>
        <v>0.12240063958323</v>
      </c>
      <c r="I12" s="63"/>
      <c r="J12" s="71">
        <v>2.1059296987861416</v>
      </c>
      <c r="K12" s="71">
        <f t="shared" si="2"/>
        <v>2.1059296987861416</v>
      </c>
      <c r="L12" s="71">
        <f t="shared" si="3"/>
        <v>0.21059296987861417</v>
      </c>
      <c r="M12" s="63"/>
      <c r="N12" s="71">
        <v>1.1000518522901466</v>
      </c>
      <c r="O12" s="71">
        <f t="shared" si="4"/>
        <v>1.1000518522901466</v>
      </c>
      <c r="P12" s="71">
        <f t="shared" si="5"/>
        <v>0.11000518522901466</v>
      </c>
      <c r="Q12" s="63"/>
      <c r="R12" s="71"/>
      <c r="S12" s="63"/>
      <c r="T12" s="71"/>
      <c r="U12" s="63"/>
      <c r="V12" s="71"/>
      <c r="W12" s="63"/>
      <c r="X12" s="71"/>
      <c r="Y12" s="63"/>
      <c r="Z12" s="71"/>
      <c r="AA12" s="63"/>
      <c r="AB12" s="72"/>
      <c r="AC12" s="63"/>
      <c r="AD12" s="72"/>
      <c r="AE12" s="63"/>
      <c r="AF12" s="72"/>
      <c r="AG12" s="63"/>
      <c r="AH12" s="72"/>
      <c r="AI12" s="63"/>
      <c r="AJ12" s="72"/>
      <c r="AK12" s="63"/>
      <c r="AL12" s="72"/>
      <c r="AM12" s="63"/>
      <c r="AN12" s="72"/>
      <c r="AO12" s="63"/>
      <c r="AP12" s="72"/>
    </row>
    <row r="13" spans="1:42" s="62" customFormat="1" ht="12.75">
      <c r="A13" s="62" t="s">
        <v>205</v>
      </c>
      <c r="B13" s="62">
        <v>9</v>
      </c>
      <c r="C13" s="62" t="s">
        <v>251</v>
      </c>
      <c r="D13" s="70">
        <v>0.1</v>
      </c>
      <c r="E13" s="63"/>
      <c r="F13" s="71">
        <v>1.7748092739568218</v>
      </c>
      <c r="G13" s="71">
        <f t="shared" si="0"/>
        <v>1.7748092739568218</v>
      </c>
      <c r="H13" s="71">
        <f t="shared" si="1"/>
        <v>0.1774809273956822</v>
      </c>
      <c r="I13" s="63"/>
      <c r="J13" s="71">
        <v>3.1022835347709825</v>
      </c>
      <c r="K13" s="71">
        <f t="shared" si="2"/>
        <v>3.1022835347709825</v>
      </c>
      <c r="L13" s="71">
        <f t="shared" si="3"/>
        <v>0.31022835347709826</v>
      </c>
      <c r="M13" s="63"/>
      <c r="N13" s="71">
        <v>1.7849897980557</v>
      </c>
      <c r="O13" s="71">
        <f t="shared" si="4"/>
        <v>1.7849897980557</v>
      </c>
      <c r="P13" s="71">
        <f t="shared" si="5"/>
        <v>0.17849897980557</v>
      </c>
      <c r="Q13" s="63"/>
      <c r="R13" s="71"/>
      <c r="S13" s="63"/>
      <c r="T13" s="71"/>
      <c r="U13" s="63"/>
      <c r="V13" s="71"/>
      <c r="W13" s="63"/>
      <c r="X13" s="71"/>
      <c r="Y13" s="63"/>
      <c r="Z13" s="71"/>
      <c r="AA13" s="63"/>
      <c r="AB13" s="72"/>
      <c r="AC13" s="63"/>
      <c r="AD13" s="72"/>
      <c r="AE13" s="63"/>
      <c r="AF13" s="72"/>
      <c r="AG13" s="63"/>
      <c r="AH13" s="72"/>
      <c r="AI13" s="63"/>
      <c r="AJ13" s="72"/>
      <c r="AK13" s="63"/>
      <c r="AL13" s="72"/>
      <c r="AM13" s="63"/>
      <c r="AN13" s="72"/>
      <c r="AO13" s="63"/>
      <c r="AP13" s="72"/>
    </row>
    <row r="14" spans="1:42" s="62" customFormat="1" ht="12.75">
      <c r="A14" s="62" t="s">
        <v>205</v>
      </c>
      <c r="B14" s="62">
        <v>10</v>
      </c>
      <c r="C14" s="62" t="s">
        <v>252</v>
      </c>
      <c r="D14" s="70">
        <v>0</v>
      </c>
      <c r="E14" s="63"/>
      <c r="F14" s="71">
        <v>19.216900414567</v>
      </c>
      <c r="G14" s="71">
        <f t="shared" si="0"/>
        <v>19.216900414567</v>
      </c>
      <c r="H14" s="71">
        <f t="shared" si="1"/>
        <v>0</v>
      </c>
      <c r="I14" s="63"/>
      <c r="J14" s="71">
        <v>32.24563323732759</v>
      </c>
      <c r="K14" s="71">
        <f t="shared" si="2"/>
        <v>32.24563323732759</v>
      </c>
      <c r="L14" s="71">
        <f t="shared" si="3"/>
        <v>0</v>
      </c>
      <c r="M14" s="63"/>
      <c r="N14" s="71">
        <v>16.45926639369974</v>
      </c>
      <c r="O14" s="71">
        <f t="shared" si="4"/>
        <v>16.45926639369974</v>
      </c>
      <c r="P14" s="71">
        <f t="shared" si="5"/>
        <v>0</v>
      </c>
      <c r="Q14" s="63"/>
      <c r="R14" s="71"/>
      <c r="S14" s="63"/>
      <c r="T14" s="71"/>
      <c r="U14" s="63"/>
      <c r="V14" s="71"/>
      <c r="W14" s="63"/>
      <c r="X14" s="71"/>
      <c r="Y14" s="63"/>
      <c r="Z14" s="71"/>
      <c r="AA14" s="63"/>
      <c r="AB14" s="72"/>
      <c r="AC14" s="63"/>
      <c r="AD14" s="72"/>
      <c r="AE14" s="63"/>
      <c r="AF14" s="72"/>
      <c r="AG14" s="63"/>
      <c r="AH14" s="72"/>
      <c r="AI14" s="63"/>
      <c r="AJ14" s="72"/>
      <c r="AK14" s="63"/>
      <c r="AL14" s="72"/>
      <c r="AM14" s="63"/>
      <c r="AN14" s="72"/>
      <c r="AO14" s="63"/>
      <c r="AP14" s="72"/>
    </row>
    <row r="15" spans="1:42" s="62" customFormat="1" ht="12.75">
      <c r="A15" s="62" t="s">
        <v>205</v>
      </c>
      <c r="B15" s="62">
        <v>11</v>
      </c>
      <c r="C15" s="62" t="s">
        <v>253</v>
      </c>
      <c r="D15" s="70">
        <v>0</v>
      </c>
      <c r="E15" s="63"/>
      <c r="F15" s="71">
        <v>22.848119388869428</v>
      </c>
      <c r="G15" s="71">
        <f t="shared" si="0"/>
        <v>22.848119388869428</v>
      </c>
      <c r="H15" s="71">
        <f t="shared" si="1"/>
        <v>0</v>
      </c>
      <c r="I15" s="63"/>
      <c r="J15" s="71">
        <v>38.49548911759614</v>
      </c>
      <c r="K15" s="71">
        <f t="shared" si="2"/>
        <v>38.49548911759614</v>
      </c>
      <c r="L15" s="71">
        <f t="shared" si="3"/>
        <v>0</v>
      </c>
      <c r="M15" s="63"/>
      <c r="N15" s="71">
        <v>19.96697890383247</v>
      </c>
      <c r="O15" s="71">
        <f t="shared" si="4"/>
        <v>19.96697890383247</v>
      </c>
      <c r="P15" s="71">
        <f t="shared" si="5"/>
        <v>0</v>
      </c>
      <c r="Q15" s="63"/>
      <c r="R15" s="71"/>
      <c r="S15" s="63"/>
      <c r="T15" s="71"/>
      <c r="U15" s="63"/>
      <c r="V15" s="71"/>
      <c r="W15" s="63"/>
      <c r="X15" s="71"/>
      <c r="Y15" s="63"/>
      <c r="Z15" s="71"/>
      <c r="AA15" s="63"/>
      <c r="AB15" s="72"/>
      <c r="AC15" s="63"/>
      <c r="AD15" s="72"/>
      <c r="AE15" s="63"/>
      <c r="AF15" s="72"/>
      <c r="AG15" s="63"/>
      <c r="AH15" s="72"/>
      <c r="AI15" s="63"/>
      <c r="AJ15" s="72"/>
      <c r="AK15" s="63"/>
      <c r="AL15" s="72"/>
      <c r="AM15" s="63"/>
      <c r="AN15" s="72"/>
      <c r="AO15" s="63"/>
      <c r="AP15" s="72"/>
    </row>
    <row r="16" spans="1:42" s="62" customFormat="1" ht="12.75">
      <c r="A16" s="62" t="s">
        <v>205</v>
      </c>
      <c r="B16" s="62">
        <v>12</v>
      </c>
      <c r="C16" s="62" t="s">
        <v>254</v>
      </c>
      <c r="D16" s="70">
        <v>0.01</v>
      </c>
      <c r="E16" s="63"/>
      <c r="F16" s="71">
        <v>9.975652126033172</v>
      </c>
      <c r="G16" s="71">
        <f t="shared" si="0"/>
        <v>9.975652126033172</v>
      </c>
      <c r="H16" s="71">
        <f t="shared" si="1"/>
        <v>0.09975652126033172</v>
      </c>
      <c r="I16" s="63"/>
      <c r="J16" s="71">
        <v>16.711571158109383</v>
      </c>
      <c r="K16" s="71">
        <f t="shared" si="2"/>
        <v>16.711571158109383</v>
      </c>
      <c r="L16" s="71">
        <f t="shared" si="3"/>
        <v>0.16711571158109384</v>
      </c>
      <c r="M16" s="63"/>
      <c r="N16" s="71">
        <v>8.592857865058882</v>
      </c>
      <c r="O16" s="71">
        <f t="shared" si="4"/>
        <v>8.592857865058882</v>
      </c>
      <c r="P16" s="71">
        <f t="shared" si="5"/>
        <v>0.08592857865058882</v>
      </c>
      <c r="Q16" s="63"/>
      <c r="R16" s="71"/>
      <c r="S16" s="63"/>
      <c r="T16" s="71"/>
      <c r="U16" s="63"/>
      <c r="V16" s="71"/>
      <c r="W16" s="63"/>
      <c r="X16" s="71"/>
      <c r="Y16" s="63"/>
      <c r="Z16" s="71"/>
      <c r="AA16" s="63"/>
      <c r="AB16" s="72"/>
      <c r="AC16" s="63"/>
      <c r="AD16" s="72"/>
      <c r="AE16" s="63"/>
      <c r="AF16" s="72"/>
      <c r="AG16" s="63"/>
      <c r="AH16" s="72"/>
      <c r="AI16" s="63"/>
      <c r="AJ16" s="72"/>
      <c r="AK16" s="63"/>
      <c r="AL16" s="72"/>
      <c r="AM16" s="63"/>
      <c r="AN16" s="72"/>
      <c r="AO16" s="63"/>
      <c r="AP16" s="72"/>
    </row>
    <row r="17" spans="1:42" s="62" customFormat="1" ht="12.75">
      <c r="A17" s="62" t="s">
        <v>205</v>
      </c>
      <c r="B17" s="62">
        <v>13</v>
      </c>
      <c r="C17" s="62" t="s">
        <v>255</v>
      </c>
      <c r="D17" s="70">
        <v>0</v>
      </c>
      <c r="E17" s="63"/>
      <c r="F17" s="71">
        <v>12.26046406492011</v>
      </c>
      <c r="G17" s="71">
        <f t="shared" si="0"/>
        <v>12.26046406492011</v>
      </c>
      <c r="H17" s="71">
        <f t="shared" si="1"/>
        <v>0</v>
      </c>
      <c r="I17" s="63"/>
      <c r="J17" s="71">
        <v>19.972365530423414</v>
      </c>
      <c r="K17" s="71">
        <f t="shared" si="2"/>
        <v>19.972365530423414</v>
      </c>
      <c r="L17" s="71">
        <f t="shared" si="3"/>
        <v>0</v>
      </c>
      <c r="M17" s="63"/>
      <c r="N17" s="71">
        <v>10.44011474909328</v>
      </c>
      <c r="O17" s="71">
        <f t="shared" si="4"/>
        <v>10.44011474909328</v>
      </c>
      <c r="P17" s="71">
        <f t="shared" si="5"/>
        <v>0</v>
      </c>
      <c r="Q17" s="63"/>
      <c r="R17" s="71"/>
      <c r="S17" s="63"/>
      <c r="T17" s="71"/>
      <c r="U17" s="63"/>
      <c r="V17" s="71"/>
      <c r="W17" s="63"/>
      <c r="X17" s="71"/>
      <c r="Y17" s="63"/>
      <c r="Z17" s="71"/>
      <c r="AA17" s="63"/>
      <c r="AB17" s="72"/>
      <c r="AC17" s="63"/>
      <c r="AD17" s="72"/>
      <c r="AE17" s="63"/>
      <c r="AF17" s="72"/>
      <c r="AG17" s="63"/>
      <c r="AH17" s="72"/>
      <c r="AI17" s="63"/>
      <c r="AJ17" s="72"/>
      <c r="AK17" s="63"/>
      <c r="AL17" s="72"/>
      <c r="AM17" s="63"/>
      <c r="AN17" s="72"/>
      <c r="AO17" s="63"/>
      <c r="AP17" s="72"/>
    </row>
    <row r="18" spans="1:42" s="62" customFormat="1" ht="12.75">
      <c r="A18" s="62" t="s">
        <v>205</v>
      </c>
      <c r="B18" s="62">
        <v>14</v>
      </c>
      <c r="C18" s="62" t="s">
        <v>256</v>
      </c>
      <c r="D18" s="70">
        <v>0</v>
      </c>
      <c r="E18" s="63"/>
      <c r="F18" s="71">
        <v>22.236116190953283</v>
      </c>
      <c r="G18" s="71">
        <f t="shared" si="0"/>
        <v>22.236116190953283</v>
      </c>
      <c r="H18" s="71">
        <f t="shared" si="1"/>
        <v>0</v>
      </c>
      <c r="I18" s="63"/>
      <c r="J18" s="71">
        <v>36.683936688532796</v>
      </c>
      <c r="K18" s="71">
        <f t="shared" si="2"/>
        <v>36.683936688532796</v>
      </c>
      <c r="L18" s="71">
        <f t="shared" si="3"/>
        <v>0</v>
      </c>
      <c r="M18" s="63"/>
      <c r="N18" s="71">
        <v>19.03297261415216</v>
      </c>
      <c r="O18" s="71">
        <f t="shared" si="4"/>
        <v>19.03297261415216</v>
      </c>
      <c r="P18" s="71">
        <f t="shared" si="5"/>
        <v>0</v>
      </c>
      <c r="Q18" s="63"/>
      <c r="R18" s="71"/>
      <c r="S18" s="63"/>
      <c r="T18" s="71"/>
      <c r="U18" s="63"/>
      <c r="V18" s="71"/>
      <c r="W18" s="63"/>
      <c r="X18" s="71"/>
      <c r="Y18" s="63"/>
      <c r="Z18" s="71"/>
      <c r="AA18" s="63"/>
      <c r="AB18" s="72"/>
      <c r="AC18" s="63"/>
      <c r="AD18" s="72"/>
      <c r="AE18" s="63"/>
      <c r="AF18" s="72"/>
      <c r="AG18" s="63"/>
      <c r="AH18" s="72"/>
      <c r="AI18" s="63"/>
      <c r="AJ18" s="72"/>
      <c r="AK18" s="63"/>
      <c r="AL18" s="72"/>
      <c r="AM18" s="63"/>
      <c r="AN18" s="72"/>
      <c r="AO18" s="63"/>
      <c r="AP18" s="72"/>
    </row>
    <row r="19" spans="1:42" s="62" customFormat="1" ht="12.75">
      <c r="A19" s="62" t="s">
        <v>205</v>
      </c>
      <c r="B19" s="62">
        <v>15</v>
      </c>
      <c r="C19" s="62" t="s">
        <v>257</v>
      </c>
      <c r="D19" s="70">
        <v>0.001</v>
      </c>
      <c r="E19" s="63"/>
      <c r="F19" s="71">
        <v>11.93406235936484</v>
      </c>
      <c r="G19" s="71">
        <f t="shared" si="0"/>
        <v>11.93406235936484</v>
      </c>
      <c r="H19" s="71">
        <f t="shared" si="1"/>
        <v>0.011934062359364839</v>
      </c>
      <c r="I19" s="63"/>
      <c r="J19" s="71">
        <v>21.44425187903738</v>
      </c>
      <c r="K19" s="71">
        <f t="shared" si="2"/>
        <v>21.44425187903738</v>
      </c>
      <c r="L19" s="71">
        <f t="shared" si="3"/>
        <v>0.021444251879037382</v>
      </c>
      <c r="M19" s="63"/>
      <c r="N19" s="71">
        <v>13.345912094765362</v>
      </c>
      <c r="O19" s="71">
        <f t="shared" si="4"/>
        <v>13.345912094765362</v>
      </c>
      <c r="P19" s="71">
        <f t="shared" si="5"/>
        <v>0.013345912094765362</v>
      </c>
      <c r="Q19" s="63"/>
      <c r="R19" s="71"/>
      <c r="S19" s="63"/>
      <c r="T19" s="71"/>
      <c r="U19" s="63"/>
      <c r="V19" s="71"/>
      <c r="W19" s="63"/>
      <c r="X19" s="71"/>
      <c r="Y19" s="63"/>
      <c r="Z19" s="71"/>
      <c r="AA19" s="63"/>
      <c r="AB19" s="72"/>
      <c r="AC19" s="63"/>
      <c r="AD19" s="72"/>
      <c r="AE19" s="63"/>
      <c r="AF19" s="72"/>
      <c r="AG19" s="63"/>
      <c r="AH19" s="72"/>
      <c r="AI19" s="63"/>
      <c r="AJ19" s="72"/>
      <c r="AK19" s="63"/>
      <c r="AL19" s="72"/>
      <c r="AM19" s="63"/>
      <c r="AN19" s="72"/>
      <c r="AO19" s="63"/>
      <c r="AP19" s="72"/>
    </row>
    <row r="20" spans="1:42" s="62" customFormat="1" ht="12.75">
      <c r="A20" s="62" t="s">
        <v>205</v>
      </c>
      <c r="B20" s="62">
        <v>16</v>
      </c>
      <c r="C20" s="62" t="s">
        <v>258</v>
      </c>
      <c r="D20" s="70">
        <v>0.1</v>
      </c>
      <c r="E20" s="63"/>
      <c r="F20" s="71">
        <v>1.5300079947903635</v>
      </c>
      <c r="G20" s="71">
        <f t="shared" si="0"/>
        <v>1.5300079947903635</v>
      </c>
      <c r="H20" s="71">
        <f t="shared" si="1"/>
        <v>0.15300079947903636</v>
      </c>
      <c r="I20" s="63"/>
      <c r="J20" s="71">
        <v>2.8305506704114802</v>
      </c>
      <c r="K20" s="71">
        <f t="shared" si="2"/>
        <v>2.8305506704114802</v>
      </c>
      <c r="L20" s="71">
        <f t="shared" si="3"/>
        <v>0.283055067041148</v>
      </c>
      <c r="M20" s="63"/>
      <c r="N20" s="71">
        <v>2.1378366186016</v>
      </c>
      <c r="O20" s="71">
        <f t="shared" si="4"/>
        <v>2.1378366186016</v>
      </c>
      <c r="P20" s="71">
        <f t="shared" si="5"/>
        <v>0.21378366186015998</v>
      </c>
      <c r="Q20" s="63"/>
      <c r="R20" s="71"/>
      <c r="S20" s="63"/>
      <c r="T20" s="71"/>
      <c r="U20" s="63"/>
      <c r="V20" s="71"/>
      <c r="W20" s="63"/>
      <c r="X20" s="71"/>
      <c r="Y20" s="63"/>
      <c r="Z20" s="71"/>
      <c r="AA20" s="63"/>
      <c r="AB20" s="72"/>
      <c r="AC20" s="63"/>
      <c r="AD20" s="72"/>
      <c r="AE20" s="63"/>
      <c r="AF20" s="72"/>
      <c r="AG20" s="63"/>
      <c r="AH20" s="72"/>
      <c r="AI20" s="63"/>
      <c r="AJ20" s="72"/>
      <c r="AK20" s="63"/>
      <c r="AL20" s="72"/>
      <c r="AM20" s="63"/>
      <c r="AN20" s="72"/>
      <c r="AO20" s="63"/>
      <c r="AP20" s="72"/>
    </row>
    <row r="21" spans="1:42" s="62" customFormat="1" ht="12.75">
      <c r="A21" s="62" t="s">
        <v>205</v>
      </c>
      <c r="B21" s="62">
        <v>17</v>
      </c>
      <c r="C21" s="62" t="s">
        <v>259</v>
      </c>
      <c r="D21" s="70">
        <v>0</v>
      </c>
      <c r="E21" s="63"/>
      <c r="F21" s="71">
        <v>76.19439814056011</v>
      </c>
      <c r="G21" s="71">
        <f t="shared" si="0"/>
        <v>76.19439814056011</v>
      </c>
      <c r="H21" s="71">
        <f t="shared" si="1"/>
        <v>0</v>
      </c>
      <c r="I21" s="63"/>
      <c r="J21" s="71">
        <v>152.51007012177</v>
      </c>
      <c r="K21" s="71">
        <f t="shared" si="2"/>
        <v>152.51007012177</v>
      </c>
      <c r="L21" s="71">
        <f t="shared" si="3"/>
        <v>0</v>
      </c>
      <c r="M21" s="63"/>
      <c r="N21" s="71">
        <v>120.94343666593743</v>
      </c>
      <c r="O21" s="71">
        <f t="shared" si="4"/>
        <v>120.94343666593743</v>
      </c>
      <c r="P21" s="71">
        <f t="shared" si="5"/>
        <v>0</v>
      </c>
      <c r="Q21" s="63"/>
      <c r="R21" s="71"/>
      <c r="S21" s="63"/>
      <c r="T21" s="71"/>
      <c r="U21" s="63"/>
      <c r="V21" s="71"/>
      <c r="W21" s="63"/>
      <c r="X21" s="71"/>
      <c r="Y21" s="63"/>
      <c r="Z21" s="71"/>
      <c r="AA21" s="63"/>
      <c r="AB21" s="72"/>
      <c r="AC21" s="63"/>
      <c r="AD21" s="72"/>
      <c r="AE21" s="63"/>
      <c r="AF21" s="72"/>
      <c r="AG21" s="63"/>
      <c r="AH21" s="72"/>
      <c r="AI21" s="63"/>
      <c r="AJ21" s="72"/>
      <c r="AK21" s="63"/>
      <c r="AL21" s="72"/>
      <c r="AM21" s="63"/>
      <c r="AN21" s="72"/>
      <c r="AO21" s="63"/>
      <c r="AP21" s="72"/>
    </row>
    <row r="22" spans="1:42" s="62" customFormat="1" ht="12.75">
      <c r="A22" s="62" t="s">
        <v>205</v>
      </c>
      <c r="B22" s="62">
        <v>18</v>
      </c>
      <c r="C22" s="62" t="s">
        <v>260</v>
      </c>
      <c r="D22" s="70">
        <v>0</v>
      </c>
      <c r="E22" s="63"/>
      <c r="F22" s="71">
        <v>77.72440613535048</v>
      </c>
      <c r="G22" s="71">
        <f t="shared" si="0"/>
        <v>77.72440613535048</v>
      </c>
      <c r="H22" s="71">
        <f t="shared" si="1"/>
        <v>0</v>
      </c>
      <c r="I22" s="63"/>
      <c r="J22" s="71">
        <v>155.34062079218208</v>
      </c>
      <c r="K22" s="71">
        <f t="shared" si="2"/>
        <v>155.34062079218208</v>
      </c>
      <c r="L22" s="71">
        <f t="shared" si="3"/>
        <v>0</v>
      </c>
      <c r="M22" s="63"/>
      <c r="N22" s="71">
        <v>123.08127328454</v>
      </c>
      <c r="O22" s="71">
        <f t="shared" si="4"/>
        <v>123.08127328454</v>
      </c>
      <c r="P22" s="71">
        <f t="shared" si="5"/>
        <v>0</v>
      </c>
      <c r="Q22" s="63"/>
      <c r="R22" s="71"/>
      <c r="S22" s="63"/>
      <c r="T22" s="71"/>
      <c r="U22" s="63"/>
      <c r="V22" s="71"/>
      <c r="W22" s="63"/>
      <c r="X22" s="71"/>
      <c r="Y22" s="63"/>
      <c r="Z22" s="71"/>
      <c r="AA22" s="63"/>
      <c r="AB22" s="72"/>
      <c r="AC22" s="63"/>
      <c r="AD22" s="72"/>
      <c r="AE22" s="63"/>
      <c r="AF22" s="72"/>
      <c r="AG22" s="63"/>
      <c r="AH22" s="72"/>
      <c r="AI22" s="63"/>
      <c r="AJ22" s="72"/>
      <c r="AK22" s="63"/>
      <c r="AL22" s="72"/>
      <c r="AM22" s="63"/>
      <c r="AN22" s="72"/>
      <c r="AO22" s="63"/>
      <c r="AP22" s="72"/>
    </row>
    <row r="23" spans="1:42" s="62" customFormat="1" ht="12.75">
      <c r="A23" s="62" t="s">
        <v>205</v>
      </c>
      <c r="B23" s="62">
        <v>19</v>
      </c>
      <c r="C23" s="62" t="s">
        <v>261</v>
      </c>
      <c r="D23" s="70">
        <v>0.05</v>
      </c>
      <c r="E23" s="63"/>
      <c r="F23" s="71">
        <v>4.161621745829789</v>
      </c>
      <c r="G23" s="71">
        <f t="shared" si="0"/>
        <v>4.161621745829789</v>
      </c>
      <c r="H23" s="71">
        <f t="shared" si="1"/>
        <v>0.20808108729148947</v>
      </c>
      <c r="I23" s="63"/>
      <c r="J23" s="71">
        <v>7.268854121616684</v>
      </c>
      <c r="K23" s="71">
        <f t="shared" si="2"/>
        <v>7.268854121616684</v>
      </c>
      <c r="L23" s="71">
        <f t="shared" si="3"/>
        <v>0.36344270608083423</v>
      </c>
      <c r="M23" s="63"/>
      <c r="N23" s="71">
        <v>6.4342655511310465</v>
      </c>
      <c r="O23" s="71">
        <f t="shared" si="4"/>
        <v>6.4342655511310465</v>
      </c>
      <c r="P23" s="71">
        <f t="shared" si="5"/>
        <v>0.3217132775565523</v>
      </c>
      <c r="Q23" s="63"/>
      <c r="R23" s="71"/>
      <c r="S23" s="63"/>
      <c r="T23" s="71"/>
      <c r="U23" s="63"/>
      <c r="V23" s="71"/>
      <c r="W23" s="63"/>
      <c r="X23" s="71"/>
      <c r="Y23" s="63"/>
      <c r="Z23" s="71"/>
      <c r="AA23" s="63"/>
      <c r="AB23" s="72"/>
      <c r="AC23" s="63"/>
      <c r="AD23" s="72"/>
      <c r="AE23" s="63"/>
      <c r="AF23" s="72"/>
      <c r="AG23" s="63"/>
      <c r="AH23" s="72"/>
      <c r="AI23" s="63"/>
      <c r="AJ23" s="72"/>
      <c r="AK23" s="63"/>
      <c r="AL23" s="72"/>
      <c r="AM23" s="63"/>
      <c r="AN23" s="72"/>
      <c r="AO23" s="63"/>
      <c r="AP23" s="72"/>
    </row>
    <row r="24" spans="1:42" s="62" customFormat="1" ht="12.75">
      <c r="A24" s="62" t="s">
        <v>205</v>
      </c>
      <c r="B24" s="62">
        <v>20</v>
      </c>
      <c r="C24" s="62" t="s">
        <v>262</v>
      </c>
      <c r="D24" s="70">
        <v>0.5</v>
      </c>
      <c r="E24" s="63"/>
      <c r="F24" s="71">
        <v>9.016847115964545</v>
      </c>
      <c r="G24" s="71">
        <f t="shared" si="0"/>
        <v>9.016847115964545</v>
      </c>
      <c r="H24" s="71">
        <f t="shared" si="1"/>
        <v>4.5084235579822725</v>
      </c>
      <c r="I24" s="63"/>
      <c r="J24" s="71">
        <v>16.37190507766</v>
      </c>
      <c r="K24" s="71">
        <f t="shared" si="2"/>
        <v>16.37190507766</v>
      </c>
      <c r="L24" s="71">
        <f t="shared" si="3"/>
        <v>8.18595253883</v>
      </c>
      <c r="M24" s="63"/>
      <c r="N24" s="71">
        <v>11.643945078014571</v>
      </c>
      <c r="O24" s="71">
        <f t="shared" si="4"/>
        <v>11.643945078014571</v>
      </c>
      <c r="P24" s="71">
        <f t="shared" si="5"/>
        <v>5.821972539007286</v>
      </c>
      <c r="Q24" s="63"/>
      <c r="R24" s="71"/>
      <c r="S24" s="63"/>
      <c r="T24" s="71"/>
      <c r="U24" s="63"/>
      <c r="V24" s="71"/>
      <c r="W24" s="63"/>
      <c r="X24" s="71"/>
      <c r="Y24" s="63"/>
      <c r="Z24" s="71"/>
      <c r="AA24" s="63"/>
      <c r="AB24" s="72"/>
      <c r="AC24" s="63"/>
      <c r="AD24" s="72"/>
      <c r="AE24" s="63"/>
      <c r="AF24" s="72"/>
      <c r="AG24" s="63"/>
      <c r="AH24" s="72"/>
      <c r="AI24" s="63"/>
      <c r="AJ24" s="72"/>
      <c r="AK24" s="63"/>
      <c r="AL24" s="72"/>
      <c r="AM24" s="63"/>
      <c r="AN24" s="72"/>
      <c r="AO24" s="63"/>
      <c r="AP24" s="72"/>
    </row>
    <row r="25" spans="1:42" s="62" customFormat="1" ht="12.75">
      <c r="A25" s="62" t="s">
        <v>205</v>
      </c>
      <c r="B25" s="62">
        <v>21</v>
      </c>
      <c r="C25" s="62" t="s">
        <v>263</v>
      </c>
      <c r="D25" s="70">
        <v>0</v>
      </c>
      <c r="E25" s="63"/>
      <c r="F25" s="71">
        <v>92.29008224575475</v>
      </c>
      <c r="G25" s="71">
        <f t="shared" si="0"/>
        <v>92.29008224575475</v>
      </c>
      <c r="H25" s="71">
        <f t="shared" si="1"/>
        <v>0</v>
      </c>
      <c r="I25" s="63"/>
      <c r="J25" s="71">
        <v>177.215116373122</v>
      </c>
      <c r="K25" s="71">
        <f t="shared" si="2"/>
        <v>177.215116373122</v>
      </c>
      <c r="L25" s="71">
        <f t="shared" si="3"/>
        <v>0</v>
      </c>
      <c r="M25" s="63"/>
      <c r="N25" s="71">
        <v>143.60865596218</v>
      </c>
      <c r="O25" s="71">
        <f t="shared" si="4"/>
        <v>143.60865596218</v>
      </c>
      <c r="P25" s="71">
        <f t="shared" si="5"/>
        <v>0</v>
      </c>
      <c r="Q25" s="63"/>
      <c r="R25" s="71"/>
      <c r="S25" s="63"/>
      <c r="T25" s="71"/>
      <c r="U25" s="63"/>
      <c r="V25" s="71"/>
      <c r="W25" s="63"/>
      <c r="X25" s="71"/>
      <c r="Y25" s="63"/>
      <c r="Z25" s="71"/>
      <c r="AA25" s="63"/>
      <c r="AB25" s="72"/>
      <c r="AC25" s="63"/>
      <c r="AD25" s="72"/>
      <c r="AE25" s="63"/>
      <c r="AF25" s="72"/>
      <c r="AG25" s="63"/>
      <c r="AH25" s="72"/>
      <c r="AI25" s="63"/>
      <c r="AJ25" s="72"/>
      <c r="AK25" s="63"/>
      <c r="AL25" s="72"/>
      <c r="AM25" s="63"/>
      <c r="AN25" s="72"/>
      <c r="AO25" s="63"/>
      <c r="AP25" s="72"/>
    </row>
    <row r="26" spans="1:42" s="62" customFormat="1" ht="12.75">
      <c r="A26" s="62" t="s">
        <v>205</v>
      </c>
      <c r="B26" s="62">
        <v>22</v>
      </c>
      <c r="C26" s="62" t="s">
        <v>264</v>
      </c>
      <c r="D26" s="70">
        <v>0</v>
      </c>
      <c r="E26" s="63"/>
      <c r="F26" s="71">
        <v>105.46855110755</v>
      </c>
      <c r="G26" s="71">
        <f t="shared" si="0"/>
        <v>105.46855110755</v>
      </c>
      <c r="H26" s="71">
        <f t="shared" si="1"/>
        <v>0</v>
      </c>
      <c r="I26" s="63"/>
      <c r="J26" s="71">
        <v>200.8558755723987</v>
      </c>
      <c r="K26" s="71">
        <f t="shared" si="2"/>
        <v>200.8558755723987</v>
      </c>
      <c r="L26" s="71">
        <f t="shared" si="3"/>
        <v>0</v>
      </c>
      <c r="M26" s="63"/>
      <c r="N26" s="71">
        <v>161.68686659132536</v>
      </c>
      <c r="O26" s="71">
        <f t="shared" si="4"/>
        <v>161.68686659132536</v>
      </c>
      <c r="P26" s="71">
        <f t="shared" si="5"/>
        <v>0</v>
      </c>
      <c r="Q26" s="63"/>
      <c r="R26" s="71"/>
      <c r="S26" s="63"/>
      <c r="T26" s="71"/>
      <c r="U26" s="63"/>
      <c r="V26" s="71"/>
      <c r="W26" s="63"/>
      <c r="X26" s="71"/>
      <c r="Y26" s="63"/>
      <c r="Z26" s="71"/>
      <c r="AA26" s="63"/>
      <c r="AB26" s="72"/>
      <c r="AC26" s="63"/>
      <c r="AD26" s="72"/>
      <c r="AE26" s="63"/>
      <c r="AF26" s="72"/>
      <c r="AG26" s="63"/>
      <c r="AH26" s="72"/>
      <c r="AI26" s="63"/>
      <c r="AJ26" s="72"/>
      <c r="AK26" s="63"/>
      <c r="AL26" s="72"/>
      <c r="AM26" s="63"/>
      <c r="AN26" s="72"/>
      <c r="AO26" s="63"/>
      <c r="AP26" s="72"/>
    </row>
    <row r="27" spans="1:42" s="62" customFormat="1" ht="12.75">
      <c r="A27" s="62" t="s">
        <v>205</v>
      </c>
      <c r="B27" s="62">
        <v>23</v>
      </c>
      <c r="C27" s="62" t="s">
        <v>265</v>
      </c>
      <c r="D27" s="70">
        <v>0.1</v>
      </c>
      <c r="E27" s="63"/>
      <c r="F27" s="71">
        <v>31.620165225667513</v>
      </c>
      <c r="G27" s="71">
        <f t="shared" si="0"/>
        <v>31.620165225667513</v>
      </c>
      <c r="H27" s="71">
        <f t="shared" si="1"/>
        <v>3.1620165225667516</v>
      </c>
      <c r="I27" s="63"/>
      <c r="J27" s="71">
        <v>69.9712125725718</v>
      </c>
      <c r="K27" s="71">
        <f t="shared" si="2"/>
        <v>69.9712125725718</v>
      </c>
      <c r="L27" s="71">
        <f t="shared" si="3"/>
        <v>6.997121257257181</v>
      </c>
      <c r="M27" s="63"/>
      <c r="N27" s="71">
        <v>56.870605193868</v>
      </c>
      <c r="O27" s="71">
        <f t="shared" si="4"/>
        <v>56.870605193868</v>
      </c>
      <c r="P27" s="71">
        <f t="shared" si="5"/>
        <v>5.687060519386801</v>
      </c>
      <c r="Q27" s="63"/>
      <c r="R27" s="71"/>
      <c r="S27" s="63"/>
      <c r="T27" s="71"/>
      <c r="U27" s="63"/>
      <c r="V27" s="71"/>
      <c r="W27" s="63"/>
      <c r="X27" s="71"/>
      <c r="Y27" s="63"/>
      <c r="Z27" s="71"/>
      <c r="AA27" s="63"/>
      <c r="AB27" s="72"/>
      <c r="AC27" s="63"/>
      <c r="AD27" s="72"/>
      <c r="AE27" s="63"/>
      <c r="AF27" s="72"/>
      <c r="AG27" s="63"/>
      <c r="AH27" s="72"/>
      <c r="AI27" s="63"/>
      <c r="AJ27" s="72"/>
      <c r="AK27" s="63"/>
      <c r="AL27" s="72"/>
      <c r="AM27" s="63"/>
      <c r="AN27" s="72"/>
      <c r="AO27" s="63"/>
      <c r="AP27" s="72"/>
    </row>
    <row r="28" spans="1:42" s="62" customFormat="1" ht="12.75">
      <c r="A28" s="62" t="s">
        <v>205</v>
      </c>
      <c r="B28" s="62">
        <v>24</v>
      </c>
      <c r="C28" s="62" t="s">
        <v>266</v>
      </c>
      <c r="D28" s="70">
        <v>0.1</v>
      </c>
      <c r="E28" s="63"/>
      <c r="F28" s="71">
        <v>9.628850313880687</v>
      </c>
      <c r="G28" s="71">
        <f t="shared" si="0"/>
        <v>9.628850313880687</v>
      </c>
      <c r="H28" s="71">
        <f t="shared" si="1"/>
        <v>0.9628850313880687</v>
      </c>
      <c r="I28" s="63"/>
      <c r="J28" s="71">
        <v>19.33832218025124</v>
      </c>
      <c r="K28" s="71">
        <f t="shared" si="2"/>
        <v>19.33832218025124</v>
      </c>
      <c r="L28" s="71">
        <f t="shared" si="3"/>
        <v>1.933832218025124</v>
      </c>
      <c r="M28" s="63"/>
      <c r="N28" s="71">
        <v>16.023396791849</v>
      </c>
      <c r="O28" s="71">
        <f t="shared" si="4"/>
        <v>16.023396791849</v>
      </c>
      <c r="P28" s="71">
        <f t="shared" si="5"/>
        <v>1.6023396791849</v>
      </c>
      <c r="Q28" s="63"/>
      <c r="R28" s="71"/>
      <c r="S28" s="63"/>
      <c r="T28" s="71"/>
      <c r="U28" s="63"/>
      <c r="V28" s="71"/>
      <c r="W28" s="63"/>
      <c r="X28" s="71"/>
      <c r="Y28" s="63"/>
      <c r="Z28" s="71"/>
      <c r="AA28" s="63"/>
      <c r="AB28" s="72"/>
      <c r="AC28" s="63"/>
      <c r="AD28" s="72"/>
      <c r="AE28" s="63"/>
      <c r="AF28" s="72"/>
      <c r="AG28" s="63"/>
      <c r="AH28" s="72"/>
      <c r="AI28" s="63"/>
      <c r="AJ28" s="72"/>
      <c r="AK28" s="63"/>
      <c r="AL28" s="72"/>
      <c r="AM28" s="63"/>
      <c r="AN28" s="72"/>
      <c r="AO28" s="63"/>
      <c r="AP28" s="72"/>
    </row>
    <row r="29" spans="1:42" s="62" customFormat="1" ht="12.75">
      <c r="A29" s="62" t="s">
        <v>205</v>
      </c>
      <c r="B29" s="62">
        <v>25</v>
      </c>
      <c r="C29" s="62" t="s">
        <v>267</v>
      </c>
      <c r="D29" s="70">
        <v>0.1</v>
      </c>
      <c r="E29" s="63"/>
      <c r="F29" s="71">
        <v>0.9180047968742182</v>
      </c>
      <c r="G29" s="71">
        <f t="shared" si="0"/>
        <v>0.9180047968742182</v>
      </c>
      <c r="H29" s="71">
        <f t="shared" si="1"/>
        <v>0.09180047968742183</v>
      </c>
      <c r="I29" s="63"/>
      <c r="J29" s="71">
        <v>1.1322202681646</v>
      </c>
      <c r="K29" s="71">
        <f t="shared" si="2"/>
        <v>1.1322202681646</v>
      </c>
      <c r="L29" s="71">
        <f t="shared" si="3"/>
        <v>0.11322202681646001</v>
      </c>
      <c r="M29" s="63"/>
      <c r="N29" s="71">
        <v>1.2038303289213</v>
      </c>
      <c r="O29" s="71">
        <f t="shared" si="4"/>
        <v>1.2038303289213</v>
      </c>
      <c r="P29" s="71">
        <f t="shared" si="5"/>
        <v>0.12038303289213</v>
      </c>
      <c r="Q29" s="63"/>
      <c r="R29" s="71"/>
      <c r="S29" s="63"/>
      <c r="T29" s="71"/>
      <c r="U29" s="63"/>
      <c r="V29" s="71"/>
      <c r="W29" s="63"/>
      <c r="X29" s="71"/>
      <c r="Y29" s="63"/>
      <c r="Z29" s="71"/>
      <c r="AA29" s="63"/>
      <c r="AB29" s="72"/>
      <c r="AC29" s="63"/>
      <c r="AD29" s="72"/>
      <c r="AE29" s="63"/>
      <c r="AF29" s="72"/>
      <c r="AG29" s="63"/>
      <c r="AH29" s="72"/>
      <c r="AI29" s="63"/>
      <c r="AJ29" s="72"/>
      <c r="AK29" s="63"/>
      <c r="AL29" s="72"/>
      <c r="AM29" s="63"/>
      <c r="AN29" s="72"/>
      <c r="AO29" s="63"/>
      <c r="AP29" s="72"/>
    </row>
    <row r="30" spans="1:42" s="62" customFormat="1" ht="12.75">
      <c r="A30" s="62" t="s">
        <v>205</v>
      </c>
      <c r="B30" s="62">
        <v>26</v>
      </c>
      <c r="C30" s="62" t="s">
        <v>268</v>
      </c>
      <c r="D30" s="70">
        <v>0.1</v>
      </c>
      <c r="E30" s="63"/>
      <c r="F30" s="71">
        <v>18.482496577067593</v>
      </c>
      <c r="G30" s="71">
        <f t="shared" si="0"/>
        <v>18.482496577067593</v>
      </c>
      <c r="H30" s="71">
        <f t="shared" si="1"/>
        <v>1.8482496577067593</v>
      </c>
      <c r="I30" s="63"/>
      <c r="J30" s="71">
        <v>31.249279401342744</v>
      </c>
      <c r="K30" s="71">
        <f t="shared" si="2"/>
        <v>31.249279401342744</v>
      </c>
      <c r="L30" s="71">
        <f t="shared" si="3"/>
        <v>3.1249279401342744</v>
      </c>
      <c r="M30" s="63"/>
      <c r="N30" s="71">
        <v>24.491720484950434</v>
      </c>
      <c r="O30" s="71">
        <f t="shared" si="4"/>
        <v>24.491720484950434</v>
      </c>
      <c r="P30" s="71">
        <f t="shared" si="5"/>
        <v>2.4491720484950434</v>
      </c>
      <c r="Q30" s="63"/>
      <c r="R30" s="71"/>
      <c r="S30" s="63"/>
      <c r="T30" s="71"/>
      <c r="U30" s="63"/>
      <c r="V30" s="71"/>
      <c r="W30" s="63"/>
      <c r="X30" s="71"/>
      <c r="Y30" s="63"/>
      <c r="Z30" s="71"/>
      <c r="AA30" s="63"/>
      <c r="AB30" s="72"/>
      <c r="AC30" s="63"/>
      <c r="AD30" s="72"/>
      <c r="AE30" s="63"/>
      <c r="AF30" s="72"/>
      <c r="AG30" s="63"/>
      <c r="AH30" s="72"/>
      <c r="AI30" s="63"/>
      <c r="AJ30" s="72"/>
      <c r="AK30" s="63"/>
      <c r="AL30" s="72"/>
      <c r="AM30" s="63"/>
      <c r="AN30" s="72"/>
      <c r="AO30" s="63"/>
      <c r="AP30" s="72"/>
    </row>
    <row r="31" spans="1:42" s="62" customFormat="1" ht="12.75">
      <c r="A31" s="62" t="s">
        <v>205</v>
      </c>
      <c r="B31" s="62">
        <v>27</v>
      </c>
      <c r="C31" s="62" t="s">
        <v>269</v>
      </c>
      <c r="D31" s="70">
        <v>0</v>
      </c>
      <c r="E31" s="63"/>
      <c r="F31" s="71">
        <v>56.03909282252172</v>
      </c>
      <c r="G31" s="71">
        <f t="shared" si="0"/>
        <v>56.03909282252172</v>
      </c>
      <c r="H31" s="71">
        <f t="shared" si="1"/>
        <v>0</v>
      </c>
      <c r="I31" s="63"/>
      <c r="J31" s="71">
        <v>109.28190028324644</v>
      </c>
      <c r="K31" s="71">
        <f t="shared" si="2"/>
        <v>109.28190028324644</v>
      </c>
      <c r="L31" s="71">
        <f t="shared" si="3"/>
        <v>0</v>
      </c>
      <c r="M31" s="63"/>
      <c r="N31" s="71">
        <v>89.87216076257232</v>
      </c>
      <c r="O31" s="71">
        <f t="shared" si="4"/>
        <v>89.87216076257232</v>
      </c>
      <c r="P31" s="71">
        <f t="shared" si="5"/>
        <v>0</v>
      </c>
      <c r="Q31" s="63"/>
      <c r="R31" s="71"/>
      <c r="S31" s="63"/>
      <c r="T31" s="71"/>
      <c r="U31" s="63"/>
      <c r="V31" s="71"/>
      <c r="W31" s="63"/>
      <c r="X31" s="71"/>
      <c r="Y31" s="63"/>
      <c r="Z31" s="71"/>
      <c r="AA31" s="63"/>
      <c r="AB31" s="72"/>
      <c r="AC31" s="63"/>
      <c r="AD31" s="72"/>
      <c r="AE31" s="63"/>
      <c r="AF31" s="72"/>
      <c r="AG31" s="63"/>
      <c r="AH31" s="72"/>
      <c r="AI31" s="63"/>
      <c r="AJ31" s="72"/>
      <c r="AK31" s="63"/>
      <c r="AL31" s="72"/>
      <c r="AM31" s="63"/>
      <c r="AN31" s="72"/>
      <c r="AO31" s="63"/>
      <c r="AP31" s="72"/>
    </row>
    <row r="32" spans="1:42" s="62" customFormat="1" ht="12.75">
      <c r="A32" s="62" t="s">
        <v>205</v>
      </c>
      <c r="B32" s="62">
        <v>28</v>
      </c>
      <c r="C32" s="62" t="s">
        <v>270</v>
      </c>
      <c r="D32" s="70">
        <v>0</v>
      </c>
      <c r="E32" s="63"/>
      <c r="F32" s="71">
        <v>116.68860973601173</v>
      </c>
      <c r="G32" s="71">
        <f t="shared" si="0"/>
        <v>116.68860973601173</v>
      </c>
      <c r="H32" s="71">
        <f t="shared" si="1"/>
        <v>0</v>
      </c>
      <c r="I32" s="63"/>
      <c r="J32" s="71">
        <v>230.97293470557682</v>
      </c>
      <c r="K32" s="71">
        <f t="shared" si="2"/>
        <v>230.97293470557682</v>
      </c>
      <c r="L32" s="71">
        <f t="shared" si="3"/>
        <v>0</v>
      </c>
      <c r="M32" s="63"/>
      <c r="N32" s="71">
        <v>188.46171356216</v>
      </c>
      <c r="O32" s="71">
        <f t="shared" si="4"/>
        <v>188.46171356216</v>
      </c>
      <c r="P32" s="71">
        <f t="shared" si="5"/>
        <v>0</v>
      </c>
      <c r="Q32" s="63"/>
      <c r="R32" s="71"/>
      <c r="S32" s="63"/>
      <c r="T32" s="71"/>
      <c r="U32" s="63"/>
      <c r="V32" s="71"/>
      <c r="W32" s="63"/>
      <c r="X32" s="71"/>
      <c r="Y32" s="63"/>
      <c r="Z32" s="71"/>
      <c r="AA32" s="63"/>
      <c r="AB32" s="72"/>
      <c r="AC32" s="63"/>
      <c r="AD32" s="72"/>
      <c r="AE32" s="63"/>
      <c r="AF32" s="72"/>
      <c r="AG32" s="63"/>
      <c r="AH32" s="72"/>
      <c r="AI32" s="63"/>
      <c r="AJ32" s="72"/>
      <c r="AK32" s="63"/>
      <c r="AL32" s="72"/>
      <c r="AM32" s="63"/>
      <c r="AN32" s="72"/>
      <c r="AO32" s="63"/>
      <c r="AP32" s="72"/>
    </row>
    <row r="33" spans="1:42" s="62" customFormat="1" ht="12.75">
      <c r="A33" s="62" t="s">
        <v>205</v>
      </c>
      <c r="B33" s="62">
        <v>29</v>
      </c>
      <c r="C33" s="62" t="s">
        <v>271</v>
      </c>
      <c r="D33" s="70">
        <v>0.01</v>
      </c>
      <c r="E33" s="63"/>
      <c r="F33" s="71">
        <v>37.33219507288487</v>
      </c>
      <c r="G33" s="71">
        <f t="shared" si="0"/>
        <v>37.33219507288487</v>
      </c>
      <c r="H33" s="71">
        <f t="shared" si="1"/>
        <v>0.3733219507288487</v>
      </c>
      <c r="I33" s="63"/>
      <c r="J33" s="71">
        <v>79.93475093242022</v>
      </c>
      <c r="K33" s="71">
        <f t="shared" si="2"/>
        <v>79.93475093242022</v>
      </c>
      <c r="L33" s="71">
        <f t="shared" si="3"/>
        <v>0.7993475093242022</v>
      </c>
      <c r="M33" s="63"/>
      <c r="N33" s="71">
        <v>69.53157934286776</v>
      </c>
      <c r="O33" s="71">
        <f t="shared" si="4"/>
        <v>69.53157934286776</v>
      </c>
      <c r="P33" s="71">
        <f t="shared" si="5"/>
        <v>0.6953157934286776</v>
      </c>
      <c r="Q33" s="63"/>
      <c r="R33" s="71"/>
      <c r="S33" s="63"/>
      <c r="T33" s="71"/>
      <c r="U33" s="63"/>
      <c r="V33" s="71"/>
      <c r="W33" s="63"/>
      <c r="X33" s="71"/>
      <c r="Y33" s="63"/>
      <c r="Z33" s="71"/>
      <c r="AA33" s="63"/>
      <c r="AB33" s="72"/>
      <c r="AC33" s="63"/>
      <c r="AD33" s="72"/>
      <c r="AE33" s="63"/>
      <c r="AF33" s="72"/>
      <c r="AG33" s="63"/>
      <c r="AH33" s="72"/>
      <c r="AI33" s="63"/>
      <c r="AJ33" s="72"/>
      <c r="AK33" s="63"/>
      <c r="AL33" s="72"/>
      <c r="AM33" s="63"/>
      <c r="AN33" s="72"/>
      <c r="AO33" s="63"/>
      <c r="AP33" s="72"/>
    </row>
    <row r="34" spans="1:42" s="62" customFormat="1" ht="12.75">
      <c r="A34" s="62" t="s">
        <v>205</v>
      </c>
      <c r="B34" s="62">
        <v>30</v>
      </c>
      <c r="C34" s="62" t="s">
        <v>272</v>
      </c>
      <c r="D34" s="70">
        <v>0.01</v>
      </c>
      <c r="E34" s="63"/>
      <c r="F34" s="71">
        <v>8.4048439180484</v>
      </c>
      <c r="G34" s="71">
        <f t="shared" si="0"/>
        <v>8.4048439180484</v>
      </c>
      <c r="H34" s="71">
        <f t="shared" si="1"/>
        <v>0.08404843918048399</v>
      </c>
      <c r="I34" s="63"/>
      <c r="J34" s="71">
        <v>12.477067355173807</v>
      </c>
      <c r="K34" s="71">
        <f t="shared" si="2"/>
        <v>12.477067355173807</v>
      </c>
      <c r="L34" s="71">
        <f t="shared" si="3"/>
        <v>0.12477067355173807</v>
      </c>
      <c r="M34" s="63"/>
      <c r="N34" s="71">
        <v>8.924948990278548</v>
      </c>
      <c r="O34" s="71">
        <f t="shared" si="4"/>
        <v>8.924948990278548</v>
      </c>
      <c r="P34" s="71">
        <f t="shared" si="5"/>
        <v>0.08924948990278547</v>
      </c>
      <c r="Q34" s="63"/>
      <c r="R34" s="71"/>
      <c r="S34" s="63"/>
      <c r="T34" s="71"/>
      <c r="U34" s="63"/>
      <c r="V34" s="71"/>
      <c r="W34" s="63"/>
      <c r="X34" s="71"/>
      <c r="Y34" s="63"/>
      <c r="Z34" s="71"/>
      <c r="AA34" s="63"/>
      <c r="AB34" s="72"/>
      <c r="AC34" s="63"/>
      <c r="AD34" s="72"/>
      <c r="AE34" s="63"/>
      <c r="AF34" s="72"/>
      <c r="AG34" s="63"/>
      <c r="AH34" s="72"/>
      <c r="AI34" s="63"/>
      <c r="AJ34" s="72"/>
      <c r="AK34" s="63"/>
      <c r="AL34" s="72"/>
      <c r="AM34" s="63"/>
      <c r="AN34" s="72"/>
      <c r="AO34" s="63"/>
      <c r="AP34" s="72"/>
    </row>
    <row r="35" spans="1:42" s="62" customFormat="1" ht="12.75">
      <c r="A35" s="62" t="s">
        <v>205</v>
      </c>
      <c r="B35" s="62">
        <v>31</v>
      </c>
      <c r="C35" s="62" t="s">
        <v>273</v>
      </c>
      <c r="D35" s="70">
        <v>0</v>
      </c>
      <c r="E35" s="63"/>
      <c r="F35" s="71">
        <v>34.23137887010974</v>
      </c>
      <c r="G35" s="71">
        <f t="shared" si="0"/>
        <v>34.23137887010974</v>
      </c>
      <c r="H35" s="71">
        <f t="shared" si="1"/>
        <v>0</v>
      </c>
      <c r="I35" s="63"/>
      <c r="J35" s="71">
        <v>67.2312395236135</v>
      </c>
      <c r="K35" s="71">
        <f t="shared" si="2"/>
        <v>67.2312395236135</v>
      </c>
      <c r="L35" s="71">
        <f t="shared" si="3"/>
        <v>0</v>
      </c>
      <c r="M35" s="63"/>
      <c r="N35" s="71">
        <v>54.58747870798274</v>
      </c>
      <c r="O35" s="71">
        <f t="shared" si="4"/>
        <v>54.58747870798274</v>
      </c>
      <c r="P35" s="71">
        <f t="shared" si="5"/>
        <v>0</v>
      </c>
      <c r="Q35" s="63"/>
      <c r="R35" s="71"/>
      <c r="S35" s="63"/>
      <c r="T35" s="71"/>
      <c r="U35" s="63"/>
      <c r="V35" s="71"/>
      <c r="W35" s="63"/>
      <c r="X35" s="71"/>
      <c r="Y35" s="63"/>
      <c r="Z35" s="71"/>
      <c r="AA35" s="63"/>
      <c r="AB35" s="72"/>
      <c r="AC35" s="63"/>
      <c r="AD35" s="72"/>
      <c r="AE35" s="63"/>
      <c r="AF35" s="72"/>
      <c r="AG35" s="63"/>
      <c r="AH35" s="72"/>
      <c r="AI35" s="63"/>
      <c r="AJ35" s="72"/>
      <c r="AK35" s="63"/>
      <c r="AL35" s="72"/>
      <c r="AM35" s="63"/>
      <c r="AN35" s="72"/>
      <c r="AO35" s="63"/>
      <c r="AP35" s="72"/>
    </row>
    <row r="36" spans="1:42" s="62" customFormat="1" ht="12.75">
      <c r="A36" s="62" t="s">
        <v>205</v>
      </c>
      <c r="B36" s="62">
        <v>32</v>
      </c>
      <c r="C36" s="62" t="s">
        <v>274</v>
      </c>
      <c r="D36" s="70">
        <v>0</v>
      </c>
      <c r="E36" s="63"/>
      <c r="F36" s="71">
        <v>79.968417861043</v>
      </c>
      <c r="G36" s="71">
        <f t="shared" si="0"/>
        <v>79.968417861043</v>
      </c>
      <c r="H36" s="71">
        <f t="shared" si="1"/>
        <v>0</v>
      </c>
      <c r="I36" s="63"/>
      <c r="J36" s="71">
        <v>159.6430578112075</v>
      </c>
      <c r="K36" s="71">
        <f t="shared" si="2"/>
        <v>159.6430578112075</v>
      </c>
      <c r="L36" s="71">
        <f t="shared" si="3"/>
        <v>0</v>
      </c>
      <c r="M36" s="63"/>
      <c r="N36" s="71">
        <v>133.04400704113</v>
      </c>
      <c r="O36" s="71">
        <f t="shared" si="4"/>
        <v>133.04400704113</v>
      </c>
      <c r="P36" s="71">
        <f t="shared" si="5"/>
        <v>0</v>
      </c>
      <c r="Q36" s="63"/>
      <c r="R36" s="71"/>
      <c r="S36" s="63"/>
      <c r="T36" s="71"/>
      <c r="U36" s="63"/>
      <c r="V36" s="71"/>
      <c r="W36" s="63"/>
      <c r="X36" s="71"/>
      <c r="Y36" s="63"/>
      <c r="Z36" s="71"/>
      <c r="AA36" s="63"/>
      <c r="AB36" s="72"/>
      <c r="AC36" s="63"/>
      <c r="AD36" s="72"/>
      <c r="AE36" s="63"/>
      <c r="AF36" s="72"/>
      <c r="AG36" s="63"/>
      <c r="AH36" s="72"/>
      <c r="AI36" s="63"/>
      <c r="AJ36" s="72"/>
      <c r="AK36" s="63"/>
      <c r="AL36" s="72"/>
      <c r="AM36" s="63"/>
      <c r="AN36" s="72"/>
      <c r="AO36" s="63"/>
      <c r="AP36" s="72"/>
    </row>
    <row r="37" spans="1:42" s="62" customFormat="1" ht="12.75">
      <c r="A37" s="62" t="s">
        <v>205</v>
      </c>
      <c r="B37" s="62">
        <v>33</v>
      </c>
      <c r="C37" s="62" t="s">
        <v>275</v>
      </c>
      <c r="D37" s="70">
        <v>0.001</v>
      </c>
      <c r="E37" s="63"/>
      <c r="F37" s="71">
        <v>43.04422492010223</v>
      </c>
      <c r="G37" s="71">
        <f t="shared" si="0"/>
        <v>43.04422492010223</v>
      </c>
      <c r="H37" s="71">
        <f t="shared" si="1"/>
        <v>0.04304422492010223</v>
      </c>
      <c r="I37" s="63"/>
      <c r="J37" s="71">
        <v>66.574551768078</v>
      </c>
      <c r="K37" s="71">
        <f t="shared" si="2"/>
        <v>66.574551768078</v>
      </c>
      <c r="L37" s="71">
        <f t="shared" si="3"/>
        <v>0.066574551768078</v>
      </c>
      <c r="M37" s="63"/>
      <c r="N37" s="71">
        <v>80.53209786576923</v>
      </c>
      <c r="O37" s="71">
        <f t="shared" si="4"/>
        <v>80.53209786576923</v>
      </c>
      <c r="P37" s="71">
        <f t="shared" si="5"/>
        <v>0.08053209786576923</v>
      </c>
      <c r="Q37" s="63"/>
      <c r="R37" s="71"/>
      <c r="S37" s="63"/>
      <c r="T37" s="71"/>
      <c r="U37" s="63"/>
      <c r="V37" s="71"/>
      <c r="W37" s="63"/>
      <c r="X37" s="71"/>
      <c r="Y37" s="63"/>
      <c r="Z37" s="71"/>
      <c r="AA37" s="63"/>
      <c r="AB37" s="72"/>
      <c r="AC37" s="63"/>
      <c r="AD37" s="72"/>
      <c r="AE37" s="63"/>
      <c r="AF37" s="72"/>
      <c r="AG37" s="63"/>
      <c r="AH37" s="72"/>
      <c r="AI37" s="63"/>
      <c r="AJ37" s="72"/>
      <c r="AK37" s="63"/>
      <c r="AL37" s="72"/>
      <c r="AM37" s="63"/>
      <c r="AN37" s="72"/>
      <c r="AO37" s="63"/>
      <c r="AP37" s="72"/>
    </row>
    <row r="38" spans="1:42" s="62" customFormat="1" ht="12.75">
      <c r="A38" s="62" t="s">
        <v>205</v>
      </c>
      <c r="B38" s="62">
        <v>34</v>
      </c>
      <c r="C38" s="62" t="s">
        <v>276</v>
      </c>
      <c r="D38" s="70"/>
      <c r="E38" s="63"/>
      <c r="F38" s="71">
        <v>494.437383596454</v>
      </c>
      <c r="G38" s="71">
        <f>SUM(G37,G36,G32,G26,G22,G19,G18,G15,G10,G7)</f>
        <v>494.4373835964548</v>
      </c>
      <c r="H38" s="71"/>
      <c r="I38" s="63"/>
      <c r="J38" s="71">
        <v>936.119717718485</v>
      </c>
      <c r="K38" s="71">
        <f>SUM(K37,K36,K32,K26,K22,K19,K18,K15,K10,K7)</f>
        <v>936.1197177184849</v>
      </c>
      <c r="L38" s="71"/>
      <c r="M38" s="63"/>
      <c r="N38" s="71">
        <v>753.26569477951</v>
      </c>
      <c r="O38" s="71">
        <f>SUM(O37,O36,O32,O26,O22,O19,O18,O15,O10,O7)</f>
        <v>753.2656947795103</v>
      </c>
      <c r="P38" s="71"/>
      <c r="Q38" s="63"/>
      <c r="R38" s="71"/>
      <c r="S38" s="63"/>
      <c r="T38" s="71"/>
      <c r="U38" s="63"/>
      <c r="V38" s="71"/>
      <c r="W38" s="63"/>
      <c r="X38" s="71"/>
      <c r="Y38" s="63"/>
      <c r="Z38" s="71"/>
      <c r="AA38" s="63"/>
      <c r="AB38" s="72"/>
      <c r="AC38" s="63"/>
      <c r="AD38" s="72"/>
      <c r="AE38" s="63"/>
      <c r="AF38" s="72"/>
      <c r="AG38" s="63"/>
      <c r="AH38" s="72"/>
      <c r="AI38" s="63"/>
      <c r="AJ38" s="72"/>
      <c r="AK38" s="63"/>
      <c r="AL38" s="72"/>
      <c r="AM38" s="63"/>
      <c r="AN38" s="72"/>
      <c r="AO38" s="63"/>
      <c r="AP38" s="72"/>
    </row>
    <row r="39" spans="1:42" s="62" customFormat="1" ht="12.75">
      <c r="A39" s="62" t="s">
        <v>205</v>
      </c>
      <c r="B39" s="62">
        <v>35</v>
      </c>
      <c r="C39" s="62" t="s">
        <v>26</v>
      </c>
      <c r="D39" s="70"/>
      <c r="E39" s="63"/>
      <c r="F39" s="71">
        <v>12.287086204029467</v>
      </c>
      <c r="G39" s="71"/>
      <c r="H39" s="71">
        <f>SUM(H5:H37)</f>
        <v>12.28708620402947</v>
      </c>
      <c r="I39" s="63"/>
      <c r="J39" s="71">
        <v>23.530413011941366</v>
      </c>
      <c r="K39" s="71"/>
      <c r="L39" s="71">
        <f>SUM(L5:L37)</f>
        <v>23.530413011941363</v>
      </c>
      <c r="M39" s="63"/>
      <c r="N39" s="71">
        <v>17.932152801135</v>
      </c>
      <c r="O39" s="71"/>
      <c r="P39" s="71">
        <f>SUM(P5:P37)</f>
        <v>17.932152801134954</v>
      </c>
      <c r="Q39" s="63"/>
      <c r="R39" s="71"/>
      <c r="S39" s="63"/>
      <c r="T39" s="71"/>
      <c r="U39" s="63"/>
      <c r="V39" s="71"/>
      <c r="W39" s="63"/>
      <c r="X39" s="71"/>
      <c r="Y39" s="63"/>
      <c r="Z39" s="71"/>
      <c r="AA39" s="63"/>
      <c r="AB39" s="72"/>
      <c r="AC39" s="63"/>
      <c r="AD39" s="72"/>
      <c r="AE39" s="63"/>
      <c r="AF39" s="72"/>
      <c r="AG39" s="63"/>
      <c r="AH39" s="72"/>
      <c r="AI39" s="63"/>
      <c r="AJ39" s="72"/>
      <c r="AK39" s="63"/>
      <c r="AL39" s="72"/>
      <c r="AM39" s="63"/>
      <c r="AN39" s="72"/>
      <c r="AO39" s="63"/>
      <c r="AP39" s="72"/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600" verticalDpi="600" orientation="landscape" scale="80" r:id="rId1"/>
  <headerFooter alignWithMargins="0">
    <oddFooter>&amp;C&amp;P, &amp;A, 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22">
      <selection activeCell="I17" sqref="I17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6.8515625" style="0" customWidth="1"/>
    <col min="4" max="4" width="7.00390625" style="68" customWidth="1"/>
    <col min="5" max="5" width="2.140625" style="0" customWidth="1"/>
    <col min="7" max="7" width="7.7109375" style="69" customWidth="1"/>
    <col min="8" max="8" width="8.28125" style="69" customWidth="1"/>
    <col min="9" max="9" width="2.7109375" style="0" customWidth="1"/>
    <col min="11" max="11" width="7.7109375" style="69" customWidth="1"/>
    <col min="12" max="12" width="8.28125" style="69" customWidth="1"/>
    <col min="13" max="13" width="3.140625" style="0" customWidth="1"/>
    <col min="15" max="15" width="7.7109375" style="69" customWidth="1"/>
    <col min="16" max="16" width="8.28125" style="69" customWidth="1"/>
  </cols>
  <sheetData>
    <row r="1" ht="12.75">
      <c r="C1" s="8" t="s">
        <v>208</v>
      </c>
    </row>
    <row r="2" spans="6:16" ht="12.75">
      <c r="F2" s="82" t="s">
        <v>56</v>
      </c>
      <c r="G2" s="82"/>
      <c r="H2" s="82"/>
      <c r="J2" s="82" t="s">
        <v>57</v>
      </c>
      <c r="K2" s="82"/>
      <c r="L2" s="82"/>
      <c r="N2" s="82" t="s">
        <v>58</v>
      </c>
      <c r="O2" s="82"/>
      <c r="P2" s="82"/>
    </row>
    <row r="3" spans="3:16" ht="12.75">
      <c r="C3" t="s">
        <v>76</v>
      </c>
      <c r="D3" s="68" t="s">
        <v>22</v>
      </c>
      <c r="F3" t="s">
        <v>24</v>
      </c>
      <c r="G3" s="69" t="s">
        <v>24</v>
      </c>
      <c r="H3" s="69" t="s">
        <v>26</v>
      </c>
      <c r="J3" t="s">
        <v>24</v>
      </c>
      <c r="K3" s="69" t="s">
        <v>24</v>
      </c>
      <c r="L3" s="69" t="s">
        <v>26</v>
      </c>
      <c r="N3" t="s">
        <v>24</v>
      </c>
      <c r="O3" s="69" t="s">
        <v>24</v>
      </c>
      <c r="P3" s="69" t="s">
        <v>26</v>
      </c>
    </row>
    <row r="4" spans="4:16" ht="12.75">
      <c r="D4" s="68" t="s">
        <v>241</v>
      </c>
      <c r="F4" t="s">
        <v>242</v>
      </c>
      <c r="G4" s="69" t="s">
        <v>79</v>
      </c>
      <c r="H4" s="69" t="s">
        <v>79</v>
      </c>
      <c r="J4" t="s">
        <v>242</v>
      </c>
      <c r="K4" s="69" t="s">
        <v>79</v>
      </c>
      <c r="L4" s="69" t="s">
        <v>79</v>
      </c>
      <c r="N4" t="s">
        <v>242</v>
      </c>
      <c r="O4" s="69" t="s">
        <v>79</v>
      </c>
      <c r="P4" s="69" t="s">
        <v>79</v>
      </c>
    </row>
    <row r="5" spans="1:42" s="62" customFormat="1" ht="12.75">
      <c r="A5" s="62" t="s">
        <v>208</v>
      </c>
      <c r="B5" s="62">
        <v>1</v>
      </c>
      <c r="C5" s="62" t="s">
        <v>243</v>
      </c>
      <c r="D5" s="70">
        <v>1</v>
      </c>
      <c r="E5" s="63"/>
      <c r="F5" s="71">
        <v>0.20946523692080563</v>
      </c>
      <c r="G5" s="71">
        <f>IF(E5=1,F5/2,F5)</f>
        <v>0.20946523692080563</v>
      </c>
      <c r="H5" s="71">
        <f>G5*$D5</f>
        <v>0.20946523692080563</v>
      </c>
      <c r="I5" s="63"/>
      <c r="J5" s="71">
        <v>0.1235469314530076</v>
      </c>
      <c r="K5" s="71">
        <f>IF(I5=1,J5/2,J5)</f>
        <v>0.1235469314530076</v>
      </c>
      <c r="L5" s="71">
        <f>K5*$D5</f>
        <v>0.1235469314530076</v>
      </c>
      <c r="M5" s="63"/>
      <c r="N5" s="71">
        <v>0.10664455484330425</v>
      </c>
      <c r="O5" s="71">
        <f>IF(M5=1,N5/2,N5)</f>
        <v>0.10664455484330425</v>
      </c>
      <c r="P5" s="71">
        <f>O5*$D5</f>
        <v>0.10664455484330425</v>
      </c>
      <c r="Q5" s="63"/>
      <c r="R5" s="71"/>
      <c r="S5" s="63"/>
      <c r="T5" s="71"/>
      <c r="U5" s="63"/>
      <c r="V5" s="71"/>
      <c r="W5" s="63"/>
      <c r="X5" s="71"/>
      <c r="Y5" s="63"/>
      <c r="Z5" s="71"/>
      <c r="AA5" s="63"/>
      <c r="AB5" s="72"/>
      <c r="AC5" s="63"/>
      <c r="AD5" s="72"/>
      <c r="AE5" s="63"/>
      <c r="AF5" s="72"/>
      <c r="AG5" s="63"/>
      <c r="AH5" s="72"/>
      <c r="AI5" s="63"/>
      <c r="AJ5" s="72"/>
      <c r="AK5" s="63"/>
      <c r="AL5" s="72"/>
      <c r="AM5" s="63"/>
      <c r="AN5" s="72"/>
      <c r="AO5" s="63"/>
      <c r="AP5" s="72"/>
    </row>
    <row r="6" spans="1:42" s="62" customFormat="1" ht="12.75">
      <c r="A6" s="62" t="s">
        <v>208</v>
      </c>
      <c r="B6" s="62">
        <v>2</v>
      </c>
      <c r="C6" s="62" t="s">
        <v>244</v>
      </c>
      <c r="D6" s="70">
        <v>0</v>
      </c>
      <c r="E6" s="63"/>
      <c r="F6" s="71">
        <v>8.95463887836444</v>
      </c>
      <c r="G6" s="71">
        <f aca="true" t="shared" si="0" ref="G6:G37">IF(E6=1,F6/2,F6)</f>
        <v>8.95463887836444</v>
      </c>
      <c r="H6" s="71">
        <f aca="true" t="shared" si="1" ref="H6:H37">G6*$D6</f>
        <v>0</v>
      </c>
      <c r="I6" s="63"/>
      <c r="J6" s="71">
        <v>3.0716323302627</v>
      </c>
      <c r="K6" s="71">
        <f aca="true" t="shared" si="2" ref="K6:K37">IF(I6=1,J6/2,J6)</f>
        <v>3.0716323302627</v>
      </c>
      <c r="L6" s="71">
        <f aca="true" t="shared" si="3" ref="L6:L37">K6*$D6</f>
        <v>0</v>
      </c>
      <c r="M6" s="63"/>
      <c r="N6" s="71">
        <v>3.6481324802647</v>
      </c>
      <c r="O6" s="71">
        <f aca="true" t="shared" si="4" ref="O6:O37">IF(M6=1,N6/2,N6)</f>
        <v>3.6481324802647</v>
      </c>
      <c r="P6" s="71">
        <f aca="true" t="shared" si="5" ref="P6:P37">O6*$D6</f>
        <v>0</v>
      </c>
      <c r="Q6" s="63"/>
      <c r="R6" s="71"/>
      <c r="S6" s="63"/>
      <c r="T6" s="71"/>
      <c r="U6" s="63"/>
      <c r="V6" s="71"/>
      <c r="W6" s="63"/>
      <c r="X6" s="71"/>
      <c r="Y6" s="63"/>
      <c r="Z6" s="71"/>
      <c r="AA6" s="63"/>
      <c r="AB6" s="72"/>
      <c r="AC6" s="63"/>
      <c r="AD6" s="72"/>
      <c r="AE6" s="63"/>
      <c r="AF6" s="72"/>
      <c r="AG6" s="63"/>
      <c r="AH6" s="72"/>
      <c r="AI6" s="63"/>
      <c r="AJ6" s="72"/>
      <c r="AK6" s="63"/>
      <c r="AL6" s="72"/>
      <c r="AM6" s="63"/>
      <c r="AN6" s="72"/>
      <c r="AO6" s="63"/>
      <c r="AP6" s="72"/>
    </row>
    <row r="7" spans="1:42" s="62" customFormat="1" ht="12.75">
      <c r="A7" s="62" t="s">
        <v>208</v>
      </c>
      <c r="B7" s="62">
        <v>3</v>
      </c>
      <c r="C7" s="62" t="s">
        <v>245</v>
      </c>
      <c r="D7" s="70">
        <v>0</v>
      </c>
      <c r="E7" s="63"/>
      <c r="F7" s="71">
        <v>9.164104115285246</v>
      </c>
      <c r="G7" s="71">
        <f t="shared" si="0"/>
        <v>9.164104115285246</v>
      </c>
      <c r="H7" s="71">
        <f t="shared" si="1"/>
        <v>0</v>
      </c>
      <c r="I7" s="63"/>
      <c r="J7" s="71">
        <v>3.1951792617157144</v>
      </c>
      <c r="K7" s="71">
        <f t="shared" si="2"/>
        <v>3.1951792617157144</v>
      </c>
      <c r="L7" s="71">
        <f t="shared" si="3"/>
        <v>0</v>
      </c>
      <c r="M7" s="63"/>
      <c r="N7" s="71">
        <v>3.754777035108</v>
      </c>
      <c r="O7" s="71">
        <f t="shared" si="4"/>
        <v>3.754777035108</v>
      </c>
      <c r="P7" s="71">
        <f t="shared" si="5"/>
        <v>0</v>
      </c>
      <c r="Q7" s="63"/>
      <c r="R7" s="71"/>
      <c r="S7" s="63"/>
      <c r="T7" s="71"/>
      <c r="U7" s="63"/>
      <c r="V7" s="71"/>
      <c r="W7" s="63"/>
      <c r="X7" s="71"/>
      <c r="Y7" s="63"/>
      <c r="Z7" s="71"/>
      <c r="AA7" s="63"/>
      <c r="AB7" s="72"/>
      <c r="AC7" s="63"/>
      <c r="AD7" s="72"/>
      <c r="AE7" s="63"/>
      <c r="AF7" s="72"/>
      <c r="AG7" s="63"/>
      <c r="AH7" s="72"/>
      <c r="AI7" s="63"/>
      <c r="AJ7" s="72"/>
      <c r="AK7" s="63"/>
      <c r="AL7" s="72"/>
      <c r="AM7" s="63"/>
      <c r="AN7" s="72"/>
      <c r="AO7" s="63"/>
      <c r="AP7" s="72"/>
    </row>
    <row r="8" spans="1:42" s="62" customFormat="1" ht="12.75">
      <c r="A8" s="62" t="s">
        <v>208</v>
      </c>
      <c r="B8" s="62">
        <v>4</v>
      </c>
      <c r="C8" s="62" t="s">
        <v>246</v>
      </c>
      <c r="D8" s="70">
        <v>0.5</v>
      </c>
      <c r="E8" s="63"/>
      <c r="F8" s="71">
        <v>0.6763981608901015</v>
      </c>
      <c r="G8" s="71">
        <f t="shared" si="0"/>
        <v>0.6763981608901015</v>
      </c>
      <c r="H8" s="71">
        <f t="shared" si="1"/>
        <v>0.33819908044505076</v>
      </c>
      <c r="I8" s="63"/>
      <c r="J8" s="71">
        <v>0.4473250966402</v>
      </c>
      <c r="K8" s="71">
        <f t="shared" si="2"/>
        <v>0.4473250966402</v>
      </c>
      <c r="L8" s="71">
        <f t="shared" si="3"/>
        <v>0.2236625483201</v>
      </c>
      <c r="M8" s="63"/>
      <c r="N8" s="71">
        <v>0.399917080662391</v>
      </c>
      <c r="O8" s="71">
        <f t="shared" si="4"/>
        <v>0.399917080662391</v>
      </c>
      <c r="P8" s="71">
        <f t="shared" si="5"/>
        <v>0.1999585403311955</v>
      </c>
      <c r="Q8" s="63"/>
      <c r="R8" s="71"/>
      <c r="S8" s="63"/>
      <c r="T8" s="71"/>
      <c r="U8" s="63"/>
      <c r="V8" s="71"/>
      <c r="W8" s="63"/>
      <c r="X8" s="71"/>
      <c r="Y8" s="63"/>
      <c r="Z8" s="71"/>
      <c r="AA8" s="63"/>
      <c r="AB8" s="72"/>
      <c r="AC8" s="63"/>
      <c r="AD8" s="72"/>
      <c r="AE8" s="63"/>
      <c r="AF8" s="72"/>
      <c r="AG8" s="63"/>
      <c r="AH8" s="72"/>
      <c r="AI8" s="63"/>
      <c r="AJ8" s="72"/>
      <c r="AK8" s="63"/>
      <c r="AL8" s="72"/>
      <c r="AM8" s="63"/>
      <c r="AN8" s="72"/>
      <c r="AO8" s="63"/>
      <c r="AP8" s="72"/>
    </row>
    <row r="9" spans="1:42" s="62" customFormat="1" ht="12.75">
      <c r="A9" s="62" t="s">
        <v>208</v>
      </c>
      <c r="B9" s="62">
        <v>5</v>
      </c>
      <c r="C9" s="62" t="s">
        <v>247</v>
      </c>
      <c r="D9" s="70">
        <v>0</v>
      </c>
      <c r="E9" s="63"/>
      <c r="F9" s="71">
        <v>14.466192924843138</v>
      </c>
      <c r="G9" s="71">
        <f t="shared" si="0"/>
        <v>14.466192924843138</v>
      </c>
      <c r="H9" s="71">
        <f t="shared" si="1"/>
        <v>0</v>
      </c>
      <c r="I9" s="63"/>
      <c r="J9" s="71">
        <v>3.9194198943712752</v>
      </c>
      <c r="K9" s="71">
        <f t="shared" si="2"/>
        <v>3.9194198943712752</v>
      </c>
      <c r="L9" s="71">
        <f t="shared" si="3"/>
        <v>0</v>
      </c>
      <c r="M9" s="63"/>
      <c r="N9" s="71">
        <v>5.8876681319741</v>
      </c>
      <c r="O9" s="71">
        <f t="shared" si="4"/>
        <v>5.8876681319741</v>
      </c>
      <c r="P9" s="71">
        <f t="shared" si="5"/>
        <v>0</v>
      </c>
      <c r="Q9" s="63"/>
      <c r="R9" s="71"/>
      <c r="S9" s="63"/>
      <c r="T9" s="71"/>
      <c r="U9" s="63"/>
      <c r="V9" s="71"/>
      <c r="W9" s="63"/>
      <c r="X9" s="71"/>
      <c r="Y9" s="63"/>
      <c r="Z9" s="71"/>
      <c r="AA9" s="63"/>
      <c r="AB9" s="72"/>
      <c r="AC9" s="63"/>
      <c r="AD9" s="72"/>
      <c r="AE9" s="63"/>
      <c r="AF9" s="72"/>
      <c r="AG9" s="63"/>
      <c r="AH9" s="72"/>
      <c r="AI9" s="63"/>
      <c r="AJ9" s="72"/>
      <c r="AK9" s="63"/>
      <c r="AL9" s="72"/>
      <c r="AM9" s="63"/>
      <c r="AN9" s="72"/>
      <c r="AO9" s="63"/>
      <c r="AP9" s="72"/>
    </row>
    <row r="10" spans="1:42" s="62" customFormat="1" ht="12.75">
      <c r="A10" s="62" t="s">
        <v>208</v>
      </c>
      <c r="B10" s="62">
        <v>6</v>
      </c>
      <c r="C10" s="62" t="s">
        <v>248</v>
      </c>
      <c r="D10" s="70">
        <v>0</v>
      </c>
      <c r="E10" s="63"/>
      <c r="F10" s="71">
        <v>15.14259108573324</v>
      </c>
      <c r="G10" s="71">
        <f t="shared" si="0"/>
        <v>15.14259108573324</v>
      </c>
      <c r="H10" s="71">
        <f t="shared" si="1"/>
        <v>0</v>
      </c>
      <c r="I10" s="63"/>
      <c r="J10" s="71">
        <v>4.366744991011475</v>
      </c>
      <c r="K10" s="71">
        <f t="shared" si="2"/>
        <v>4.366744991011475</v>
      </c>
      <c r="L10" s="71">
        <f t="shared" si="3"/>
        <v>0</v>
      </c>
      <c r="M10" s="63"/>
      <c r="N10" s="71">
        <v>6.287585212636481</v>
      </c>
      <c r="O10" s="71">
        <f t="shared" si="4"/>
        <v>6.287585212636481</v>
      </c>
      <c r="P10" s="71">
        <f t="shared" si="5"/>
        <v>0</v>
      </c>
      <c r="Q10" s="63"/>
      <c r="R10" s="71"/>
      <c r="S10" s="63"/>
      <c r="T10" s="71"/>
      <c r="U10" s="63"/>
      <c r="V10" s="71"/>
      <c r="W10" s="63"/>
      <c r="X10" s="71"/>
      <c r="Y10" s="63"/>
      <c r="Z10" s="71"/>
      <c r="AA10" s="63"/>
      <c r="AB10" s="72"/>
      <c r="AC10" s="63"/>
      <c r="AD10" s="72"/>
      <c r="AE10" s="63"/>
      <c r="AF10" s="72"/>
      <c r="AG10" s="63"/>
      <c r="AH10" s="72"/>
      <c r="AI10" s="63"/>
      <c r="AJ10" s="72"/>
      <c r="AK10" s="63"/>
      <c r="AL10" s="72"/>
      <c r="AM10" s="63"/>
      <c r="AN10" s="72"/>
      <c r="AO10" s="63"/>
      <c r="AP10" s="72"/>
    </row>
    <row r="11" spans="1:42" s="62" customFormat="1" ht="12.75">
      <c r="A11" s="62" t="s">
        <v>208</v>
      </c>
      <c r="B11" s="62">
        <v>7</v>
      </c>
      <c r="C11" s="62" t="s">
        <v>249</v>
      </c>
      <c r="D11" s="70">
        <v>0.1</v>
      </c>
      <c r="E11" s="63"/>
      <c r="F11" s="71">
        <v>0.7854946384530211</v>
      </c>
      <c r="G11" s="71">
        <f t="shared" si="0"/>
        <v>0.7854946384530211</v>
      </c>
      <c r="H11" s="71">
        <f t="shared" si="1"/>
        <v>0.07854946384530212</v>
      </c>
      <c r="I11" s="63"/>
      <c r="J11" s="71">
        <v>0.3834215114058857</v>
      </c>
      <c r="K11" s="71">
        <f t="shared" si="2"/>
        <v>0.3834215114058857</v>
      </c>
      <c r="L11" s="71">
        <f t="shared" si="3"/>
        <v>0.03834215114058857</v>
      </c>
      <c r="M11" s="63"/>
      <c r="N11" s="71">
        <v>0.35548184947768</v>
      </c>
      <c r="O11" s="71">
        <f t="shared" si="4"/>
        <v>0.35548184947768</v>
      </c>
      <c r="P11" s="71">
        <f t="shared" si="5"/>
        <v>0.035548184947768006</v>
      </c>
      <c r="Q11" s="63"/>
      <c r="R11" s="71"/>
      <c r="S11" s="63"/>
      <c r="T11" s="71"/>
      <c r="U11" s="63"/>
      <c r="V11" s="71"/>
      <c r="W11" s="63"/>
      <c r="X11" s="71"/>
      <c r="Y11" s="63"/>
      <c r="Z11" s="71"/>
      <c r="AA11" s="63"/>
      <c r="AB11" s="72"/>
      <c r="AC11" s="63"/>
      <c r="AD11" s="72"/>
      <c r="AE11" s="63"/>
      <c r="AF11" s="72"/>
      <c r="AG11" s="63"/>
      <c r="AH11" s="72"/>
      <c r="AI11" s="63"/>
      <c r="AJ11" s="72"/>
      <c r="AK11" s="63"/>
      <c r="AL11" s="72"/>
      <c r="AM11" s="63"/>
      <c r="AN11" s="72"/>
      <c r="AO11" s="63"/>
      <c r="AP11" s="72"/>
    </row>
    <row r="12" spans="1:42" s="62" customFormat="1" ht="12.75">
      <c r="A12" s="62" t="s">
        <v>208</v>
      </c>
      <c r="B12" s="62">
        <v>8</v>
      </c>
      <c r="C12" s="62" t="s">
        <v>250</v>
      </c>
      <c r="D12" s="70">
        <v>0.1</v>
      </c>
      <c r="E12" s="63"/>
      <c r="F12" s="71">
        <v>1.5491699813934585</v>
      </c>
      <c r="G12" s="71">
        <f t="shared" si="0"/>
        <v>1.5491699813934585</v>
      </c>
      <c r="H12" s="71">
        <f t="shared" si="1"/>
        <v>0.15491699813934587</v>
      </c>
      <c r="I12" s="63"/>
      <c r="J12" s="71">
        <v>0.85204780312419</v>
      </c>
      <c r="K12" s="71">
        <f t="shared" si="2"/>
        <v>0.85204780312419</v>
      </c>
      <c r="L12" s="71">
        <f t="shared" si="3"/>
        <v>0.08520478031241902</v>
      </c>
      <c r="M12" s="63"/>
      <c r="N12" s="71">
        <v>0.844269392509492</v>
      </c>
      <c r="O12" s="71">
        <f t="shared" si="4"/>
        <v>0.844269392509492</v>
      </c>
      <c r="P12" s="71">
        <f t="shared" si="5"/>
        <v>0.0844269392509492</v>
      </c>
      <c r="Q12" s="63"/>
      <c r="R12" s="71"/>
      <c r="S12" s="63"/>
      <c r="T12" s="71"/>
      <c r="U12" s="63"/>
      <c r="V12" s="71"/>
      <c r="W12" s="63"/>
      <c r="X12" s="71"/>
      <c r="Y12" s="63"/>
      <c r="Z12" s="71"/>
      <c r="AA12" s="63"/>
      <c r="AB12" s="72"/>
      <c r="AC12" s="63"/>
      <c r="AD12" s="72"/>
      <c r="AE12" s="63"/>
      <c r="AF12" s="72"/>
      <c r="AG12" s="63"/>
      <c r="AH12" s="72"/>
      <c r="AI12" s="63"/>
      <c r="AJ12" s="72"/>
      <c r="AK12" s="63"/>
      <c r="AL12" s="72"/>
      <c r="AM12" s="63"/>
      <c r="AN12" s="72"/>
      <c r="AO12" s="63"/>
      <c r="AP12" s="72"/>
    </row>
    <row r="13" spans="1:42" s="62" customFormat="1" ht="12.75">
      <c r="A13" s="62" t="s">
        <v>208</v>
      </c>
      <c r="B13" s="62">
        <v>9</v>
      </c>
      <c r="C13" s="62" t="s">
        <v>251</v>
      </c>
      <c r="D13" s="70">
        <v>0.1</v>
      </c>
      <c r="E13" s="63"/>
      <c r="F13" s="71">
        <v>2.0073751871577206</v>
      </c>
      <c r="G13" s="71">
        <f t="shared" si="0"/>
        <v>2.0073751871577206</v>
      </c>
      <c r="H13" s="71">
        <f t="shared" si="1"/>
        <v>0.20073751871577206</v>
      </c>
      <c r="I13" s="63"/>
      <c r="J13" s="71">
        <v>1.4271800702330188</v>
      </c>
      <c r="K13" s="71">
        <f t="shared" si="2"/>
        <v>1.4271800702330188</v>
      </c>
      <c r="L13" s="71">
        <f t="shared" si="3"/>
        <v>0.1427180070233019</v>
      </c>
      <c r="M13" s="63"/>
      <c r="N13" s="71">
        <v>1.4663626290954341</v>
      </c>
      <c r="O13" s="71">
        <f t="shared" si="4"/>
        <v>1.4663626290954341</v>
      </c>
      <c r="P13" s="71">
        <f t="shared" si="5"/>
        <v>0.14663626290954343</v>
      </c>
      <c r="Q13" s="63"/>
      <c r="R13" s="71"/>
      <c r="S13" s="63"/>
      <c r="T13" s="71"/>
      <c r="U13" s="63"/>
      <c r="V13" s="71"/>
      <c r="W13" s="63"/>
      <c r="X13" s="71"/>
      <c r="Y13" s="63"/>
      <c r="Z13" s="71"/>
      <c r="AA13" s="63"/>
      <c r="AB13" s="72"/>
      <c r="AC13" s="63"/>
      <c r="AD13" s="72"/>
      <c r="AE13" s="63"/>
      <c r="AF13" s="72"/>
      <c r="AG13" s="63"/>
      <c r="AH13" s="72"/>
      <c r="AI13" s="63"/>
      <c r="AJ13" s="72"/>
      <c r="AK13" s="63"/>
      <c r="AL13" s="72"/>
      <c r="AM13" s="63"/>
      <c r="AN13" s="72"/>
      <c r="AO13" s="63"/>
      <c r="AP13" s="72"/>
    </row>
    <row r="14" spans="1:42" s="62" customFormat="1" ht="12.75">
      <c r="A14" s="62" t="s">
        <v>208</v>
      </c>
      <c r="B14" s="62">
        <v>10</v>
      </c>
      <c r="C14" s="62" t="s">
        <v>252</v>
      </c>
      <c r="D14" s="70">
        <v>0</v>
      </c>
      <c r="E14" s="63"/>
      <c r="F14" s="71">
        <v>23.58665844910322</v>
      </c>
      <c r="G14" s="71">
        <f t="shared" si="0"/>
        <v>23.58665844910322</v>
      </c>
      <c r="H14" s="71">
        <f t="shared" si="1"/>
        <v>0</v>
      </c>
      <c r="I14" s="63"/>
      <c r="J14" s="71">
        <v>9.3725258343661</v>
      </c>
      <c r="K14" s="71">
        <f t="shared" si="2"/>
        <v>9.3725258343661</v>
      </c>
      <c r="L14" s="71">
        <f t="shared" si="3"/>
        <v>0</v>
      </c>
      <c r="M14" s="63"/>
      <c r="N14" s="71">
        <v>9.886838938598</v>
      </c>
      <c r="O14" s="71">
        <f t="shared" si="4"/>
        <v>9.886838938598</v>
      </c>
      <c r="P14" s="71">
        <f t="shared" si="5"/>
        <v>0</v>
      </c>
      <c r="Q14" s="63"/>
      <c r="R14" s="71"/>
      <c r="S14" s="63"/>
      <c r="T14" s="71"/>
      <c r="U14" s="63"/>
      <c r="V14" s="71"/>
      <c r="W14" s="63"/>
      <c r="X14" s="71"/>
      <c r="Y14" s="63"/>
      <c r="Z14" s="71"/>
      <c r="AA14" s="63"/>
      <c r="AB14" s="72"/>
      <c r="AC14" s="63"/>
      <c r="AD14" s="72"/>
      <c r="AE14" s="63"/>
      <c r="AF14" s="72"/>
      <c r="AG14" s="63"/>
      <c r="AH14" s="72"/>
      <c r="AI14" s="63"/>
      <c r="AJ14" s="72"/>
      <c r="AK14" s="63"/>
      <c r="AL14" s="72"/>
      <c r="AM14" s="63"/>
      <c r="AN14" s="72"/>
      <c r="AO14" s="63"/>
      <c r="AP14" s="72"/>
    </row>
    <row r="15" spans="1:42" s="62" customFormat="1" ht="12.75">
      <c r="A15" s="62" t="s">
        <v>208</v>
      </c>
      <c r="B15" s="62">
        <v>11</v>
      </c>
      <c r="C15" s="62" t="s">
        <v>253</v>
      </c>
      <c r="D15" s="70">
        <v>0</v>
      </c>
      <c r="E15" s="63"/>
      <c r="F15" s="71">
        <v>27.928698256107417</v>
      </c>
      <c r="G15" s="71">
        <f t="shared" si="0"/>
        <v>27.928698256107417</v>
      </c>
      <c r="H15" s="71">
        <f t="shared" si="1"/>
        <v>0</v>
      </c>
      <c r="I15" s="63"/>
      <c r="J15" s="71">
        <v>12.035175219129188</v>
      </c>
      <c r="K15" s="71">
        <f t="shared" si="2"/>
        <v>12.035175219129188</v>
      </c>
      <c r="L15" s="71">
        <f t="shared" si="3"/>
        <v>0</v>
      </c>
      <c r="M15" s="63"/>
      <c r="N15" s="71">
        <v>12.552952809680606</v>
      </c>
      <c r="O15" s="71">
        <f t="shared" si="4"/>
        <v>12.552952809680606</v>
      </c>
      <c r="P15" s="71">
        <f t="shared" si="5"/>
        <v>0</v>
      </c>
      <c r="Q15" s="63"/>
      <c r="R15" s="71"/>
      <c r="S15" s="63"/>
      <c r="T15" s="71"/>
      <c r="U15" s="63"/>
      <c r="V15" s="71"/>
      <c r="W15" s="63"/>
      <c r="X15" s="71"/>
      <c r="Y15" s="63"/>
      <c r="Z15" s="71"/>
      <c r="AA15" s="63"/>
      <c r="AB15" s="72"/>
      <c r="AC15" s="63"/>
      <c r="AD15" s="72"/>
      <c r="AE15" s="63"/>
      <c r="AF15" s="72"/>
      <c r="AG15" s="63"/>
      <c r="AH15" s="72"/>
      <c r="AI15" s="63"/>
      <c r="AJ15" s="72"/>
      <c r="AK15" s="63"/>
      <c r="AL15" s="72"/>
      <c r="AM15" s="63"/>
      <c r="AN15" s="72"/>
      <c r="AO15" s="63"/>
      <c r="AP15" s="72"/>
    </row>
    <row r="16" spans="1:42" s="62" customFormat="1" ht="12.75">
      <c r="A16" s="62" t="s">
        <v>208</v>
      </c>
      <c r="B16" s="62">
        <v>12</v>
      </c>
      <c r="C16" s="62" t="s">
        <v>254</v>
      </c>
      <c r="D16" s="70">
        <v>0.01</v>
      </c>
      <c r="E16" s="63"/>
      <c r="F16" s="71">
        <v>10.320526777452198</v>
      </c>
      <c r="G16" s="71">
        <f t="shared" si="0"/>
        <v>10.320526777452198</v>
      </c>
      <c r="H16" s="71">
        <f t="shared" si="1"/>
        <v>0.10320526777452198</v>
      </c>
      <c r="I16" s="63"/>
      <c r="J16" s="71">
        <v>5.431804744916714</v>
      </c>
      <c r="K16" s="71">
        <f t="shared" si="2"/>
        <v>5.431804744916714</v>
      </c>
      <c r="L16" s="71">
        <f t="shared" si="3"/>
        <v>0.054318047449167135</v>
      </c>
      <c r="M16" s="63"/>
      <c r="N16" s="71">
        <v>5.554403898088764</v>
      </c>
      <c r="O16" s="71">
        <f t="shared" si="4"/>
        <v>5.554403898088764</v>
      </c>
      <c r="P16" s="71">
        <f t="shared" si="5"/>
        <v>0.05554403898088764</v>
      </c>
      <c r="Q16" s="63"/>
      <c r="R16" s="71"/>
      <c r="S16" s="63"/>
      <c r="T16" s="71"/>
      <c r="U16" s="63"/>
      <c r="V16" s="71"/>
      <c r="W16" s="63"/>
      <c r="X16" s="71"/>
      <c r="Y16" s="63"/>
      <c r="Z16" s="71"/>
      <c r="AA16" s="63"/>
      <c r="AB16" s="72"/>
      <c r="AC16" s="63"/>
      <c r="AD16" s="72"/>
      <c r="AE16" s="63"/>
      <c r="AF16" s="72"/>
      <c r="AG16" s="63"/>
      <c r="AH16" s="72"/>
      <c r="AI16" s="63"/>
      <c r="AJ16" s="72"/>
      <c r="AK16" s="63"/>
      <c r="AL16" s="72"/>
      <c r="AM16" s="63"/>
      <c r="AN16" s="72"/>
      <c r="AO16" s="63"/>
      <c r="AP16" s="72"/>
    </row>
    <row r="17" spans="1:42" s="62" customFormat="1" ht="12.75">
      <c r="A17" s="62" t="s">
        <v>208</v>
      </c>
      <c r="B17" s="62">
        <v>13</v>
      </c>
      <c r="C17" s="62" t="s">
        <v>255</v>
      </c>
      <c r="D17" s="70">
        <v>0</v>
      </c>
      <c r="E17" s="63"/>
      <c r="F17" s="71">
        <v>14.989856017145154</v>
      </c>
      <c r="G17" s="71">
        <f t="shared" si="0"/>
        <v>14.989856017145154</v>
      </c>
      <c r="H17" s="71">
        <f t="shared" si="1"/>
        <v>0</v>
      </c>
      <c r="I17" s="63"/>
      <c r="J17" s="71">
        <v>5.602214305541554</v>
      </c>
      <c r="K17" s="71">
        <f t="shared" si="2"/>
        <v>5.602214305541554</v>
      </c>
      <c r="L17" s="71">
        <f t="shared" si="3"/>
        <v>0</v>
      </c>
      <c r="M17" s="63"/>
      <c r="N17" s="71">
        <v>5.954320978751157</v>
      </c>
      <c r="O17" s="71">
        <f t="shared" si="4"/>
        <v>5.954320978751157</v>
      </c>
      <c r="P17" s="71">
        <f t="shared" si="5"/>
        <v>0</v>
      </c>
      <c r="Q17" s="63"/>
      <c r="R17" s="71"/>
      <c r="S17" s="63"/>
      <c r="T17" s="71"/>
      <c r="U17" s="63"/>
      <c r="V17" s="71"/>
      <c r="W17" s="63"/>
      <c r="X17" s="71"/>
      <c r="Y17" s="63"/>
      <c r="Z17" s="71"/>
      <c r="AA17" s="63"/>
      <c r="AB17" s="72"/>
      <c r="AC17" s="63"/>
      <c r="AD17" s="72"/>
      <c r="AE17" s="63"/>
      <c r="AF17" s="72"/>
      <c r="AG17" s="63"/>
      <c r="AH17" s="72"/>
      <c r="AI17" s="63"/>
      <c r="AJ17" s="72"/>
      <c r="AK17" s="63"/>
      <c r="AL17" s="72"/>
      <c r="AM17" s="63"/>
      <c r="AN17" s="72"/>
      <c r="AO17" s="63"/>
      <c r="AP17" s="72"/>
    </row>
    <row r="18" spans="1:42" s="62" customFormat="1" ht="12.75">
      <c r="A18" s="62" t="s">
        <v>208</v>
      </c>
      <c r="B18" s="62">
        <v>14</v>
      </c>
      <c r="C18" s="62" t="s">
        <v>256</v>
      </c>
      <c r="D18" s="70">
        <v>0</v>
      </c>
      <c r="E18" s="63"/>
      <c r="F18" s="71">
        <v>25.310382794597352</v>
      </c>
      <c r="G18" s="71">
        <f t="shared" si="0"/>
        <v>25.310382794597352</v>
      </c>
      <c r="H18" s="71">
        <f t="shared" si="1"/>
        <v>0</v>
      </c>
      <c r="I18" s="63"/>
      <c r="J18" s="71">
        <v>11.034019050458268</v>
      </c>
      <c r="K18" s="71">
        <f t="shared" si="2"/>
        <v>11.034019050458268</v>
      </c>
      <c r="L18" s="71">
        <f t="shared" si="3"/>
        <v>0</v>
      </c>
      <c r="M18" s="63"/>
      <c r="N18" s="71">
        <v>11.50872487684</v>
      </c>
      <c r="O18" s="71">
        <f t="shared" si="4"/>
        <v>11.50872487684</v>
      </c>
      <c r="P18" s="71">
        <f t="shared" si="5"/>
        <v>0</v>
      </c>
      <c r="Q18" s="63"/>
      <c r="R18" s="71"/>
      <c r="S18" s="63"/>
      <c r="T18" s="71"/>
      <c r="U18" s="63"/>
      <c r="V18" s="71"/>
      <c r="W18" s="63"/>
      <c r="X18" s="71"/>
      <c r="Y18" s="63"/>
      <c r="Z18" s="71"/>
      <c r="AA18" s="63"/>
      <c r="AB18" s="72"/>
      <c r="AC18" s="63"/>
      <c r="AD18" s="72"/>
      <c r="AE18" s="63"/>
      <c r="AF18" s="72"/>
      <c r="AG18" s="63"/>
      <c r="AH18" s="72"/>
      <c r="AI18" s="63"/>
      <c r="AJ18" s="72"/>
      <c r="AK18" s="63"/>
      <c r="AL18" s="72"/>
      <c r="AM18" s="63"/>
      <c r="AN18" s="72"/>
      <c r="AO18" s="63"/>
      <c r="AP18" s="72"/>
    </row>
    <row r="19" spans="1:42" s="62" customFormat="1" ht="12.75">
      <c r="A19" s="62" t="s">
        <v>208</v>
      </c>
      <c r="B19" s="62">
        <v>15</v>
      </c>
      <c r="C19" s="62" t="s">
        <v>257</v>
      </c>
      <c r="D19" s="70">
        <v>0.001</v>
      </c>
      <c r="E19" s="63"/>
      <c r="F19" s="71">
        <v>12.960661534474848</v>
      </c>
      <c r="G19" s="71">
        <f t="shared" si="0"/>
        <v>12.960661534474848</v>
      </c>
      <c r="H19" s="71">
        <f t="shared" si="1"/>
        <v>0.012960661534474848</v>
      </c>
      <c r="I19" s="63"/>
      <c r="J19" s="71">
        <v>8.648285201710534</v>
      </c>
      <c r="K19" s="71">
        <f t="shared" si="2"/>
        <v>8.648285201710534</v>
      </c>
      <c r="L19" s="71">
        <f t="shared" si="3"/>
        <v>0.008648285201710534</v>
      </c>
      <c r="M19" s="63"/>
      <c r="N19" s="71">
        <v>8.5982172342414</v>
      </c>
      <c r="O19" s="71">
        <f t="shared" si="4"/>
        <v>8.5982172342414</v>
      </c>
      <c r="P19" s="71">
        <f t="shared" si="5"/>
        <v>0.0085982172342414</v>
      </c>
      <c r="Q19" s="63"/>
      <c r="R19" s="71"/>
      <c r="S19" s="63"/>
      <c r="T19" s="71"/>
      <c r="U19" s="63"/>
      <c r="V19" s="71"/>
      <c r="W19" s="63"/>
      <c r="X19" s="71"/>
      <c r="Y19" s="63"/>
      <c r="Z19" s="71"/>
      <c r="AA19" s="63"/>
      <c r="AB19" s="72"/>
      <c r="AC19" s="63"/>
      <c r="AD19" s="72"/>
      <c r="AE19" s="63"/>
      <c r="AF19" s="72"/>
      <c r="AG19" s="63"/>
      <c r="AH19" s="72"/>
      <c r="AI19" s="63"/>
      <c r="AJ19" s="72"/>
      <c r="AK19" s="63"/>
      <c r="AL19" s="72"/>
      <c r="AM19" s="63"/>
      <c r="AN19" s="72"/>
      <c r="AO19" s="63"/>
      <c r="AP19" s="72"/>
    </row>
    <row r="20" spans="1:42" s="62" customFormat="1" ht="12.75">
      <c r="A20" s="62" t="s">
        <v>208</v>
      </c>
      <c r="B20" s="62">
        <v>16</v>
      </c>
      <c r="C20" s="62" t="s">
        <v>258</v>
      </c>
      <c r="D20" s="70">
        <v>0.1</v>
      </c>
      <c r="E20" s="63"/>
      <c r="F20" s="71">
        <v>1.7019050499815458</v>
      </c>
      <c r="G20" s="71">
        <f t="shared" si="0"/>
        <v>1.7019050499815458</v>
      </c>
      <c r="H20" s="71">
        <f t="shared" si="1"/>
        <v>0.17019050499815458</v>
      </c>
      <c r="I20" s="63"/>
      <c r="J20" s="71">
        <v>1.278071704686286</v>
      </c>
      <c r="K20" s="71">
        <f t="shared" si="2"/>
        <v>1.278071704686286</v>
      </c>
      <c r="L20" s="71">
        <f t="shared" si="3"/>
        <v>0.1278071704686286</v>
      </c>
      <c r="M20" s="63"/>
      <c r="N20" s="71">
        <v>1.4219273979107239</v>
      </c>
      <c r="O20" s="71">
        <f t="shared" si="4"/>
        <v>1.4219273979107239</v>
      </c>
      <c r="P20" s="71">
        <f t="shared" si="5"/>
        <v>0.1421927397910724</v>
      </c>
      <c r="Q20" s="63"/>
      <c r="R20" s="71"/>
      <c r="S20" s="63"/>
      <c r="T20" s="71"/>
      <c r="U20" s="63"/>
      <c r="V20" s="71"/>
      <c r="W20" s="63"/>
      <c r="X20" s="71"/>
      <c r="Y20" s="63"/>
      <c r="Z20" s="71"/>
      <c r="AA20" s="63"/>
      <c r="AB20" s="72"/>
      <c r="AC20" s="63"/>
      <c r="AD20" s="72"/>
      <c r="AE20" s="63"/>
      <c r="AF20" s="72"/>
      <c r="AG20" s="63"/>
      <c r="AH20" s="72"/>
      <c r="AI20" s="63"/>
      <c r="AJ20" s="72"/>
      <c r="AK20" s="63"/>
      <c r="AL20" s="72"/>
      <c r="AM20" s="63"/>
      <c r="AN20" s="72"/>
      <c r="AO20" s="63"/>
      <c r="AP20" s="72"/>
    </row>
    <row r="21" spans="1:42" s="62" customFormat="1" ht="12.75">
      <c r="A21" s="62" t="s">
        <v>208</v>
      </c>
      <c r="B21" s="62">
        <v>17</v>
      </c>
      <c r="C21" s="62" t="s">
        <v>259</v>
      </c>
      <c r="D21" s="70">
        <v>0</v>
      </c>
      <c r="E21" s="63"/>
      <c r="F21" s="71">
        <v>73.574664468433</v>
      </c>
      <c r="G21" s="71">
        <f t="shared" si="0"/>
        <v>73.574664468433</v>
      </c>
      <c r="H21" s="71">
        <f t="shared" si="1"/>
        <v>0</v>
      </c>
      <c r="I21" s="63"/>
      <c r="J21" s="71">
        <v>33.22986432184343</v>
      </c>
      <c r="K21" s="71">
        <f t="shared" si="2"/>
        <v>33.22986432184343</v>
      </c>
      <c r="L21" s="71">
        <f t="shared" si="3"/>
        <v>0</v>
      </c>
      <c r="M21" s="63"/>
      <c r="N21" s="71">
        <v>41.90242300718164</v>
      </c>
      <c r="O21" s="71">
        <f t="shared" si="4"/>
        <v>41.90242300718164</v>
      </c>
      <c r="P21" s="71">
        <f t="shared" si="5"/>
        <v>0</v>
      </c>
      <c r="Q21" s="63"/>
      <c r="R21" s="71"/>
      <c r="S21" s="63"/>
      <c r="T21" s="71"/>
      <c r="U21" s="63"/>
      <c r="V21" s="71"/>
      <c r="W21" s="63"/>
      <c r="X21" s="71"/>
      <c r="Y21" s="63"/>
      <c r="Z21" s="71"/>
      <c r="AA21" s="63"/>
      <c r="AB21" s="72"/>
      <c r="AC21" s="63"/>
      <c r="AD21" s="72"/>
      <c r="AE21" s="63"/>
      <c r="AF21" s="72"/>
      <c r="AG21" s="63"/>
      <c r="AH21" s="72"/>
      <c r="AI21" s="63"/>
      <c r="AJ21" s="72"/>
      <c r="AK21" s="63"/>
      <c r="AL21" s="72"/>
      <c r="AM21" s="63"/>
      <c r="AN21" s="72"/>
      <c r="AO21" s="63"/>
      <c r="AP21" s="72"/>
    </row>
    <row r="22" spans="1:42" s="62" customFormat="1" ht="12.75">
      <c r="A22" s="62" t="s">
        <v>208</v>
      </c>
      <c r="B22" s="62">
        <v>18</v>
      </c>
      <c r="C22" s="62" t="s">
        <v>260</v>
      </c>
      <c r="D22" s="70">
        <v>0</v>
      </c>
      <c r="E22" s="63"/>
      <c r="F22" s="71">
        <v>75.27656951841452</v>
      </c>
      <c r="G22" s="71">
        <f t="shared" si="0"/>
        <v>75.27656951841452</v>
      </c>
      <c r="H22" s="71">
        <f t="shared" si="1"/>
        <v>0</v>
      </c>
      <c r="I22" s="63"/>
      <c r="J22" s="71">
        <v>34.50793602652971</v>
      </c>
      <c r="K22" s="71">
        <f t="shared" si="2"/>
        <v>34.50793602652971</v>
      </c>
      <c r="L22" s="71">
        <f t="shared" si="3"/>
        <v>0</v>
      </c>
      <c r="M22" s="63"/>
      <c r="N22" s="71">
        <v>43.32435040509236</v>
      </c>
      <c r="O22" s="71">
        <f t="shared" si="4"/>
        <v>43.32435040509236</v>
      </c>
      <c r="P22" s="71">
        <f t="shared" si="5"/>
        <v>0</v>
      </c>
      <c r="Q22" s="63"/>
      <c r="R22" s="71"/>
      <c r="S22" s="63"/>
      <c r="T22" s="71"/>
      <c r="U22" s="63"/>
      <c r="V22" s="71"/>
      <c r="W22" s="63"/>
      <c r="X22" s="71"/>
      <c r="Y22" s="63"/>
      <c r="Z22" s="71"/>
      <c r="AA22" s="63"/>
      <c r="AB22" s="72"/>
      <c r="AC22" s="63"/>
      <c r="AD22" s="72"/>
      <c r="AE22" s="63"/>
      <c r="AF22" s="72"/>
      <c r="AG22" s="63"/>
      <c r="AH22" s="72"/>
      <c r="AI22" s="63"/>
      <c r="AJ22" s="72"/>
      <c r="AK22" s="63"/>
      <c r="AL22" s="72"/>
      <c r="AM22" s="63"/>
      <c r="AN22" s="72"/>
      <c r="AO22" s="63"/>
      <c r="AP22" s="72"/>
    </row>
    <row r="23" spans="1:42" s="62" customFormat="1" ht="12.75">
      <c r="A23" s="62" t="s">
        <v>208</v>
      </c>
      <c r="B23" s="62">
        <v>19</v>
      </c>
      <c r="C23" s="62" t="s">
        <v>261</v>
      </c>
      <c r="D23" s="70">
        <v>0.05</v>
      </c>
      <c r="E23" s="63"/>
      <c r="F23" s="71">
        <v>3.7310995326518506</v>
      </c>
      <c r="G23" s="71">
        <f t="shared" si="0"/>
        <v>3.7310995326518506</v>
      </c>
      <c r="H23" s="71">
        <f t="shared" si="1"/>
        <v>0.18655497663259255</v>
      </c>
      <c r="I23" s="63"/>
      <c r="J23" s="71">
        <v>1.895806361951324</v>
      </c>
      <c r="K23" s="71">
        <f t="shared" si="2"/>
        <v>1.895806361951324</v>
      </c>
      <c r="L23" s="71">
        <f t="shared" si="3"/>
        <v>0.0947903180975662</v>
      </c>
      <c r="M23" s="63"/>
      <c r="N23" s="71">
        <v>1.6441035538342743</v>
      </c>
      <c r="O23" s="71">
        <f t="shared" si="4"/>
        <v>1.6441035538342743</v>
      </c>
      <c r="P23" s="71">
        <f t="shared" si="5"/>
        <v>0.08220517769171372</v>
      </c>
      <c r="Q23" s="63"/>
      <c r="R23" s="71"/>
      <c r="S23" s="63"/>
      <c r="T23" s="71"/>
      <c r="U23" s="63"/>
      <c r="V23" s="71"/>
      <c r="W23" s="63"/>
      <c r="X23" s="71"/>
      <c r="Y23" s="63"/>
      <c r="Z23" s="71"/>
      <c r="AA23" s="63"/>
      <c r="AB23" s="72"/>
      <c r="AC23" s="63"/>
      <c r="AD23" s="72"/>
      <c r="AE23" s="63"/>
      <c r="AF23" s="72"/>
      <c r="AG23" s="63"/>
      <c r="AH23" s="72"/>
      <c r="AI23" s="63"/>
      <c r="AJ23" s="72"/>
      <c r="AK23" s="63"/>
      <c r="AL23" s="72"/>
      <c r="AM23" s="63"/>
      <c r="AN23" s="72"/>
      <c r="AO23" s="63"/>
      <c r="AP23" s="72"/>
    </row>
    <row r="24" spans="1:42" s="62" customFormat="1" ht="12.75">
      <c r="A24" s="62" t="s">
        <v>208</v>
      </c>
      <c r="B24" s="62">
        <v>20</v>
      </c>
      <c r="C24" s="62" t="s">
        <v>262</v>
      </c>
      <c r="D24" s="70">
        <v>0.5</v>
      </c>
      <c r="E24" s="63"/>
      <c r="F24" s="71">
        <v>9.447754956948838</v>
      </c>
      <c r="G24" s="71">
        <f t="shared" si="0"/>
        <v>9.447754956948838</v>
      </c>
      <c r="H24" s="71">
        <f t="shared" si="1"/>
        <v>4.723877478474419</v>
      </c>
      <c r="I24" s="63"/>
      <c r="J24" s="71">
        <v>6.2625513529628</v>
      </c>
      <c r="K24" s="71">
        <f t="shared" si="2"/>
        <v>6.2625513529628</v>
      </c>
      <c r="L24" s="71">
        <f t="shared" si="3"/>
        <v>3.1312756764814</v>
      </c>
      <c r="M24" s="63"/>
      <c r="N24" s="71">
        <v>5.621056744865828</v>
      </c>
      <c r="O24" s="71">
        <f t="shared" si="4"/>
        <v>5.621056744865828</v>
      </c>
      <c r="P24" s="71">
        <f t="shared" si="5"/>
        <v>2.810528372432914</v>
      </c>
      <c r="Q24" s="63"/>
      <c r="R24" s="71"/>
      <c r="S24" s="63"/>
      <c r="T24" s="71"/>
      <c r="U24" s="63"/>
      <c r="V24" s="71"/>
      <c r="W24" s="63"/>
      <c r="X24" s="71"/>
      <c r="Y24" s="63"/>
      <c r="Z24" s="71"/>
      <c r="AA24" s="63"/>
      <c r="AB24" s="72"/>
      <c r="AC24" s="63"/>
      <c r="AD24" s="72"/>
      <c r="AE24" s="63"/>
      <c r="AF24" s="72"/>
      <c r="AG24" s="63"/>
      <c r="AH24" s="72"/>
      <c r="AI24" s="63"/>
      <c r="AJ24" s="72"/>
      <c r="AK24" s="63"/>
      <c r="AL24" s="72"/>
      <c r="AM24" s="63"/>
      <c r="AN24" s="72"/>
      <c r="AO24" s="63"/>
      <c r="AP24" s="72"/>
    </row>
    <row r="25" spans="1:42" s="62" customFormat="1" ht="12.75">
      <c r="A25" s="62" t="s">
        <v>208</v>
      </c>
      <c r="B25" s="62">
        <v>21</v>
      </c>
      <c r="C25" s="62" t="s">
        <v>263</v>
      </c>
      <c r="D25" s="70">
        <v>0</v>
      </c>
      <c r="E25" s="63"/>
      <c r="F25" s="71">
        <v>93.73569352206052</v>
      </c>
      <c r="G25" s="71">
        <f t="shared" si="0"/>
        <v>93.73569352206052</v>
      </c>
      <c r="H25" s="71">
        <f t="shared" si="1"/>
        <v>0</v>
      </c>
      <c r="I25" s="63"/>
      <c r="J25" s="71">
        <v>57.02329922408645</v>
      </c>
      <c r="K25" s="71">
        <f t="shared" si="2"/>
        <v>57.02329922408645</v>
      </c>
      <c r="L25" s="71">
        <f t="shared" si="3"/>
        <v>0</v>
      </c>
      <c r="M25" s="63"/>
      <c r="N25" s="71">
        <v>51.389344865117245</v>
      </c>
      <c r="O25" s="71">
        <f t="shared" si="4"/>
        <v>51.389344865117245</v>
      </c>
      <c r="P25" s="71">
        <f t="shared" si="5"/>
        <v>0</v>
      </c>
      <c r="Q25" s="63"/>
      <c r="R25" s="71"/>
      <c r="S25" s="63"/>
      <c r="T25" s="71"/>
      <c r="U25" s="63"/>
      <c r="V25" s="71"/>
      <c r="W25" s="63"/>
      <c r="X25" s="71"/>
      <c r="Y25" s="63"/>
      <c r="Z25" s="71"/>
      <c r="AA25" s="63"/>
      <c r="AB25" s="72"/>
      <c r="AC25" s="63"/>
      <c r="AD25" s="72"/>
      <c r="AE25" s="63"/>
      <c r="AF25" s="72"/>
      <c r="AG25" s="63"/>
      <c r="AH25" s="72"/>
      <c r="AI25" s="63"/>
      <c r="AJ25" s="72"/>
      <c r="AK25" s="63"/>
      <c r="AL25" s="72"/>
      <c r="AM25" s="63"/>
      <c r="AN25" s="72"/>
      <c r="AO25" s="63"/>
      <c r="AP25" s="72"/>
    </row>
    <row r="26" spans="1:42" s="62" customFormat="1" ht="12.75">
      <c r="A26" s="62" t="s">
        <v>208</v>
      </c>
      <c r="B26" s="62">
        <v>22</v>
      </c>
      <c r="C26" s="62" t="s">
        <v>264</v>
      </c>
      <c r="D26" s="70">
        <v>0</v>
      </c>
      <c r="E26" s="63"/>
      <c r="F26" s="71">
        <v>106.91454801166121</v>
      </c>
      <c r="G26" s="71">
        <f t="shared" si="0"/>
        <v>106.91454801166121</v>
      </c>
      <c r="H26" s="71">
        <f t="shared" si="1"/>
        <v>0</v>
      </c>
      <c r="I26" s="63"/>
      <c r="J26" s="71">
        <v>65.18165693900058</v>
      </c>
      <c r="K26" s="71">
        <f t="shared" si="2"/>
        <v>65.18165693900058</v>
      </c>
      <c r="L26" s="71">
        <f t="shared" si="3"/>
        <v>0</v>
      </c>
      <c r="M26" s="63"/>
      <c r="N26" s="71">
        <v>58.65450516381735</v>
      </c>
      <c r="O26" s="71">
        <f t="shared" si="4"/>
        <v>58.65450516381735</v>
      </c>
      <c r="P26" s="71">
        <f t="shared" si="5"/>
        <v>0</v>
      </c>
      <c r="Q26" s="63"/>
      <c r="R26" s="71"/>
      <c r="S26" s="63"/>
      <c r="T26" s="71"/>
      <c r="U26" s="63"/>
      <c r="V26" s="71"/>
      <c r="W26" s="63"/>
      <c r="X26" s="71"/>
      <c r="Y26" s="63"/>
      <c r="Z26" s="71"/>
      <c r="AA26" s="63"/>
      <c r="AB26" s="72"/>
      <c r="AC26" s="63"/>
      <c r="AD26" s="72"/>
      <c r="AE26" s="63"/>
      <c r="AF26" s="72"/>
      <c r="AG26" s="63"/>
      <c r="AH26" s="72"/>
      <c r="AI26" s="63"/>
      <c r="AJ26" s="72"/>
      <c r="AK26" s="63"/>
      <c r="AL26" s="72"/>
      <c r="AM26" s="63"/>
      <c r="AN26" s="72"/>
      <c r="AO26" s="63"/>
      <c r="AP26" s="72"/>
    </row>
    <row r="27" spans="1:42" s="62" customFormat="1" ht="12.75">
      <c r="A27" s="62" t="s">
        <v>208</v>
      </c>
      <c r="B27" s="62">
        <v>23</v>
      </c>
      <c r="C27" s="62" t="s">
        <v>265</v>
      </c>
      <c r="D27" s="70">
        <v>0.1</v>
      </c>
      <c r="E27" s="63"/>
      <c r="F27" s="71">
        <v>23.346646198464796</v>
      </c>
      <c r="G27" s="71">
        <f t="shared" si="0"/>
        <v>23.346646198464796</v>
      </c>
      <c r="H27" s="71">
        <f t="shared" si="1"/>
        <v>2.3346646198464795</v>
      </c>
      <c r="I27" s="63"/>
      <c r="J27" s="71">
        <v>15.741583162719417</v>
      </c>
      <c r="K27" s="71">
        <f t="shared" si="2"/>
        <v>15.741583162719417</v>
      </c>
      <c r="L27" s="71">
        <f t="shared" si="3"/>
        <v>1.5741583162719417</v>
      </c>
      <c r="M27" s="63"/>
      <c r="N27" s="71">
        <v>11.88642434191</v>
      </c>
      <c r="O27" s="71">
        <f t="shared" si="4"/>
        <v>11.88642434191</v>
      </c>
      <c r="P27" s="71">
        <f t="shared" si="5"/>
        <v>1.188642434191</v>
      </c>
      <c r="Q27" s="63"/>
      <c r="R27" s="71"/>
      <c r="S27" s="63"/>
      <c r="T27" s="71"/>
      <c r="U27" s="63"/>
      <c r="V27" s="71"/>
      <c r="W27" s="63"/>
      <c r="X27" s="71"/>
      <c r="Y27" s="63"/>
      <c r="Z27" s="71"/>
      <c r="AA27" s="63"/>
      <c r="AB27" s="72"/>
      <c r="AC27" s="63"/>
      <c r="AD27" s="72"/>
      <c r="AE27" s="63"/>
      <c r="AF27" s="72"/>
      <c r="AG27" s="63"/>
      <c r="AH27" s="72"/>
      <c r="AI27" s="63"/>
      <c r="AJ27" s="72"/>
      <c r="AK27" s="63"/>
      <c r="AL27" s="72"/>
      <c r="AM27" s="63"/>
      <c r="AN27" s="72"/>
      <c r="AO27" s="63"/>
      <c r="AP27" s="72"/>
    </row>
    <row r="28" spans="1:42" s="62" customFormat="1" ht="12.75">
      <c r="A28" s="62" t="s">
        <v>208</v>
      </c>
      <c r="B28" s="62">
        <v>24</v>
      </c>
      <c r="C28" s="62" t="s">
        <v>266</v>
      </c>
      <c r="D28" s="70">
        <v>0.1</v>
      </c>
      <c r="E28" s="63"/>
      <c r="F28" s="71">
        <v>6.851258790951351</v>
      </c>
      <c r="G28" s="71">
        <f t="shared" si="0"/>
        <v>6.851258790951351</v>
      </c>
      <c r="H28" s="71">
        <f t="shared" si="1"/>
        <v>0.6851258790951351</v>
      </c>
      <c r="I28" s="63"/>
      <c r="J28" s="71">
        <v>4.068528259918</v>
      </c>
      <c r="K28" s="71">
        <f t="shared" si="2"/>
        <v>4.068528259918</v>
      </c>
      <c r="L28" s="71">
        <f t="shared" si="3"/>
        <v>0.4068528259918</v>
      </c>
      <c r="M28" s="63"/>
      <c r="N28" s="71">
        <v>3.399295185630324</v>
      </c>
      <c r="O28" s="71">
        <f t="shared" si="4"/>
        <v>3.399295185630324</v>
      </c>
      <c r="P28" s="71">
        <f t="shared" si="5"/>
        <v>0.33992951856303244</v>
      </c>
      <c r="Q28" s="63"/>
      <c r="R28" s="71"/>
      <c r="S28" s="63"/>
      <c r="T28" s="71"/>
      <c r="U28" s="63"/>
      <c r="V28" s="71"/>
      <c r="W28" s="63"/>
      <c r="X28" s="71"/>
      <c r="Y28" s="63"/>
      <c r="Z28" s="71"/>
      <c r="AA28" s="63"/>
      <c r="AB28" s="72"/>
      <c r="AC28" s="63"/>
      <c r="AD28" s="72"/>
      <c r="AE28" s="63"/>
      <c r="AF28" s="72"/>
      <c r="AG28" s="63"/>
      <c r="AH28" s="72"/>
      <c r="AI28" s="63"/>
      <c r="AJ28" s="72"/>
      <c r="AK28" s="63"/>
      <c r="AL28" s="72"/>
      <c r="AM28" s="63"/>
      <c r="AN28" s="72"/>
      <c r="AO28" s="63"/>
      <c r="AP28" s="72"/>
    </row>
    <row r="29" spans="1:42" s="62" customFormat="1" ht="12.75">
      <c r="A29" s="62" t="s">
        <v>208</v>
      </c>
      <c r="B29" s="62">
        <v>25</v>
      </c>
      <c r="C29" s="62" t="s">
        <v>267</v>
      </c>
      <c r="D29" s="70">
        <v>0.1</v>
      </c>
      <c r="E29" s="63"/>
      <c r="F29" s="71">
        <v>1.11278407114178</v>
      </c>
      <c r="G29" s="71">
        <f t="shared" si="0"/>
        <v>1.11278407114178</v>
      </c>
      <c r="H29" s="71">
        <f t="shared" si="1"/>
        <v>0.11127840711417801</v>
      </c>
      <c r="I29" s="63"/>
      <c r="J29" s="71">
        <v>0.6177346572650382</v>
      </c>
      <c r="K29" s="71">
        <f t="shared" si="2"/>
        <v>0.6177346572650382</v>
      </c>
      <c r="L29" s="71">
        <f t="shared" si="3"/>
        <v>0.06177346572650382</v>
      </c>
      <c r="M29" s="63"/>
      <c r="N29" s="71">
        <v>0.5110051586241663</v>
      </c>
      <c r="O29" s="71">
        <f t="shared" si="4"/>
        <v>0.5110051586241663</v>
      </c>
      <c r="P29" s="71">
        <f t="shared" si="5"/>
        <v>0.05110051586241663</v>
      </c>
      <c r="Q29" s="63"/>
      <c r="R29" s="71"/>
      <c r="S29" s="63"/>
      <c r="T29" s="71"/>
      <c r="U29" s="63"/>
      <c r="V29" s="71"/>
      <c r="W29" s="63"/>
      <c r="X29" s="71"/>
      <c r="Y29" s="63"/>
      <c r="Z29" s="71"/>
      <c r="AA29" s="63"/>
      <c r="AB29" s="72"/>
      <c r="AC29" s="63"/>
      <c r="AD29" s="72"/>
      <c r="AE29" s="63"/>
      <c r="AF29" s="72"/>
      <c r="AG29" s="63"/>
      <c r="AH29" s="72"/>
      <c r="AI29" s="63"/>
      <c r="AJ29" s="72"/>
      <c r="AK29" s="63"/>
      <c r="AL29" s="72"/>
      <c r="AM29" s="63"/>
      <c r="AN29" s="72"/>
      <c r="AO29" s="63"/>
      <c r="AP29" s="72"/>
    </row>
    <row r="30" spans="1:42" s="62" customFormat="1" ht="12.75">
      <c r="A30" s="62" t="s">
        <v>208</v>
      </c>
      <c r="B30" s="62">
        <v>26</v>
      </c>
      <c r="C30" s="62" t="s">
        <v>268</v>
      </c>
      <c r="D30" s="70">
        <v>0.1</v>
      </c>
      <c r="E30" s="63"/>
      <c r="F30" s="71">
        <v>16.102640088287</v>
      </c>
      <c r="G30" s="71">
        <f t="shared" si="0"/>
        <v>16.102640088287</v>
      </c>
      <c r="H30" s="71">
        <f t="shared" si="1"/>
        <v>1.6102640088287001</v>
      </c>
      <c r="I30" s="63"/>
      <c r="J30" s="71">
        <v>9.905055711318713</v>
      </c>
      <c r="K30" s="71">
        <f t="shared" si="2"/>
        <v>9.905055711318713</v>
      </c>
      <c r="L30" s="71">
        <f t="shared" si="3"/>
        <v>0.9905055711318713</v>
      </c>
      <c r="M30" s="63"/>
      <c r="N30" s="71">
        <v>7.620642148177784</v>
      </c>
      <c r="O30" s="71">
        <f t="shared" si="4"/>
        <v>7.620642148177784</v>
      </c>
      <c r="P30" s="71">
        <f t="shared" si="5"/>
        <v>0.7620642148177784</v>
      </c>
      <c r="Q30" s="63"/>
      <c r="R30" s="71"/>
      <c r="S30" s="63"/>
      <c r="T30" s="71"/>
      <c r="U30" s="63"/>
      <c r="V30" s="71"/>
      <c r="W30" s="63"/>
      <c r="X30" s="71"/>
      <c r="Y30" s="63"/>
      <c r="Z30" s="71"/>
      <c r="AA30" s="63"/>
      <c r="AB30" s="72"/>
      <c r="AC30" s="63"/>
      <c r="AD30" s="72"/>
      <c r="AE30" s="63"/>
      <c r="AF30" s="72"/>
      <c r="AG30" s="63"/>
      <c r="AH30" s="72"/>
      <c r="AI30" s="63"/>
      <c r="AJ30" s="72"/>
      <c r="AK30" s="63"/>
      <c r="AL30" s="72"/>
      <c r="AM30" s="63"/>
      <c r="AN30" s="72"/>
      <c r="AO30" s="63"/>
      <c r="AP30" s="72"/>
    </row>
    <row r="31" spans="1:42" s="62" customFormat="1" ht="12.75">
      <c r="A31" s="62" t="s">
        <v>208</v>
      </c>
      <c r="B31" s="62">
        <v>27</v>
      </c>
      <c r="C31" s="62" t="s">
        <v>269</v>
      </c>
      <c r="D31" s="70">
        <v>0</v>
      </c>
      <c r="E31" s="63"/>
      <c r="F31" s="71">
        <v>46.409641555266</v>
      </c>
      <c r="G31" s="71">
        <f t="shared" si="0"/>
        <v>46.409641555266</v>
      </c>
      <c r="H31" s="71">
        <f t="shared" si="1"/>
        <v>0</v>
      </c>
      <c r="I31" s="63"/>
      <c r="J31" s="71">
        <v>24.837193461070143</v>
      </c>
      <c r="K31" s="71">
        <f t="shared" si="2"/>
        <v>24.837193461070143</v>
      </c>
      <c r="L31" s="71">
        <f t="shared" si="3"/>
        <v>0</v>
      </c>
      <c r="M31" s="63"/>
      <c r="N31" s="71">
        <v>-18.996061331463572</v>
      </c>
      <c r="O31" s="71">
        <f t="shared" si="4"/>
        <v>-18.996061331463572</v>
      </c>
      <c r="P31" s="71">
        <f t="shared" si="5"/>
        <v>0</v>
      </c>
      <c r="Q31" s="63"/>
      <c r="R31" s="71"/>
      <c r="S31" s="63"/>
      <c r="T31" s="71"/>
      <c r="U31" s="63"/>
      <c r="V31" s="71"/>
      <c r="W31" s="63"/>
      <c r="X31" s="71"/>
      <c r="Y31" s="63"/>
      <c r="Z31" s="71"/>
      <c r="AA31" s="63"/>
      <c r="AB31" s="72"/>
      <c r="AC31" s="63"/>
      <c r="AD31" s="72"/>
      <c r="AE31" s="63"/>
      <c r="AF31" s="72"/>
      <c r="AG31" s="63"/>
      <c r="AH31" s="72"/>
      <c r="AI31" s="63"/>
      <c r="AJ31" s="72"/>
      <c r="AK31" s="63"/>
      <c r="AL31" s="72"/>
      <c r="AM31" s="63"/>
      <c r="AN31" s="72"/>
      <c r="AO31" s="63"/>
      <c r="AP31" s="72"/>
    </row>
    <row r="32" spans="1:42" s="62" customFormat="1" ht="12.75">
      <c r="A32" s="62" t="s">
        <v>208</v>
      </c>
      <c r="B32" s="62">
        <v>28</v>
      </c>
      <c r="C32" s="62" t="s">
        <v>270</v>
      </c>
      <c r="D32" s="70">
        <v>0</v>
      </c>
      <c r="E32" s="63"/>
      <c r="F32" s="71">
        <v>93.82297070411086</v>
      </c>
      <c r="G32" s="71">
        <f t="shared" si="0"/>
        <v>93.82297070411086</v>
      </c>
      <c r="H32" s="71">
        <f t="shared" si="1"/>
        <v>0</v>
      </c>
      <c r="I32" s="63"/>
      <c r="J32" s="71">
        <v>55.170095252291325</v>
      </c>
      <c r="K32" s="71">
        <f t="shared" si="2"/>
        <v>55.170095252291325</v>
      </c>
      <c r="L32" s="71">
        <f t="shared" si="3"/>
        <v>0</v>
      </c>
      <c r="M32" s="63"/>
      <c r="N32" s="71">
        <v>4.421305502878655</v>
      </c>
      <c r="O32" s="71">
        <f t="shared" si="4"/>
        <v>4.421305502878655</v>
      </c>
      <c r="P32" s="71">
        <f t="shared" si="5"/>
        <v>0</v>
      </c>
      <c r="Q32" s="63"/>
      <c r="R32" s="71"/>
      <c r="S32" s="63"/>
      <c r="T32" s="71"/>
      <c r="U32" s="63"/>
      <c r="V32" s="71"/>
      <c r="W32" s="63"/>
      <c r="X32" s="71"/>
      <c r="Y32" s="63"/>
      <c r="Z32" s="71"/>
      <c r="AA32" s="63"/>
      <c r="AB32" s="72"/>
      <c r="AC32" s="63"/>
      <c r="AD32" s="72"/>
      <c r="AE32" s="63"/>
      <c r="AF32" s="72"/>
      <c r="AG32" s="63"/>
      <c r="AH32" s="72"/>
      <c r="AI32" s="63"/>
      <c r="AJ32" s="72"/>
      <c r="AK32" s="63"/>
      <c r="AL32" s="72"/>
      <c r="AM32" s="63"/>
      <c r="AN32" s="72"/>
      <c r="AO32" s="63"/>
      <c r="AP32" s="72"/>
    </row>
    <row r="33" spans="1:42" s="62" customFormat="1" ht="12.75">
      <c r="A33" s="62" t="s">
        <v>208</v>
      </c>
      <c r="B33" s="62">
        <v>29</v>
      </c>
      <c r="C33" s="62" t="s">
        <v>271</v>
      </c>
      <c r="D33" s="70">
        <v>0.01</v>
      </c>
      <c r="E33" s="63"/>
      <c r="F33" s="71">
        <v>23.564839153590636</v>
      </c>
      <c r="G33" s="71">
        <f t="shared" si="0"/>
        <v>23.564839153590636</v>
      </c>
      <c r="H33" s="71">
        <f t="shared" si="1"/>
        <v>0.23564839153590636</v>
      </c>
      <c r="I33" s="63"/>
      <c r="J33" s="71">
        <v>17.552184744358325</v>
      </c>
      <c r="K33" s="71">
        <f t="shared" si="2"/>
        <v>17.552184744358325</v>
      </c>
      <c r="L33" s="71">
        <f t="shared" si="3"/>
        <v>0.17552184744358326</v>
      </c>
      <c r="M33" s="63"/>
      <c r="N33" s="71">
        <v>12.39742950053412</v>
      </c>
      <c r="O33" s="71">
        <f t="shared" si="4"/>
        <v>12.39742950053412</v>
      </c>
      <c r="P33" s="71">
        <f t="shared" si="5"/>
        <v>0.1239742950053412</v>
      </c>
      <c r="Q33" s="63"/>
      <c r="R33" s="71"/>
      <c r="S33" s="63"/>
      <c r="T33" s="71"/>
      <c r="U33" s="63"/>
      <c r="V33" s="71"/>
      <c r="W33" s="63"/>
      <c r="X33" s="71"/>
      <c r="Y33" s="63"/>
      <c r="Z33" s="71"/>
      <c r="AA33" s="63"/>
      <c r="AB33" s="72"/>
      <c r="AC33" s="63"/>
      <c r="AD33" s="72"/>
      <c r="AE33" s="63"/>
      <c r="AF33" s="72"/>
      <c r="AG33" s="63"/>
      <c r="AH33" s="72"/>
      <c r="AI33" s="63"/>
      <c r="AJ33" s="72"/>
      <c r="AK33" s="63"/>
      <c r="AL33" s="72"/>
      <c r="AM33" s="63"/>
      <c r="AN33" s="72"/>
      <c r="AO33" s="63"/>
      <c r="AP33" s="72"/>
    </row>
    <row r="34" spans="1:42" s="62" customFormat="1" ht="12.75">
      <c r="A34" s="62" t="s">
        <v>208</v>
      </c>
      <c r="B34" s="62">
        <v>30</v>
      </c>
      <c r="C34" s="62" t="s">
        <v>272</v>
      </c>
      <c r="D34" s="70">
        <v>0.01</v>
      </c>
      <c r="E34" s="63"/>
      <c r="F34" s="71">
        <v>8.1385972261938</v>
      </c>
      <c r="G34" s="71">
        <f t="shared" si="0"/>
        <v>8.1385972261938</v>
      </c>
      <c r="H34" s="71">
        <f t="shared" si="1"/>
        <v>0.081385972261938</v>
      </c>
      <c r="I34" s="63"/>
      <c r="J34" s="71">
        <v>4.8566724778078845</v>
      </c>
      <c r="K34" s="71">
        <f t="shared" si="2"/>
        <v>4.8566724778078845</v>
      </c>
      <c r="L34" s="71">
        <f t="shared" si="3"/>
        <v>0.04856672477807884</v>
      </c>
      <c r="M34" s="63"/>
      <c r="N34" s="71">
        <v>3.3548599544456135</v>
      </c>
      <c r="O34" s="71">
        <f t="shared" si="4"/>
        <v>3.3548599544456135</v>
      </c>
      <c r="P34" s="71">
        <f t="shared" si="5"/>
        <v>0.03354859954445614</v>
      </c>
      <c r="Q34" s="63"/>
      <c r="R34" s="71"/>
      <c r="S34" s="63"/>
      <c r="T34" s="71"/>
      <c r="U34" s="63"/>
      <c r="V34" s="71"/>
      <c r="W34" s="63"/>
      <c r="X34" s="71"/>
      <c r="Y34" s="63"/>
      <c r="Z34" s="71"/>
      <c r="AA34" s="63"/>
      <c r="AB34" s="72"/>
      <c r="AC34" s="63"/>
      <c r="AD34" s="72"/>
      <c r="AE34" s="63"/>
      <c r="AF34" s="72"/>
      <c r="AG34" s="63"/>
      <c r="AH34" s="72"/>
      <c r="AI34" s="63"/>
      <c r="AJ34" s="72"/>
      <c r="AK34" s="63"/>
      <c r="AL34" s="72"/>
      <c r="AM34" s="63"/>
      <c r="AN34" s="72"/>
      <c r="AO34" s="63"/>
      <c r="AP34" s="72"/>
    </row>
    <row r="35" spans="1:42" s="62" customFormat="1" ht="12.75">
      <c r="A35" s="62" t="s">
        <v>208</v>
      </c>
      <c r="B35" s="62">
        <v>31</v>
      </c>
      <c r="C35" s="62" t="s">
        <v>273</v>
      </c>
      <c r="D35" s="70">
        <v>0</v>
      </c>
      <c r="E35" s="63"/>
      <c r="F35" s="71">
        <v>23.717574222178722</v>
      </c>
      <c r="G35" s="71">
        <f t="shared" si="0"/>
        <v>23.717574222178722</v>
      </c>
      <c r="H35" s="71">
        <f t="shared" si="1"/>
        <v>0</v>
      </c>
      <c r="I35" s="63"/>
      <c r="J35" s="71">
        <v>13.803174410611884</v>
      </c>
      <c r="K35" s="71">
        <f t="shared" si="2"/>
        <v>13.803174410611884</v>
      </c>
      <c r="L35" s="71">
        <f t="shared" si="3"/>
        <v>0</v>
      </c>
      <c r="M35" s="63"/>
      <c r="N35" s="71">
        <v>9.353616164381481</v>
      </c>
      <c r="O35" s="71">
        <f t="shared" si="4"/>
        <v>9.353616164381481</v>
      </c>
      <c r="P35" s="71">
        <f t="shared" si="5"/>
        <v>0</v>
      </c>
      <c r="Q35" s="63"/>
      <c r="R35" s="71"/>
      <c r="S35" s="63"/>
      <c r="T35" s="71"/>
      <c r="U35" s="63"/>
      <c r="V35" s="71"/>
      <c r="W35" s="63"/>
      <c r="X35" s="71"/>
      <c r="Y35" s="63"/>
      <c r="Z35" s="71"/>
      <c r="AA35" s="63"/>
      <c r="AB35" s="72"/>
      <c r="AC35" s="63"/>
      <c r="AD35" s="72"/>
      <c r="AE35" s="63"/>
      <c r="AF35" s="72"/>
      <c r="AG35" s="63"/>
      <c r="AH35" s="72"/>
      <c r="AI35" s="63"/>
      <c r="AJ35" s="72"/>
      <c r="AK35" s="63"/>
      <c r="AL35" s="72"/>
      <c r="AM35" s="63"/>
      <c r="AN35" s="72"/>
      <c r="AO35" s="63"/>
      <c r="AP35" s="72"/>
    </row>
    <row r="36" spans="1:42" s="62" customFormat="1" ht="12.75">
      <c r="A36" s="62" t="s">
        <v>208</v>
      </c>
      <c r="B36" s="62">
        <v>32</v>
      </c>
      <c r="C36" s="62" t="s">
        <v>274</v>
      </c>
      <c r="D36" s="70">
        <v>0</v>
      </c>
      <c r="E36" s="63"/>
      <c r="F36" s="71">
        <v>55.42101060196316</v>
      </c>
      <c r="G36" s="71">
        <f t="shared" si="0"/>
        <v>55.42101060196316</v>
      </c>
      <c r="H36" s="71">
        <f t="shared" si="1"/>
        <v>0</v>
      </c>
      <c r="I36" s="63"/>
      <c r="J36" s="71">
        <v>36.212031632778</v>
      </c>
      <c r="K36" s="71">
        <f t="shared" si="2"/>
        <v>36.212031632778</v>
      </c>
      <c r="L36" s="71">
        <f t="shared" si="3"/>
        <v>0</v>
      </c>
      <c r="M36" s="63"/>
      <c r="N36" s="71">
        <v>25.105905619361213</v>
      </c>
      <c r="O36" s="71">
        <f t="shared" si="4"/>
        <v>25.105905619361213</v>
      </c>
      <c r="P36" s="71">
        <f t="shared" si="5"/>
        <v>0</v>
      </c>
      <c r="Q36" s="63"/>
      <c r="R36" s="71"/>
      <c r="S36" s="63"/>
      <c r="T36" s="71"/>
      <c r="U36" s="63"/>
      <c r="V36" s="71"/>
      <c r="W36" s="63"/>
      <c r="X36" s="71"/>
      <c r="Y36" s="63"/>
      <c r="Z36" s="71"/>
      <c r="AA36" s="63"/>
      <c r="AB36" s="72"/>
      <c r="AC36" s="63"/>
      <c r="AD36" s="72"/>
      <c r="AE36" s="63"/>
      <c r="AF36" s="72"/>
      <c r="AG36" s="63"/>
      <c r="AH36" s="72"/>
      <c r="AI36" s="63"/>
      <c r="AJ36" s="72"/>
      <c r="AK36" s="63"/>
      <c r="AL36" s="72"/>
      <c r="AM36" s="63"/>
      <c r="AN36" s="72"/>
      <c r="AO36" s="63"/>
      <c r="AP36" s="72"/>
    </row>
    <row r="37" spans="1:42" s="62" customFormat="1" ht="12.75">
      <c r="A37" s="62" t="s">
        <v>208</v>
      </c>
      <c r="B37" s="62">
        <v>33</v>
      </c>
      <c r="C37" s="62" t="s">
        <v>275</v>
      </c>
      <c r="D37" s="70">
        <v>0.001</v>
      </c>
      <c r="E37" s="63"/>
      <c r="F37" s="71">
        <v>30.547013717617485</v>
      </c>
      <c r="G37" s="71">
        <f t="shared" si="0"/>
        <v>30.547013717617485</v>
      </c>
      <c r="H37" s="71">
        <f t="shared" si="1"/>
        <v>0.030547013717617484</v>
      </c>
      <c r="I37" s="63"/>
      <c r="J37" s="71">
        <v>16.61493216092171</v>
      </c>
      <c r="K37" s="71">
        <f t="shared" si="2"/>
        <v>16.61493216092171</v>
      </c>
      <c r="L37" s="71">
        <f t="shared" si="3"/>
        <v>0.016614932160921712</v>
      </c>
      <c r="M37" s="63"/>
      <c r="N37" s="71">
        <v>9.553574704712675</v>
      </c>
      <c r="O37" s="71">
        <f t="shared" si="4"/>
        <v>9.553574704712675</v>
      </c>
      <c r="P37" s="71">
        <f t="shared" si="5"/>
        <v>0.009553574704712676</v>
      </c>
      <c r="Q37" s="63"/>
      <c r="R37" s="71"/>
      <c r="S37" s="63"/>
      <c r="T37" s="71"/>
      <c r="U37" s="63"/>
      <c r="V37" s="71"/>
      <c r="W37" s="63"/>
      <c r="X37" s="71"/>
      <c r="Y37" s="63"/>
      <c r="Z37" s="71"/>
      <c r="AA37" s="63"/>
      <c r="AB37" s="72"/>
      <c r="AC37" s="63"/>
      <c r="AD37" s="72"/>
      <c r="AE37" s="63"/>
      <c r="AF37" s="72"/>
      <c r="AG37" s="63"/>
      <c r="AH37" s="72"/>
      <c r="AI37" s="63"/>
      <c r="AJ37" s="72"/>
      <c r="AK37" s="63"/>
      <c r="AL37" s="72"/>
      <c r="AM37" s="63"/>
      <c r="AN37" s="72"/>
      <c r="AO37" s="63"/>
      <c r="AP37" s="72"/>
    </row>
    <row r="38" spans="1:42" s="62" customFormat="1" ht="12.75">
      <c r="A38" s="62" t="s">
        <v>208</v>
      </c>
      <c r="B38" s="62">
        <v>34</v>
      </c>
      <c r="C38" s="62" t="s">
        <v>276</v>
      </c>
      <c r="D38" s="70"/>
      <c r="E38" s="63"/>
      <c r="F38" s="71">
        <v>452.4885503399653</v>
      </c>
      <c r="G38" s="71">
        <f>SUM(G37,G36,G32,G26,G22,G19,G18,G15,G10,G7)</f>
        <v>452.4885503399653</v>
      </c>
      <c r="H38" s="71"/>
      <c r="I38" s="63"/>
      <c r="J38" s="71">
        <v>246.9660557355466</v>
      </c>
      <c r="K38" s="71">
        <f>SUM(K37,K36,K32,K26,K22,K19,K18,K15,K10,K7)</f>
        <v>246.9660557355465</v>
      </c>
      <c r="L38" s="71"/>
      <c r="M38" s="63"/>
      <c r="N38" s="71">
        <v>183.76189856436866</v>
      </c>
      <c r="O38" s="71">
        <f>SUM(O37,O36,O32,O26,O22,O19,O18,O15,O10,O7)</f>
        <v>183.76189856436875</v>
      </c>
      <c r="P38" s="71"/>
      <c r="Q38" s="63"/>
      <c r="R38" s="71"/>
      <c r="S38" s="63"/>
      <c r="T38" s="71"/>
      <c r="U38" s="63"/>
      <c r="V38" s="71"/>
      <c r="W38" s="63"/>
      <c r="X38" s="71"/>
      <c r="Y38" s="63"/>
      <c r="Z38" s="71"/>
      <c r="AA38" s="63"/>
      <c r="AB38" s="72"/>
      <c r="AC38" s="63"/>
      <c r="AD38" s="72"/>
      <c r="AE38" s="63"/>
      <c r="AF38" s="72"/>
      <c r="AG38" s="63"/>
      <c r="AH38" s="72"/>
      <c r="AI38" s="63"/>
      <c r="AJ38" s="72"/>
      <c r="AK38" s="63"/>
      <c r="AL38" s="72"/>
      <c r="AM38" s="63"/>
      <c r="AN38" s="72"/>
      <c r="AO38" s="63"/>
      <c r="AP38" s="72"/>
    </row>
    <row r="39" spans="1:42" s="62" customFormat="1" ht="12.75">
      <c r="A39" s="62" t="s">
        <v>208</v>
      </c>
      <c r="B39" s="62">
        <v>35</v>
      </c>
      <c r="C39" s="62" t="s">
        <v>26</v>
      </c>
      <c r="D39" s="70"/>
      <c r="E39" s="63"/>
      <c r="F39" s="71">
        <v>11.267571479880388</v>
      </c>
      <c r="G39" s="71"/>
      <c r="H39" s="71">
        <f>SUM(H5:H37)</f>
        <v>11.267571479880395</v>
      </c>
      <c r="I39" s="63"/>
      <c r="J39" s="71">
        <v>7.3043075994526</v>
      </c>
      <c r="K39" s="71"/>
      <c r="L39" s="71">
        <f>SUM(L5:L37)</f>
        <v>7.30430759945259</v>
      </c>
      <c r="M39" s="63"/>
      <c r="N39" s="71">
        <v>6.181096181102323</v>
      </c>
      <c r="O39" s="71"/>
      <c r="P39" s="71">
        <f>SUM(P5:P37)</f>
        <v>6.181096181102327</v>
      </c>
      <c r="Q39" s="63"/>
      <c r="R39" s="71"/>
      <c r="S39" s="63"/>
      <c r="T39" s="71"/>
      <c r="U39" s="63"/>
      <c r="V39" s="71"/>
      <c r="W39" s="63"/>
      <c r="X39" s="71"/>
      <c r="Y39" s="63"/>
      <c r="Z39" s="71"/>
      <c r="AA39" s="63"/>
      <c r="AB39" s="72"/>
      <c r="AC39" s="63"/>
      <c r="AD39" s="72"/>
      <c r="AE39" s="63"/>
      <c r="AF39" s="72"/>
      <c r="AG39" s="63"/>
      <c r="AH39" s="72"/>
      <c r="AI39" s="63"/>
      <c r="AJ39" s="72"/>
      <c r="AK39" s="63"/>
      <c r="AL39" s="72"/>
      <c r="AM39" s="63"/>
      <c r="AN39" s="72"/>
      <c r="AO39" s="63"/>
      <c r="AP39" s="72"/>
    </row>
  </sheetData>
  <mergeCells count="3">
    <mergeCell ref="F2:H2"/>
    <mergeCell ref="J2:L2"/>
    <mergeCell ref="N2:P2"/>
  </mergeCells>
  <printOptions headings="1" horizontalCentered="1"/>
  <pageMargins left="0.25" right="0.25" top="0.5" bottom="0.5" header="0.25" footer="0.25"/>
  <pageSetup horizontalDpi="600" verticalDpi="600" orientation="landscape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58"/>
  <sheetViews>
    <sheetView workbookViewId="0" topLeftCell="B1">
      <selection activeCell="C2" sqref="C2"/>
    </sheetView>
  </sheetViews>
  <sheetFormatPr defaultColWidth="9.140625" defaultRowHeight="12.75"/>
  <cols>
    <col min="1" max="1" width="3.2812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8" t="s">
        <v>89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2.75">
      <c r="B3" s="16" t="s">
        <v>88</v>
      </c>
      <c r="C3" s="17">
        <v>327</v>
      </c>
      <c r="D3" s="16"/>
      <c r="E3" s="16"/>
      <c r="F3" s="16"/>
      <c r="G3" s="16"/>
      <c r="H3" s="16"/>
      <c r="I3" s="16"/>
      <c r="J3" s="16"/>
      <c r="K3" s="16"/>
      <c r="L3" s="16"/>
    </row>
    <row r="4" spans="2:12" ht="12.75">
      <c r="B4" s="16" t="s">
        <v>0</v>
      </c>
      <c r="C4" s="16" t="s">
        <v>146</v>
      </c>
      <c r="D4" s="16"/>
      <c r="E4" s="16"/>
      <c r="F4" s="16"/>
      <c r="G4" s="16"/>
      <c r="H4" s="16"/>
      <c r="I4" s="16"/>
      <c r="J4" s="16"/>
      <c r="K4" s="16"/>
      <c r="L4" s="16"/>
    </row>
    <row r="5" spans="2:12" ht="12.75">
      <c r="B5" s="16" t="s">
        <v>1</v>
      </c>
      <c r="C5" s="16" t="s">
        <v>132</v>
      </c>
      <c r="D5" s="16"/>
      <c r="E5" s="16"/>
      <c r="F5" s="16"/>
      <c r="G5" s="16"/>
      <c r="H5" s="16"/>
      <c r="I5" s="16"/>
      <c r="J5" s="16"/>
      <c r="K5" s="16"/>
      <c r="L5" s="16"/>
    </row>
    <row r="6" spans="2:12" ht="12.75">
      <c r="B6" s="16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12.75">
      <c r="B7" s="16" t="s">
        <v>3</v>
      </c>
      <c r="C7" s="16" t="s">
        <v>348</v>
      </c>
      <c r="D7" s="16"/>
      <c r="E7" s="16"/>
      <c r="F7" s="16"/>
      <c r="G7" s="16"/>
      <c r="H7" s="16"/>
      <c r="I7" s="16"/>
      <c r="J7" s="16"/>
      <c r="K7" s="16"/>
      <c r="L7" s="16"/>
    </row>
    <row r="8" spans="2:12" ht="12.75">
      <c r="B8" s="16" t="s">
        <v>4</v>
      </c>
      <c r="C8" s="16" t="s">
        <v>133</v>
      </c>
      <c r="D8" s="16"/>
      <c r="E8" s="16"/>
      <c r="F8" s="16"/>
      <c r="G8" s="16"/>
      <c r="H8" s="16"/>
      <c r="I8" s="16"/>
      <c r="J8" s="16"/>
      <c r="K8" s="16"/>
      <c r="L8" s="16"/>
    </row>
    <row r="9" spans="2:12" ht="12.75">
      <c r="B9" s="16" t="s">
        <v>5</v>
      </c>
      <c r="C9" s="16" t="s">
        <v>194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 ht="12.75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2.75">
      <c r="B11" s="16" t="s">
        <v>312</v>
      </c>
      <c r="C11" s="17">
        <v>0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12.75">
      <c r="B12" s="16" t="s">
        <v>281</v>
      </c>
      <c r="C12" s="16" t="s">
        <v>311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 t="s">
        <v>282</v>
      </c>
      <c r="C13" s="16" t="s">
        <v>194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2:12" s="46" customFormat="1" ht="51">
      <c r="B14" s="45" t="s">
        <v>77</v>
      </c>
      <c r="C14" s="45" t="s">
        <v>283</v>
      </c>
      <c r="D14" s="45"/>
      <c r="E14" s="45"/>
      <c r="F14" s="45"/>
      <c r="G14" s="45"/>
      <c r="H14" s="45"/>
      <c r="I14" s="45"/>
      <c r="J14" s="45"/>
      <c r="K14" s="45"/>
      <c r="L14" s="45"/>
    </row>
    <row r="15" spans="2:12" s="46" customFormat="1" ht="12.75">
      <c r="B15" s="45" t="s">
        <v>84</v>
      </c>
      <c r="C15" s="47" t="s">
        <v>349</v>
      </c>
      <c r="D15" s="45"/>
      <c r="E15" s="45"/>
      <c r="F15" s="45"/>
      <c r="G15" s="45"/>
      <c r="H15" s="45"/>
      <c r="I15" s="45"/>
      <c r="J15" s="45"/>
      <c r="K15" s="45"/>
      <c r="L15" s="45"/>
    </row>
    <row r="16" spans="2:12" s="46" customFormat="1" ht="12.75">
      <c r="B16" s="16" t="s">
        <v>90</v>
      </c>
      <c r="C16" s="45"/>
      <c r="F16" s="45"/>
      <c r="G16" s="45"/>
      <c r="H16" s="45"/>
      <c r="I16" s="45"/>
      <c r="J16" s="45"/>
      <c r="K16" s="45"/>
      <c r="L16" s="45"/>
    </row>
    <row r="17" spans="2:12" s="46" customFormat="1" ht="12.75">
      <c r="B17" s="16" t="s">
        <v>313</v>
      </c>
      <c r="C17" s="45" t="s">
        <v>134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2:12" s="46" customFormat="1" ht="12.75">
      <c r="B18" s="16" t="s">
        <v>314</v>
      </c>
      <c r="C18" s="45" t="s">
        <v>315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76.5">
      <c r="B19" s="45" t="s">
        <v>7</v>
      </c>
      <c r="C19" s="45" t="s">
        <v>352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12.75">
      <c r="B20" s="45"/>
      <c r="C20" s="45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2.75">
      <c r="B21" s="16" t="s">
        <v>81</v>
      </c>
      <c r="C21" s="16" t="s">
        <v>309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2.75">
      <c r="B22" s="16" t="s">
        <v>91</v>
      </c>
      <c r="C22" s="49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2.75">
      <c r="B23" s="16" t="s">
        <v>82</v>
      </c>
      <c r="C23" s="1" t="s">
        <v>310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2.75" customHeight="1">
      <c r="B24" s="16"/>
      <c r="C24" s="16" t="s">
        <v>135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2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12.75">
      <c r="B26" s="16" t="s">
        <v>8</v>
      </c>
      <c r="C26" s="17"/>
      <c r="D26" s="16"/>
      <c r="E26" s="16"/>
      <c r="F26" s="16"/>
      <c r="G26" s="16"/>
      <c r="H26" s="16"/>
      <c r="I26" s="16"/>
      <c r="J26" s="16"/>
      <c r="K26" s="16"/>
      <c r="L26" s="16"/>
    </row>
    <row r="27" spans="2:12" ht="12.75">
      <c r="B27" s="16" t="s">
        <v>9</v>
      </c>
      <c r="C27" s="50">
        <v>5</v>
      </c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 t="s">
        <v>10</v>
      </c>
      <c r="C28" s="17">
        <v>150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2.75">
      <c r="B29" s="16" t="s">
        <v>85</v>
      </c>
      <c r="C29" s="18">
        <f>3520/60</f>
        <v>58.666666666666664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2:12" ht="14.25" customHeight="1">
      <c r="B30" s="16" t="s">
        <v>86</v>
      </c>
      <c r="C30" s="17">
        <v>158</v>
      </c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2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2.75">
      <c r="B32" s="16" t="s">
        <v>11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2.75">
      <c r="B33" s="16" t="s">
        <v>120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4.2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42" spans="2:12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2:12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2:12" ht="12.75">
      <c r="B44" s="16"/>
      <c r="C44" s="19"/>
      <c r="D44" s="16"/>
      <c r="E44" s="16"/>
      <c r="F44" s="16"/>
      <c r="G44" s="16"/>
      <c r="H44" s="16"/>
      <c r="I44" s="16"/>
      <c r="J44" s="16"/>
      <c r="K44" s="16"/>
      <c r="L44" s="16"/>
    </row>
    <row r="45" spans="2:12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2:12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2:12" ht="12.75">
      <c r="B48" s="16"/>
      <c r="C48" s="19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2:12" ht="12.75">
      <c r="B51" s="16"/>
      <c r="C51" s="19"/>
      <c r="D51" s="16"/>
      <c r="E51" s="16"/>
      <c r="F51" s="16"/>
      <c r="G51" s="16"/>
      <c r="H51" s="16"/>
      <c r="I51" s="16"/>
      <c r="J51" s="16"/>
      <c r="K51" s="16"/>
      <c r="L51" s="16"/>
    </row>
    <row r="52" spans="2:12" ht="12.75">
      <c r="B52" s="16"/>
      <c r="C52" s="19"/>
      <c r="D52" s="16"/>
      <c r="E52" s="16"/>
      <c r="F52" s="16"/>
      <c r="G52" s="16"/>
      <c r="H52" s="16"/>
      <c r="I52" s="16"/>
      <c r="J52" s="16"/>
      <c r="K52" s="16"/>
      <c r="L52" s="16"/>
    </row>
    <row r="53" spans="2:12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2:12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2:12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2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2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2:12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2:12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2:12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2:12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2:12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2:12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2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2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2:12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2:12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2:12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2:12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2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2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2:12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2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2:12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2:12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2:12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2:12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2:12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2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2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2:12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2:12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2:12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2:12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2:12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2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2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2:12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2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2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2:12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2:12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2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2:12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2:12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2:12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2:12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2:12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2:12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2:12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2:12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2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2:12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2:12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2:12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2:12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2:12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2:12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2:12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2:12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2:12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2:12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2:12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2:12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2:12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2:12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2:12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2:12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2:12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2:12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2:12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2:12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2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2:12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2:12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2:12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2:12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2:12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2:12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2:12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2:12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2:12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2:12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2:12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2:12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2:12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2:12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2:12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2:12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2:12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2:12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2:12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2:12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2:12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2:12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2:12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2:12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2:12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2:12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2:12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2:12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2:12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2:12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2:12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2:12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2:12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2:12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2:12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2:12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2:12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2:12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2:12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2:12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2:12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2:12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2:12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2:12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2:12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2:12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2:12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2:12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2:12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2:12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2:12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2:12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2:12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2:12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2:12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2:12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2:12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2:12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2:12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2:12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2:12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2:12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2:12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2:12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2:12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2:12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2:12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2:12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2:12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2:12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2:12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2:12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2:12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2:12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2:12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2:12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2:12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2:12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2:12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2:12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2:12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2:12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2:12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2:12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2:12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2:12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2:12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2:12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2:12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2:12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2:12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2:12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2:12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2:12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2:12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2:12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2:12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2:12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2:12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2:12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2:12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2:12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2:12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2:12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2:12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2:12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2:12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2:12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2:12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2:12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2:12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2:12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2:12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2:12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2:12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2:12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2:12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2:12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2:12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2:12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2:12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2:12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2:12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2:12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2:12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2:12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2:12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2:12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2:12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2:12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2:12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2:12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2:12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2:12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2:12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2:12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2:12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2:12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2:12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2:12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2:12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2:12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2:12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2:12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2:12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2:12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2:12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2:12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2:12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2:12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2:12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2:12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2:12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2:12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2:12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2:12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2:12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2:12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2:12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2:12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2:12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2:12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2:12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2:12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2:12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2:12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2:12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2:12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2:12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2:12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2:12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2:12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2:12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2:12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2:12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2:12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2:12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2:12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2:12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2:12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2:12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2:12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2:12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2:12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2:12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2:12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2:12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2:12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2:12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2:12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2:12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2:12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2:12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2:12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2:12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2:12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2:12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2:12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2:12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2:12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2:12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2:12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2:12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2:12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2:12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2:12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2:12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2:12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2:12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2:12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2:12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2:12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2:12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2:12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2:12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2:12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2:12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2:12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2:12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2:12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2:12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2:12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2:12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2:12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2:12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2:12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2:12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2:12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2:12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2:12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2:12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2:12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2:12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2:12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2:12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2:12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2:12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2:12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2:12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2:12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2:12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2:12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2:12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2:12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2:12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2:12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2:12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2:12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2:12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2:12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2:12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2:12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2:12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2:12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2:12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2:12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2:12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2:12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2:12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2:12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2:12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2:12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2:12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2:12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2:12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2:12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2:12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2:12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2:12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2:12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2:12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2:12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2:12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2:12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2:12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2:12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2:12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B2">
      <selection activeCell="C2" sqref="C2"/>
    </sheetView>
  </sheetViews>
  <sheetFormatPr defaultColWidth="9.140625" defaultRowHeight="12.75"/>
  <cols>
    <col min="1" max="1" width="7.140625" style="0" hidden="1" customWidth="1"/>
    <col min="2" max="2" width="18.8515625" style="0" customWidth="1"/>
    <col min="3" max="3" width="59.8515625" style="55" customWidth="1"/>
  </cols>
  <sheetData>
    <row r="1" ht="12.75">
      <c r="B1" s="8" t="s">
        <v>280</v>
      </c>
    </row>
    <row r="3" spans="2:12" s="1" customFormat="1" ht="12.75">
      <c r="B3" s="8" t="s">
        <v>195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s="1" customFormat="1" ht="12.75">
      <c r="B4" s="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s="1" customFormat="1" ht="12.75">
      <c r="B5" s="16" t="s">
        <v>197</v>
      </c>
      <c r="C5" s="49" t="s">
        <v>164</v>
      </c>
      <c r="D5" s="16"/>
      <c r="E5" s="16"/>
      <c r="F5" s="16"/>
      <c r="G5" s="16"/>
      <c r="H5" s="16"/>
      <c r="I5" s="16"/>
      <c r="J5" s="16"/>
      <c r="K5" s="16"/>
      <c r="L5" s="16"/>
    </row>
    <row r="6" spans="2:12" s="1" customFormat="1" ht="12.75">
      <c r="B6" s="16" t="s">
        <v>199</v>
      </c>
      <c r="C6" s="16" t="s">
        <v>165</v>
      </c>
      <c r="D6" s="16"/>
      <c r="E6" s="16"/>
      <c r="F6" s="16"/>
      <c r="G6" s="16"/>
      <c r="H6" s="16"/>
      <c r="I6" s="16"/>
      <c r="J6" s="16"/>
      <c r="K6" s="16"/>
      <c r="L6" s="16"/>
    </row>
    <row r="7" spans="2:12" s="1" customFormat="1" ht="12.75">
      <c r="B7" s="16" t="s">
        <v>201</v>
      </c>
      <c r="C7" s="16" t="s">
        <v>132</v>
      </c>
      <c r="D7" s="16"/>
      <c r="E7" s="16"/>
      <c r="F7" s="16"/>
      <c r="G7" s="16"/>
      <c r="H7" s="16"/>
      <c r="I7" s="16"/>
      <c r="J7" s="16"/>
      <c r="K7" s="16"/>
      <c r="L7" s="16"/>
    </row>
    <row r="8" spans="2:12" s="1" customFormat="1" ht="12.75">
      <c r="B8" s="16" t="s">
        <v>277</v>
      </c>
      <c r="C8" s="19" t="s">
        <v>166</v>
      </c>
      <c r="D8" s="16"/>
      <c r="E8" s="16"/>
      <c r="F8" s="16"/>
      <c r="G8" s="16"/>
      <c r="H8" s="16"/>
      <c r="I8" s="16"/>
      <c r="J8" s="16"/>
      <c r="K8" s="16"/>
      <c r="L8" s="16"/>
    </row>
    <row r="9" spans="2:12" s="1" customFormat="1" ht="12.75">
      <c r="B9" s="16" t="s">
        <v>308</v>
      </c>
      <c r="C9" s="76">
        <v>37043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 s="1" customFormat="1" ht="12.75">
      <c r="B10" s="16" t="s">
        <v>278</v>
      </c>
      <c r="C10" s="16" t="s">
        <v>167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s="1" customFormat="1" ht="12.75">
      <c r="B11" s="16" t="s">
        <v>279</v>
      </c>
      <c r="C11" s="19" t="s">
        <v>168</v>
      </c>
      <c r="D11" s="16"/>
      <c r="E11" s="16"/>
      <c r="F11" s="16"/>
      <c r="G11" s="16"/>
      <c r="H11" s="16"/>
      <c r="I11" s="16"/>
      <c r="J11" s="16"/>
      <c r="K11" s="16"/>
      <c r="L11" s="16"/>
    </row>
    <row r="13" ht="12.75">
      <c r="B13" s="8" t="s">
        <v>196</v>
      </c>
    </row>
    <row r="15" spans="2:3" s="56" customFormat="1" ht="25.5">
      <c r="B15" s="56" t="s">
        <v>197</v>
      </c>
      <c r="C15" s="57" t="s">
        <v>198</v>
      </c>
    </row>
    <row r="16" spans="2:3" ht="12.75">
      <c r="B16" t="s">
        <v>199</v>
      </c>
      <c r="C16" s="55" t="s">
        <v>200</v>
      </c>
    </row>
    <row r="17" spans="2:3" ht="12.75">
      <c r="B17" t="s">
        <v>201</v>
      </c>
      <c r="C17" s="55" t="s">
        <v>200</v>
      </c>
    </row>
    <row r="18" spans="1:3" ht="12.75">
      <c r="A18" t="s">
        <v>196</v>
      </c>
      <c r="B18" t="s">
        <v>202</v>
      </c>
      <c r="C18" s="55" t="s">
        <v>203</v>
      </c>
    </row>
    <row r="19" spans="2:3" ht="12.75">
      <c r="B19" s="16" t="s">
        <v>277</v>
      </c>
      <c r="C19" s="55" t="s">
        <v>204</v>
      </c>
    </row>
    <row r="20" spans="2:3" ht="12.75">
      <c r="B20" s="16" t="s">
        <v>308</v>
      </c>
      <c r="C20" s="77">
        <v>33725</v>
      </c>
    </row>
    <row r="22" ht="12.75">
      <c r="B22" s="8" t="s">
        <v>205</v>
      </c>
    </row>
    <row r="24" spans="2:3" s="56" customFormat="1" ht="25.5">
      <c r="B24" s="56" t="s">
        <v>197</v>
      </c>
      <c r="C24" s="57" t="s">
        <v>198</v>
      </c>
    </row>
    <row r="25" spans="2:3" ht="12.75">
      <c r="B25" t="s">
        <v>199</v>
      </c>
      <c r="C25" s="55" t="s">
        <v>200</v>
      </c>
    </row>
    <row r="26" spans="2:3" ht="12.75">
      <c r="B26" t="s">
        <v>201</v>
      </c>
      <c r="C26" s="55" t="s">
        <v>200</v>
      </c>
    </row>
    <row r="27" spans="1:3" ht="12.75">
      <c r="A27" t="s">
        <v>205</v>
      </c>
      <c r="B27" t="s">
        <v>202</v>
      </c>
      <c r="C27" s="55" t="s">
        <v>206</v>
      </c>
    </row>
    <row r="28" spans="2:3" ht="12.75">
      <c r="B28" s="16" t="s">
        <v>277</v>
      </c>
      <c r="C28" s="55" t="s">
        <v>207</v>
      </c>
    </row>
    <row r="29" spans="2:3" ht="12.75">
      <c r="B29" s="16" t="s">
        <v>308</v>
      </c>
      <c r="C29" s="77">
        <v>33664</v>
      </c>
    </row>
    <row r="31" ht="12.75">
      <c r="B31" s="8" t="s">
        <v>208</v>
      </c>
    </row>
    <row r="33" spans="2:3" s="56" customFormat="1" ht="25.5">
      <c r="B33" s="56" t="s">
        <v>197</v>
      </c>
      <c r="C33" s="57" t="s">
        <v>198</v>
      </c>
    </row>
    <row r="34" spans="2:3" ht="12.75">
      <c r="B34" t="s">
        <v>199</v>
      </c>
      <c r="C34" s="55" t="s">
        <v>200</v>
      </c>
    </row>
    <row r="35" spans="2:3" ht="12.75">
      <c r="B35" t="s">
        <v>201</v>
      </c>
      <c r="C35" s="55" t="s">
        <v>200</v>
      </c>
    </row>
    <row r="36" spans="1:3" ht="12.75">
      <c r="A36" t="s">
        <v>208</v>
      </c>
      <c r="B36" t="s">
        <v>202</v>
      </c>
      <c r="C36" s="55" t="s">
        <v>209</v>
      </c>
    </row>
    <row r="37" spans="2:3" ht="12.75">
      <c r="B37" s="16" t="s">
        <v>277</v>
      </c>
      <c r="C37" s="55" t="s">
        <v>210</v>
      </c>
    </row>
    <row r="38" spans="2:3" ht="12.75">
      <c r="B38" s="16" t="s">
        <v>308</v>
      </c>
      <c r="C38" s="77">
        <v>33664</v>
      </c>
    </row>
    <row r="40" ht="12.75">
      <c r="B40" s="8" t="s">
        <v>211</v>
      </c>
    </row>
    <row r="42" spans="2:3" s="56" customFormat="1" ht="51">
      <c r="B42" s="56" t="s">
        <v>197</v>
      </c>
      <c r="C42" s="57" t="s">
        <v>212</v>
      </c>
    </row>
    <row r="43" spans="2:3" ht="12.75">
      <c r="B43" t="s">
        <v>199</v>
      </c>
      <c r="C43" s="55" t="s">
        <v>213</v>
      </c>
    </row>
    <row r="44" spans="2:3" ht="12.75">
      <c r="B44" t="s">
        <v>201</v>
      </c>
      <c r="C44" s="55" t="s">
        <v>214</v>
      </c>
    </row>
    <row r="45" spans="1:3" ht="12.75">
      <c r="A45" t="s">
        <v>211</v>
      </c>
      <c r="B45" t="s">
        <v>202</v>
      </c>
      <c r="C45" s="55" t="s">
        <v>215</v>
      </c>
    </row>
    <row r="46" spans="1:3" ht="12.75">
      <c r="A46" t="s">
        <v>211</v>
      </c>
      <c r="B46" s="16" t="s">
        <v>277</v>
      </c>
      <c r="C46" s="78">
        <v>34548</v>
      </c>
    </row>
    <row r="47" spans="2:3" ht="12.75">
      <c r="B47" s="16" t="s">
        <v>308</v>
      </c>
      <c r="C47" s="77">
        <v>34547</v>
      </c>
    </row>
    <row r="49" ht="12.75">
      <c r="B49" s="8" t="s">
        <v>216</v>
      </c>
    </row>
    <row r="51" spans="2:3" s="56" customFormat="1" ht="51">
      <c r="B51" s="56" t="s">
        <v>197</v>
      </c>
      <c r="C51" s="57" t="s">
        <v>212</v>
      </c>
    </row>
    <row r="52" spans="2:3" ht="12.75">
      <c r="B52" t="s">
        <v>199</v>
      </c>
      <c r="C52" s="55" t="s">
        <v>213</v>
      </c>
    </row>
    <row r="53" spans="2:3" ht="12.75">
      <c r="B53" t="s">
        <v>201</v>
      </c>
      <c r="C53" s="55" t="s">
        <v>214</v>
      </c>
    </row>
    <row r="54" spans="1:3" ht="12.75">
      <c r="A54" t="s">
        <v>216</v>
      </c>
      <c r="B54" t="s">
        <v>202</v>
      </c>
      <c r="C54" s="55" t="s">
        <v>217</v>
      </c>
    </row>
    <row r="55" spans="1:3" ht="12.75">
      <c r="A55" t="s">
        <v>216</v>
      </c>
      <c r="B55" s="16" t="s">
        <v>277</v>
      </c>
      <c r="C55" s="78">
        <v>34549</v>
      </c>
    </row>
    <row r="56" spans="2:3" ht="12.75">
      <c r="B56" s="16" t="s">
        <v>308</v>
      </c>
      <c r="C56" s="77">
        <v>34547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B1">
      <selection activeCell="C2" sqref="C2"/>
    </sheetView>
  </sheetViews>
  <sheetFormatPr defaultColWidth="9.140625" defaultRowHeight="12.75"/>
  <cols>
    <col min="1" max="1" width="5.57421875" style="21" hidden="1" customWidth="1"/>
    <col min="2" max="2" width="21.140625" style="21" customWidth="1"/>
    <col min="3" max="3" width="13.00390625" style="21" customWidth="1"/>
    <col min="4" max="4" width="8.8515625" style="10" customWidth="1"/>
    <col min="5" max="5" width="6.140625" style="10" customWidth="1"/>
    <col min="6" max="6" width="3.8515625" style="10" customWidth="1"/>
    <col min="7" max="7" width="10.00390625" style="21" customWidth="1"/>
    <col min="8" max="8" width="3.8515625" style="21" customWidth="1"/>
    <col min="9" max="9" width="9.7109375" style="22" customWidth="1"/>
    <col min="10" max="10" width="4.28125" style="21" customWidth="1"/>
    <col min="11" max="11" width="12.28125" style="21" customWidth="1"/>
    <col min="12" max="12" width="4.140625" style="21" customWidth="1"/>
    <col min="13" max="13" width="8.8515625" style="21" customWidth="1"/>
    <col min="14" max="14" width="2.140625" style="21" customWidth="1"/>
    <col min="15" max="16384" width="8.8515625" style="21" customWidth="1"/>
  </cols>
  <sheetData>
    <row r="1" spans="2:3" ht="12.75">
      <c r="B1" s="20" t="s">
        <v>284</v>
      </c>
      <c r="C1" s="20"/>
    </row>
    <row r="2" spans="2:12" ht="12.75">
      <c r="B2" s="23"/>
      <c r="C2" s="23"/>
      <c r="G2" s="23"/>
      <c r="H2" s="23"/>
      <c r="I2" s="24"/>
      <c r="J2" s="23"/>
      <c r="K2" s="23"/>
      <c r="L2" s="23"/>
    </row>
    <row r="3" spans="2:3" ht="12.75">
      <c r="B3" s="16"/>
      <c r="C3" s="16"/>
    </row>
    <row r="4" spans="1:13" ht="12.75">
      <c r="A4" s="21">
        <v>1</v>
      </c>
      <c r="B4" s="25" t="s">
        <v>195</v>
      </c>
      <c r="C4" s="25" t="s">
        <v>105</v>
      </c>
      <c r="G4" s="23" t="s">
        <v>218</v>
      </c>
      <c r="H4" s="23"/>
      <c r="I4" s="24" t="s">
        <v>219</v>
      </c>
      <c r="J4" s="23"/>
      <c r="K4" s="23" t="s">
        <v>220</v>
      </c>
      <c r="L4" s="23"/>
      <c r="M4" s="23" t="s">
        <v>221</v>
      </c>
    </row>
    <row r="5" spans="2:12" ht="12.75">
      <c r="B5" s="10"/>
      <c r="C5" s="10"/>
      <c r="D5" s="16"/>
      <c r="E5" s="16"/>
      <c r="F5" s="16"/>
      <c r="G5" s="16"/>
      <c r="H5" s="16"/>
      <c r="I5" s="26"/>
      <c r="J5" s="16"/>
      <c r="K5" s="16"/>
      <c r="L5" s="23"/>
    </row>
    <row r="6" spans="2:13" ht="12.75">
      <c r="B6" s="10" t="s">
        <v>12</v>
      </c>
      <c r="C6" s="10" t="s">
        <v>302</v>
      </c>
      <c r="D6" s="10" t="s">
        <v>13</v>
      </c>
      <c r="E6" s="10" t="s">
        <v>14</v>
      </c>
      <c r="F6"/>
      <c r="G6">
        <v>0.0046</v>
      </c>
      <c r="H6"/>
      <c r="I6">
        <v>0.0008</v>
      </c>
      <c r="J6"/>
      <c r="K6">
        <v>0.0012</v>
      </c>
      <c r="L6"/>
      <c r="M6">
        <f>AVERAGE(K6,I6,G6)</f>
        <v>0.0022</v>
      </c>
    </row>
    <row r="7" spans="2:13" ht="12.75">
      <c r="B7" s="10" t="s">
        <v>355</v>
      </c>
      <c r="C7" s="10"/>
      <c r="D7" s="10" t="s">
        <v>13</v>
      </c>
      <c r="E7" s="10" t="s">
        <v>14</v>
      </c>
      <c r="F7"/>
      <c r="G7">
        <v>0.0006</v>
      </c>
      <c r="H7"/>
      <c r="I7">
        <v>0.0008</v>
      </c>
      <c r="J7"/>
      <c r="K7">
        <v>0.0002</v>
      </c>
      <c r="L7"/>
      <c r="M7">
        <f>AVERAGE(K7,I7,G7)</f>
        <v>0.0005333333333333333</v>
      </c>
    </row>
    <row r="8" spans="2:13" ht="12.75">
      <c r="B8" s="10" t="s">
        <v>111</v>
      </c>
      <c r="C8" s="10" t="s">
        <v>302</v>
      </c>
      <c r="D8" s="10" t="s">
        <v>15</v>
      </c>
      <c r="E8" s="10" t="s">
        <v>14</v>
      </c>
      <c r="F8"/>
      <c r="G8">
        <v>0.57</v>
      </c>
      <c r="H8"/>
      <c r="I8">
        <v>1.13</v>
      </c>
      <c r="J8"/>
      <c r="K8">
        <v>2.71</v>
      </c>
      <c r="L8"/>
      <c r="M8">
        <f>AVERAGE(K8,I8,G8)</f>
        <v>1.47</v>
      </c>
    </row>
    <row r="9" spans="2:13" ht="12.75">
      <c r="B9" s="10" t="s">
        <v>75</v>
      </c>
      <c r="C9" s="10" t="s">
        <v>302</v>
      </c>
      <c r="D9" s="10" t="s">
        <v>15</v>
      </c>
      <c r="E9" s="10" t="s">
        <v>14</v>
      </c>
      <c r="F9" s="10" t="s">
        <v>161</v>
      </c>
      <c r="G9">
        <v>4.2</v>
      </c>
      <c r="H9" s="10" t="s">
        <v>161</v>
      </c>
      <c r="I9">
        <v>3.9</v>
      </c>
      <c r="J9" s="10" t="s">
        <v>161</v>
      </c>
      <c r="K9">
        <v>4.9</v>
      </c>
      <c r="L9"/>
      <c r="M9" s="52">
        <f>AVERAGE(K9,I9,G9)</f>
        <v>4.333333333333333</v>
      </c>
    </row>
    <row r="10" spans="2:13" ht="12.75">
      <c r="B10" s="10" t="s">
        <v>147</v>
      </c>
      <c r="C10" s="10" t="s">
        <v>306</v>
      </c>
      <c r="D10" s="10" t="s">
        <v>15</v>
      </c>
      <c r="E10" s="10" t="s">
        <v>14</v>
      </c>
      <c r="F10"/>
      <c r="G10">
        <v>0</v>
      </c>
      <c r="H10"/>
      <c r="I10">
        <v>4.1</v>
      </c>
      <c r="J10"/>
      <c r="K10">
        <v>60</v>
      </c>
      <c r="L10"/>
      <c r="M10" s="52">
        <f>AVERAGE(K10,I10,G10)</f>
        <v>21.366666666666664</v>
      </c>
    </row>
    <row r="11" spans="2:13" ht="12.75">
      <c r="B11" s="10"/>
      <c r="C11" s="10"/>
      <c r="F11"/>
      <c r="G11"/>
      <c r="H11"/>
      <c r="I11"/>
      <c r="J11"/>
      <c r="K11"/>
      <c r="L11"/>
      <c r="M11"/>
    </row>
    <row r="12" spans="2:13" ht="12.75">
      <c r="B12" s="10" t="s">
        <v>148</v>
      </c>
      <c r="C12" s="10"/>
      <c r="D12" s="10" t="s">
        <v>54</v>
      </c>
      <c r="F12"/>
      <c r="G12">
        <v>18.58</v>
      </c>
      <c r="H12"/>
      <c r="I12">
        <v>18.49</v>
      </c>
      <c r="J12"/>
      <c r="K12">
        <v>17.68</v>
      </c>
      <c r="L12"/>
      <c r="M12"/>
    </row>
    <row r="13" spans="2:13" ht="12.75">
      <c r="B13" s="10" t="s">
        <v>148</v>
      </c>
      <c r="C13" s="10" t="s">
        <v>302</v>
      </c>
      <c r="D13" s="10" t="s">
        <v>15</v>
      </c>
      <c r="E13" s="10" t="s">
        <v>14</v>
      </c>
      <c r="F13"/>
      <c r="G13" s="6">
        <f>G12/46/60*386.7/G70*1000000*(21-7)/(21-G71)</f>
        <v>89.93028144220654</v>
      </c>
      <c r="H13" s="6"/>
      <c r="I13" s="6">
        <f>I12/46/60*386.7/I70*1000000*(21-7)/(21-I71)</f>
        <v>86.77721487384073</v>
      </c>
      <c r="J13" s="6"/>
      <c r="K13" s="6">
        <f>K12/46/60*386.7/K70*1000000*(21-7)/(21-K71)</f>
        <v>85.18118311930867</v>
      </c>
      <c r="L13"/>
      <c r="M13"/>
    </row>
    <row r="14" spans="2:13" ht="12.75">
      <c r="B14" s="10"/>
      <c r="C14" s="10"/>
      <c r="F14"/>
      <c r="G14"/>
      <c r="H14"/>
      <c r="I14"/>
      <c r="J14"/>
      <c r="K14"/>
      <c r="L14"/>
      <c r="M14"/>
    </row>
    <row r="15" spans="2:13" ht="12.75">
      <c r="B15" s="10" t="s">
        <v>51</v>
      </c>
      <c r="C15" s="10" t="s">
        <v>302</v>
      </c>
      <c r="D15" s="10" t="s">
        <v>15</v>
      </c>
      <c r="E15" s="10" t="s">
        <v>14</v>
      </c>
      <c r="F15"/>
      <c r="G15">
        <v>0.4</v>
      </c>
      <c r="H15"/>
      <c r="I15">
        <v>0.3</v>
      </c>
      <c r="J15"/>
      <c r="K15">
        <v>0.3</v>
      </c>
      <c r="L15"/>
      <c r="M15" s="52">
        <f>AVERAGE(G15,I15,K15)</f>
        <v>0.3333333333333333</v>
      </c>
    </row>
    <row r="16" spans="2:13" ht="12.75">
      <c r="B16" s="10" t="s">
        <v>52</v>
      </c>
      <c r="C16" s="10" t="s">
        <v>302</v>
      </c>
      <c r="D16" s="10" t="s">
        <v>15</v>
      </c>
      <c r="E16" s="10" t="s">
        <v>14</v>
      </c>
      <c r="F16"/>
      <c r="G16">
        <v>0.1</v>
      </c>
      <c r="H16"/>
      <c r="I16">
        <v>0.2</v>
      </c>
      <c r="J16"/>
      <c r="K16">
        <v>0.3</v>
      </c>
      <c r="L16"/>
      <c r="M16" s="52">
        <f>AVERAGE(G16,I16,K16)</f>
        <v>0.20000000000000004</v>
      </c>
    </row>
    <row r="17" spans="2:13" ht="12.75">
      <c r="B17" s="10" t="s">
        <v>113</v>
      </c>
      <c r="C17" s="10" t="s">
        <v>302</v>
      </c>
      <c r="D17" s="10" t="s">
        <v>15</v>
      </c>
      <c r="E17" s="10" t="s">
        <v>14</v>
      </c>
      <c r="F17"/>
      <c r="G17">
        <f>G16*2+G15</f>
        <v>0.6000000000000001</v>
      </c>
      <c r="H17"/>
      <c r="I17">
        <f>I16*2+I15</f>
        <v>0.7</v>
      </c>
      <c r="J17"/>
      <c r="K17">
        <f>K16*2+K15</f>
        <v>0.8999999999999999</v>
      </c>
      <c r="L17"/>
      <c r="M17" s="52">
        <f>AVERAGE(G17,I17,K17)</f>
        <v>0.7333333333333334</v>
      </c>
    </row>
    <row r="18" spans="2:13" ht="12.75">
      <c r="B18" s="10"/>
      <c r="C18" s="10"/>
      <c r="F18"/>
      <c r="G18"/>
      <c r="H18"/>
      <c r="I18"/>
      <c r="J18"/>
      <c r="K18"/>
      <c r="L18"/>
      <c r="M18"/>
    </row>
    <row r="19" spans="2:13" ht="12.75">
      <c r="B19" s="10" t="s">
        <v>103</v>
      </c>
      <c r="C19" s="10" t="s">
        <v>303</v>
      </c>
      <c r="D19" s="10" t="s">
        <v>63</v>
      </c>
      <c r="E19" s="10" t="s">
        <v>14</v>
      </c>
      <c r="F19" s="10" t="s">
        <v>161</v>
      </c>
      <c r="G19" s="52">
        <v>1.751</v>
      </c>
      <c r="H19" s="79" t="s">
        <v>161</v>
      </c>
      <c r="I19" s="52">
        <v>1.693</v>
      </c>
      <c r="J19" s="79" t="s">
        <v>161</v>
      </c>
      <c r="K19" s="52">
        <v>1.828</v>
      </c>
      <c r="L19" s="10">
        <v>100</v>
      </c>
      <c r="M19" s="52">
        <f aca="true" t="shared" si="0" ref="M19:M43">AVERAGE(K19,I19,G19)</f>
        <v>1.7573333333333334</v>
      </c>
    </row>
    <row r="20" spans="2:13" ht="12.75">
      <c r="B20" s="10" t="s">
        <v>149</v>
      </c>
      <c r="C20" s="10" t="s">
        <v>303</v>
      </c>
      <c r="D20" s="10" t="s">
        <v>63</v>
      </c>
      <c r="E20" s="10" t="s">
        <v>14</v>
      </c>
      <c r="F20" s="10" t="s">
        <v>161</v>
      </c>
      <c r="G20" s="52">
        <v>87.426</v>
      </c>
      <c r="H20" s="79" t="s">
        <v>161</v>
      </c>
      <c r="I20" s="52">
        <v>78.324</v>
      </c>
      <c r="J20" s="79" t="s">
        <v>161</v>
      </c>
      <c r="K20" s="52">
        <v>82.33</v>
      </c>
      <c r="L20" s="10">
        <v>100</v>
      </c>
      <c r="M20" s="52">
        <f t="shared" si="0"/>
        <v>82.69333333333333</v>
      </c>
    </row>
    <row r="21" spans="2:13" ht="12.75">
      <c r="B21" s="10" t="s">
        <v>96</v>
      </c>
      <c r="C21" s="10" t="s">
        <v>303</v>
      </c>
      <c r="D21" s="10" t="s">
        <v>63</v>
      </c>
      <c r="E21" s="10" t="s">
        <v>14</v>
      </c>
      <c r="F21" s="10" t="s">
        <v>161</v>
      </c>
      <c r="G21" s="52">
        <v>53.37</v>
      </c>
      <c r="H21" s="79" t="s">
        <v>161</v>
      </c>
      <c r="I21" s="52">
        <v>51.287</v>
      </c>
      <c r="J21" s="79" t="s">
        <v>161</v>
      </c>
      <c r="K21" s="52">
        <v>55.555</v>
      </c>
      <c r="L21" s="10">
        <v>100</v>
      </c>
      <c r="M21" s="52">
        <f t="shared" si="0"/>
        <v>53.403999999999996</v>
      </c>
    </row>
    <row r="22" spans="2:13" ht="12.75">
      <c r="B22" s="10" t="s">
        <v>97</v>
      </c>
      <c r="C22" s="10" t="s">
        <v>303</v>
      </c>
      <c r="D22" s="10" t="s">
        <v>63</v>
      </c>
      <c r="E22" s="10" t="s">
        <v>14</v>
      </c>
      <c r="F22" s="10" t="s">
        <v>161</v>
      </c>
      <c r="G22" s="52">
        <v>3.727</v>
      </c>
      <c r="H22" s="79" t="s">
        <v>161</v>
      </c>
      <c r="I22" s="52">
        <v>3.277</v>
      </c>
      <c r="J22" s="79" t="s">
        <v>161</v>
      </c>
      <c r="K22" s="52">
        <v>3.539</v>
      </c>
      <c r="L22" s="10">
        <v>100</v>
      </c>
      <c r="M22" s="52">
        <f t="shared" si="0"/>
        <v>3.5143333333333335</v>
      </c>
    </row>
    <row r="23" spans="2:13" ht="12.75">
      <c r="B23" s="10" t="s">
        <v>98</v>
      </c>
      <c r="C23" s="10" t="s">
        <v>303</v>
      </c>
      <c r="D23" s="10" t="s">
        <v>63</v>
      </c>
      <c r="E23" s="10" t="s">
        <v>14</v>
      </c>
      <c r="F23" s="10" t="s">
        <v>161</v>
      </c>
      <c r="G23" s="52">
        <v>0.904</v>
      </c>
      <c r="H23" s="79" t="s">
        <v>161</v>
      </c>
      <c r="I23" s="52">
        <v>0.874</v>
      </c>
      <c r="J23" s="79" t="s">
        <v>161</v>
      </c>
      <c r="K23" s="52">
        <v>0.944</v>
      </c>
      <c r="L23" s="10">
        <v>100</v>
      </c>
      <c r="M23" s="52">
        <f t="shared" si="0"/>
        <v>0.9073333333333333</v>
      </c>
    </row>
    <row r="24" spans="2:13" ht="12.75">
      <c r="B24" s="10" t="s">
        <v>150</v>
      </c>
      <c r="C24" s="10" t="s">
        <v>303</v>
      </c>
      <c r="D24" s="10" t="s">
        <v>63</v>
      </c>
      <c r="E24" s="10" t="s">
        <v>14</v>
      </c>
      <c r="F24" s="10" t="s">
        <v>161</v>
      </c>
      <c r="G24" s="52">
        <v>220.259</v>
      </c>
      <c r="H24" s="79" t="s">
        <v>161</v>
      </c>
      <c r="I24" s="52">
        <v>120.709</v>
      </c>
      <c r="J24" s="79" t="s">
        <v>161</v>
      </c>
      <c r="K24" s="52">
        <v>103.679</v>
      </c>
      <c r="L24" s="10">
        <v>100</v>
      </c>
      <c r="M24" s="52">
        <f t="shared" si="0"/>
        <v>148.21566666666666</v>
      </c>
    </row>
    <row r="25" spans="2:13" ht="12.75">
      <c r="B25" s="10" t="s">
        <v>99</v>
      </c>
      <c r="C25" s="10" t="s">
        <v>303</v>
      </c>
      <c r="D25" s="10" t="s">
        <v>63</v>
      </c>
      <c r="E25" s="10" t="s">
        <v>14</v>
      </c>
      <c r="F25" s="10" t="s">
        <v>161</v>
      </c>
      <c r="G25" s="52">
        <v>0.904</v>
      </c>
      <c r="H25" s="79" t="s">
        <v>161</v>
      </c>
      <c r="I25" s="52">
        <v>0.874</v>
      </c>
      <c r="J25" s="79" t="s">
        <v>161</v>
      </c>
      <c r="K25" s="52">
        <v>0.944</v>
      </c>
      <c r="L25" s="10">
        <v>100</v>
      </c>
      <c r="M25" s="52">
        <f t="shared" si="0"/>
        <v>0.9073333333333333</v>
      </c>
    </row>
    <row r="26" spans="2:13" ht="12.75">
      <c r="B26" s="10" t="s">
        <v>151</v>
      </c>
      <c r="C26" s="10" t="s">
        <v>303</v>
      </c>
      <c r="D26" s="10" t="s">
        <v>63</v>
      </c>
      <c r="E26" s="10" t="s">
        <v>14</v>
      </c>
      <c r="F26" s="10" t="s">
        <v>161</v>
      </c>
      <c r="G26" s="52">
        <v>8.867</v>
      </c>
      <c r="H26" s="79" t="s">
        <v>161</v>
      </c>
      <c r="I26" s="52">
        <v>8.575</v>
      </c>
      <c r="J26" s="79" t="s">
        <v>161</v>
      </c>
      <c r="K26" s="52">
        <v>9.259</v>
      </c>
      <c r="L26" s="10">
        <v>100</v>
      </c>
      <c r="M26" s="52">
        <f t="shared" si="0"/>
        <v>8.900333333333334</v>
      </c>
    </row>
    <row r="27" spans="2:13" ht="12.75">
      <c r="B27" s="10" t="s">
        <v>112</v>
      </c>
      <c r="C27" s="10" t="s">
        <v>303</v>
      </c>
      <c r="D27" s="10" t="s">
        <v>63</v>
      </c>
      <c r="E27" s="10" t="s">
        <v>14</v>
      </c>
      <c r="F27" s="10" t="s">
        <v>161</v>
      </c>
      <c r="G27" s="52">
        <v>1.525</v>
      </c>
      <c r="H27" s="79" t="s">
        <v>161</v>
      </c>
      <c r="I27" s="52">
        <v>1.256</v>
      </c>
      <c r="J27" s="79" t="s">
        <v>161</v>
      </c>
      <c r="K27" s="52">
        <v>1.474</v>
      </c>
      <c r="L27" s="10">
        <v>100</v>
      </c>
      <c r="M27" s="52">
        <f t="shared" si="0"/>
        <v>1.4183333333333332</v>
      </c>
    </row>
    <row r="28" spans="2:13" ht="12.75">
      <c r="B28" s="10" t="s">
        <v>110</v>
      </c>
      <c r="C28" s="10" t="s">
        <v>303</v>
      </c>
      <c r="D28" s="10" t="s">
        <v>63</v>
      </c>
      <c r="E28" s="10" t="s">
        <v>14</v>
      </c>
      <c r="F28" s="10" t="s">
        <v>161</v>
      </c>
      <c r="G28" s="52">
        <v>3.727</v>
      </c>
      <c r="H28" s="79" t="s">
        <v>161</v>
      </c>
      <c r="I28" s="52">
        <v>3.113</v>
      </c>
      <c r="J28" s="79" t="s">
        <v>161</v>
      </c>
      <c r="K28" s="52">
        <v>3.244</v>
      </c>
      <c r="L28" s="10">
        <v>100</v>
      </c>
      <c r="M28" s="52">
        <f t="shared" si="0"/>
        <v>3.361333333333333</v>
      </c>
    </row>
    <row r="29" spans="2:13" ht="12.75">
      <c r="B29" s="10" t="s">
        <v>152</v>
      </c>
      <c r="C29" s="10" t="s">
        <v>303</v>
      </c>
      <c r="D29" s="10" t="s">
        <v>63</v>
      </c>
      <c r="E29" s="10" t="s">
        <v>14</v>
      </c>
      <c r="F29"/>
      <c r="G29" s="52">
        <v>25.866</v>
      </c>
      <c r="H29" s="52"/>
      <c r="I29" s="52">
        <v>22.012</v>
      </c>
      <c r="J29" s="52"/>
      <c r="K29" s="52">
        <v>59.093</v>
      </c>
      <c r="L29"/>
      <c r="M29" s="52">
        <f t="shared" si="0"/>
        <v>35.657000000000004</v>
      </c>
    </row>
    <row r="30" spans="2:13" ht="12.75">
      <c r="B30" s="10" t="s">
        <v>153</v>
      </c>
      <c r="C30" s="10" t="s">
        <v>303</v>
      </c>
      <c r="D30" s="10" t="s">
        <v>63</v>
      </c>
      <c r="E30" s="10" t="s">
        <v>14</v>
      </c>
      <c r="F30" s="10" t="s">
        <v>161</v>
      </c>
      <c r="G30" s="52">
        <v>524.103</v>
      </c>
      <c r="H30" s="79" t="s">
        <v>161</v>
      </c>
      <c r="I30" s="52">
        <v>515.059</v>
      </c>
      <c r="J30" s="79" t="s">
        <v>161</v>
      </c>
      <c r="K30" s="52">
        <v>527.24</v>
      </c>
      <c r="L30" s="10">
        <v>100</v>
      </c>
      <c r="M30" s="52">
        <f t="shared" si="0"/>
        <v>522.134</v>
      </c>
    </row>
    <row r="31" spans="2:13" ht="12.75">
      <c r="B31" s="10" t="s">
        <v>154</v>
      </c>
      <c r="C31" s="10" t="s">
        <v>303</v>
      </c>
      <c r="D31" s="10" t="s">
        <v>63</v>
      </c>
      <c r="E31" s="10" t="s">
        <v>14</v>
      </c>
      <c r="F31" s="10" t="s">
        <v>161</v>
      </c>
      <c r="G31" s="52">
        <v>8.867</v>
      </c>
      <c r="H31" s="79" t="s">
        <v>161</v>
      </c>
      <c r="I31" s="52">
        <v>8.575</v>
      </c>
      <c r="J31" s="79" t="s">
        <v>161</v>
      </c>
      <c r="K31" s="52">
        <v>9.259</v>
      </c>
      <c r="L31" s="10">
        <v>100</v>
      </c>
      <c r="M31" s="52">
        <f t="shared" si="0"/>
        <v>8.900333333333334</v>
      </c>
    </row>
    <row r="32" spans="2:13" ht="12.75">
      <c r="B32" s="10" t="s">
        <v>155</v>
      </c>
      <c r="C32" s="10" t="s">
        <v>303</v>
      </c>
      <c r="D32" s="10" t="s">
        <v>63</v>
      </c>
      <c r="E32" s="10" t="s">
        <v>14</v>
      </c>
      <c r="F32" s="10" t="s">
        <v>161</v>
      </c>
      <c r="G32" s="52">
        <v>434.305</v>
      </c>
      <c r="H32" s="79" t="s">
        <v>161</v>
      </c>
      <c r="I32" s="52">
        <v>417.837</v>
      </c>
      <c r="J32" s="79" t="s">
        <v>161</v>
      </c>
      <c r="K32" s="52">
        <v>447.741</v>
      </c>
      <c r="L32" s="10">
        <v>100</v>
      </c>
      <c r="M32" s="52">
        <f t="shared" si="0"/>
        <v>433.2943333333333</v>
      </c>
    </row>
    <row r="33" spans="2:13" ht="12.75">
      <c r="B33" s="10" t="s">
        <v>156</v>
      </c>
      <c r="C33" s="10" t="s">
        <v>303</v>
      </c>
      <c r="D33" s="10" t="s">
        <v>63</v>
      </c>
      <c r="E33" s="10" t="s">
        <v>14</v>
      </c>
      <c r="F33"/>
      <c r="G33" s="52">
        <v>5.422</v>
      </c>
      <c r="H33" s="79" t="s">
        <v>161</v>
      </c>
      <c r="I33" s="52">
        <v>1.912</v>
      </c>
      <c r="J33" s="79" t="s">
        <v>161</v>
      </c>
      <c r="K33" s="52">
        <v>1.946</v>
      </c>
      <c r="L33"/>
      <c r="M33" s="52">
        <f t="shared" si="0"/>
        <v>3.0933333333333333</v>
      </c>
    </row>
    <row r="34" spans="2:13" ht="12.75">
      <c r="B34" s="10" t="s">
        <v>157</v>
      </c>
      <c r="C34" s="10" t="s">
        <v>303</v>
      </c>
      <c r="D34" s="10" t="s">
        <v>63</v>
      </c>
      <c r="E34" s="10" t="s">
        <v>14</v>
      </c>
      <c r="F34" s="10" t="s">
        <v>161</v>
      </c>
      <c r="G34" s="52">
        <v>4.179</v>
      </c>
      <c r="H34" s="79" t="s">
        <v>161</v>
      </c>
      <c r="I34" s="52">
        <v>3.823</v>
      </c>
      <c r="J34" s="79" t="s">
        <v>161</v>
      </c>
      <c r="K34" s="52">
        <v>4.659</v>
      </c>
      <c r="L34" s="10">
        <v>100</v>
      </c>
      <c r="M34" s="52">
        <f t="shared" si="0"/>
        <v>4.2203333333333335</v>
      </c>
    </row>
    <row r="35" spans="2:13" ht="12.75">
      <c r="B35" s="10" t="s">
        <v>158</v>
      </c>
      <c r="C35" s="10" t="s">
        <v>303</v>
      </c>
      <c r="D35" s="10" t="s">
        <v>63</v>
      </c>
      <c r="E35" s="10" t="s">
        <v>14</v>
      </c>
      <c r="F35" s="10" t="s">
        <v>161</v>
      </c>
      <c r="G35" s="52">
        <v>779.66</v>
      </c>
      <c r="H35" s="79" t="s">
        <v>161</v>
      </c>
      <c r="I35" s="52">
        <v>733.81</v>
      </c>
      <c r="J35" s="79" t="s">
        <v>161</v>
      </c>
      <c r="K35" s="52">
        <v>728.936</v>
      </c>
      <c r="L35" s="10">
        <v>100</v>
      </c>
      <c r="M35" s="52">
        <f t="shared" si="0"/>
        <v>747.4686666666666</v>
      </c>
    </row>
    <row r="36" spans="2:13" ht="12.75">
      <c r="B36" s="10" t="s">
        <v>101</v>
      </c>
      <c r="C36" s="10" t="s">
        <v>303</v>
      </c>
      <c r="D36" s="10" t="s">
        <v>63</v>
      </c>
      <c r="E36" s="10" t="s">
        <v>14</v>
      </c>
      <c r="F36" s="10" t="s">
        <v>161</v>
      </c>
      <c r="G36" s="52">
        <v>7.116</v>
      </c>
      <c r="H36" s="79" t="s">
        <v>161</v>
      </c>
      <c r="I36" s="52">
        <v>6.827</v>
      </c>
      <c r="J36" s="79" t="s">
        <v>161</v>
      </c>
      <c r="K36" s="52">
        <v>7.431</v>
      </c>
      <c r="L36" s="10">
        <v>100</v>
      </c>
      <c r="M36" s="52">
        <f t="shared" si="0"/>
        <v>7.124666666666666</v>
      </c>
    </row>
    <row r="37" spans="2:13" ht="12.75">
      <c r="B37" s="10" t="s">
        <v>94</v>
      </c>
      <c r="C37" s="10" t="s">
        <v>303</v>
      </c>
      <c r="D37" s="10" t="s">
        <v>63</v>
      </c>
      <c r="E37" s="10" t="s">
        <v>14</v>
      </c>
      <c r="F37" s="10" t="s">
        <v>161</v>
      </c>
      <c r="G37" s="52">
        <v>8.867</v>
      </c>
      <c r="H37" s="79" t="s">
        <v>161</v>
      </c>
      <c r="I37" s="52">
        <v>8.575</v>
      </c>
      <c r="J37" s="79" t="s">
        <v>161</v>
      </c>
      <c r="K37" s="52">
        <v>9.259</v>
      </c>
      <c r="L37" s="10">
        <v>100</v>
      </c>
      <c r="M37" s="52">
        <f t="shared" si="0"/>
        <v>8.900333333333334</v>
      </c>
    </row>
    <row r="38" spans="2:13" ht="12.75">
      <c r="B38" s="10" t="s">
        <v>95</v>
      </c>
      <c r="C38" s="10" t="s">
        <v>303</v>
      </c>
      <c r="D38" s="10" t="s">
        <v>63</v>
      </c>
      <c r="E38" s="10" t="s">
        <v>14</v>
      </c>
      <c r="F38" s="10" t="s">
        <v>161</v>
      </c>
      <c r="G38" s="52">
        <v>10.674</v>
      </c>
      <c r="H38" s="79" t="s">
        <v>161</v>
      </c>
      <c r="I38" s="52">
        <v>10.268</v>
      </c>
      <c r="J38" s="79" t="s">
        <v>161</v>
      </c>
      <c r="K38" s="52">
        <v>11.087</v>
      </c>
      <c r="L38" s="10">
        <v>100</v>
      </c>
      <c r="M38" s="52">
        <f t="shared" si="0"/>
        <v>10.676333333333332</v>
      </c>
    </row>
    <row r="39" spans="2:13" ht="12.75">
      <c r="B39" s="10" t="s">
        <v>102</v>
      </c>
      <c r="C39" s="10" t="s">
        <v>303</v>
      </c>
      <c r="D39" s="10" t="s">
        <v>63</v>
      </c>
      <c r="E39" s="10" t="s">
        <v>14</v>
      </c>
      <c r="F39" s="10" t="s">
        <v>161</v>
      </c>
      <c r="G39" s="52">
        <v>44.447</v>
      </c>
      <c r="H39" s="79" t="s">
        <v>161</v>
      </c>
      <c r="I39" s="52">
        <v>42.676</v>
      </c>
      <c r="J39" s="79" t="s">
        <v>161</v>
      </c>
      <c r="K39" s="52">
        <v>46.296</v>
      </c>
      <c r="L39" s="10">
        <v>100</v>
      </c>
      <c r="M39" s="52">
        <f t="shared" si="0"/>
        <v>44.473000000000006</v>
      </c>
    </row>
    <row r="40" spans="2:13" ht="12.75">
      <c r="B40" s="10" t="s">
        <v>159</v>
      </c>
      <c r="C40" s="10" t="s">
        <v>303</v>
      </c>
      <c r="D40" s="10" t="s">
        <v>63</v>
      </c>
      <c r="E40" s="10" t="s">
        <v>14</v>
      </c>
      <c r="F40" s="10" t="s">
        <v>161</v>
      </c>
      <c r="G40" s="52">
        <v>0.734</v>
      </c>
      <c r="H40" s="79" t="s">
        <v>161</v>
      </c>
      <c r="I40" s="52">
        <v>0.655</v>
      </c>
      <c r="J40" s="79" t="s">
        <v>161</v>
      </c>
      <c r="K40" s="52">
        <v>0.531</v>
      </c>
      <c r="L40" s="10">
        <v>100</v>
      </c>
      <c r="M40" s="52">
        <f t="shared" si="0"/>
        <v>0.64</v>
      </c>
    </row>
    <row r="41" spans="2:13" ht="12.75">
      <c r="B41" s="10" t="s">
        <v>104</v>
      </c>
      <c r="C41" s="10" t="s">
        <v>303</v>
      </c>
      <c r="D41" s="10" t="s">
        <v>63</v>
      </c>
      <c r="E41" s="10" t="s">
        <v>14</v>
      </c>
      <c r="F41" s="10" t="s">
        <v>161</v>
      </c>
      <c r="G41" s="52">
        <v>355.803</v>
      </c>
      <c r="H41" s="79" t="s">
        <v>161</v>
      </c>
      <c r="I41" s="52">
        <v>341.916</v>
      </c>
      <c r="J41" s="79" t="s">
        <v>161</v>
      </c>
      <c r="K41" s="52">
        <v>370.366</v>
      </c>
      <c r="L41" s="10">
        <v>100</v>
      </c>
      <c r="M41" s="52">
        <f t="shared" si="0"/>
        <v>356.02833333333336</v>
      </c>
    </row>
    <row r="42" spans="2:13" ht="12.75">
      <c r="B42" s="10" t="s">
        <v>160</v>
      </c>
      <c r="C42" s="10" t="s">
        <v>303</v>
      </c>
      <c r="D42" s="10" t="s">
        <v>63</v>
      </c>
      <c r="E42" s="10" t="s">
        <v>14</v>
      </c>
      <c r="F42" s="10" t="s">
        <v>161</v>
      </c>
      <c r="G42" s="52">
        <v>3.558</v>
      </c>
      <c r="H42" s="79" t="s">
        <v>161</v>
      </c>
      <c r="I42" s="52">
        <v>3.441</v>
      </c>
      <c r="J42" s="79" t="s">
        <v>161</v>
      </c>
      <c r="K42" s="52">
        <v>3.715</v>
      </c>
      <c r="L42" s="10">
        <v>100</v>
      </c>
      <c r="M42" s="52">
        <f t="shared" si="0"/>
        <v>3.571333333333333</v>
      </c>
    </row>
    <row r="43" spans="2:13" ht="12.75">
      <c r="B43" s="10" t="s">
        <v>115</v>
      </c>
      <c r="C43" s="10" t="s">
        <v>303</v>
      </c>
      <c r="D43" s="10" t="s">
        <v>63</v>
      </c>
      <c r="E43" s="10" t="s">
        <v>14</v>
      </c>
      <c r="F43"/>
      <c r="G43">
        <v>22.308</v>
      </c>
      <c r="H43"/>
      <c r="I43">
        <v>10.487</v>
      </c>
      <c r="J43"/>
      <c r="K43">
        <v>11.618</v>
      </c>
      <c r="L43" s="10"/>
      <c r="M43" s="52">
        <f t="shared" si="0"/>
        <v>14.804333333333332</v>
      </c>
    </row>
    <row r="44" spans="2:13" ht="12.75">
      <c r="B44" s="10" t="s">
        <v>100</v>
      </c>
      <c r="C44" s="10" t="s">
        <v>303</v>
      </c>
      <c r="D44" s="10" t="s">
        <v>63</v>
      </c>
      <c r="E44" s="10" t="s">
        <v>14</v>
      </c>
      <c r="G44">
        <v>132.607</v>
      </c>
      <c r="H44" s="10"/>
      <c r="I44">
        <v>90.013</v>
      </c>
      <c r="J44" s="10"/>
      <c r="K44">
        <v>349.311</v>
      </c>
      <c r="L44"/>
      <c r="M44" s="52">
        <f>AVERAGE(K44,I44,G44)</f>
        <v>190.64366666666663</v>
      </c>
    </row>
    <row r="45" spans="2:13" ht="12.75">
      <c r="B45" s="10"/>
      <c r="C45" s="10"/>
      <c r="F45"/>
      <c r="G45"/>
      <c r="H45"/>
      <c r="I45" s="21"/>
      <c r="J45"/>
      <c r="K45"/>
      <c r="L45"/>
      <c r="M45"/>
    </row>
    <row r="46" spans="2:13" ht="12.75">
      <c r="B46" s="10" t="s">
        <v>64</v>
      </c>
      <c r="C46" s="10" t="s">
        <v>303</v>
      </c>
      <c r="D46" s="10" t="s">
        <v>63</v>
      </c>
      <c r="E46" s="10" t="s">
        <v>14</v>
      </c>
      <c r="F46">
        <v>100</v>
      </c>
      <c r="G46" s="52">
        <f>(G37+G25)</f>
        <v>9.771</v>
      </c>
      <c r="H46">
        <v>100</v>
      </c>
      <c r="I46" s="52">
        <f>(I37+I25)</f>
        <v>9.449</v>
      </c>
      <c r="J46">
        <v>100</v>
      </c>
      <c r="K46" s="52">
        <f>(K37+K25)</f>
        <v>10.203</v>
      </c>
      <c r="L46">
        <v>100</v>
      </c>
      <c r="M46" s="52">
        <f>AVERAGE(K46,I46,G46)</f>
        <v>9.807666666666668</v>
      </c>
    </row>
    <row r="47" spans="2:13" ht="12.75">
      <c r="B47" s="10" t="s">
        <v>65</v>
      </c>
      <c r="C47" s="10" t="s">
        <v>303</v>
      </c>
      <c r="D47" s="10" t="s">
        <v>63</v>
      </c>
      <c r="E47" s="10" t="s">
        <v>14</v>
      </c>
      <c r="F47">
        <v>100</v>
      </c>
      <c r="G47" s="52">
        <f>G21+G23+G27</f>
        <v>55.799</v>
      </c>
      <c r="H47">
        <v>100</v>
      </c>
      <c r="I47" s="52">
        <f>I21+I23+I27</f>
        <v>53.417</v>
      </c>
      <c r="J47">
        <v>100</v>
      </c>
      <c r="K47" s="52">
        <f>K21+K23+K27</f>
        <v>57.973</v>
      </c>
      <c r="L47">
        <v>100</v>
      </c>
      <c r="M47" s="52">
        <f>AVERAGE(K47,I47,G47)</f>
        <v>55.72966666666667</v>
      </c>
    </row>
    <row r="48" spans="2:13" ht="12.75">
      <c r="B48" s="10"/>
      <c r="C48" s="10"/>
      <c r="F48"/>
      <c r="G48"/>
      <c r="H48"/>
      <c r="I48" s="21"/>
      <c r="J48"/>
      <c r="K48"/>
      <c r="L48"/>
      <c r="M48"/>
    </row>
    <row r="49" spans="2:13" ht="12.75">
      <c r="B49" s="64" t="s">
        <v>223</v>
      </c>
      <c r="C49" s="10"/>
      <c r="D49" s="10" t="s">
        <v>54</v>
      </c>
      <c r="F49"/>
      <c r="G49" s="51">
        <v>4.94E-05</v>
      </c>
      <c r="H49"/>
      <c r="I49" s="29">
        <v>0.000106</v>
      </c>
      <c r="J49"/>
      <c r="K49" s="51">
        <v>0.000105</v>
      </c>
      <c r="L49"/>
      <c r="M49"/>
    </row>
    <row r="52" spans="2:3" ht="12.75">
      <c r="B52" s="10" t="s">
        <v>83</v>
      </c>
      <c r="C52" s="10" t="s">
        <v>350</v>
      </c>
    </row>
    <row r="53" spans="2:11" ht="12.75">
      <c r="B53" s="10" t="s">
        <v>106</v>
      </c>
      <c r="C53" s="10"/>
      <c r="D53" s="10" t="s">
        <v>54</v>
      </c>
      <c r="G53" s="21">
        <v>1907.29</v>
      </c>
      <c r="I53" s="22">
        <v>1272.86</v>
      </c>
      <c r="K53" s="21">
        <v>1268.62</v>
      </c>
    </row>
    <row r="54" spans="2:11" ht="12.75">
      <c r="B54" s="10" t="s">
        <v>107</v>
      </c>
      <c r="C54" s="10" t="s">
        <v>305</v>
      </c>
      <c r="D54" s="10" t="s">
        <v>54</v>
      </c>
      <c r="F54" s="10" t="s">
        <v>161</v>
      </c>
      <c r="G54" s="29">
        <v>0.000757</v>
      </c>
      <c r="H54" s="10" t="s">
        <v>161</v>
      </c>
      <c r="I54" s="29">
        <v>0.000976</v>
      </c>
      <c r="J54" s="21" t="s">
        <v>161</v>
      </c>
      <c r="K54" s="29">
        <v>0.0014</v>
      </c>
    </row>
    <row r="55" spans="2:11" ht="12.75">
      <c r="B55" s="10" t="s">
        <v>53</v>
      </c>
      <c r="C55" s="10" t="s">
        <v>305</v>
      </c>
      <c r="D55" s="10" t="s">
        <v>17</v>
      </c>
      <c r="G55" s="21">
        <v>99.99996</v>
      </c>
      <c r="I55" s="22">
        <v>99.999923</v>
      </c>
      <c r="K55" s="21">
        <v>99.99989</v>
      </c>
    </row>
    <row r="58" spans="2:13" ht="12.75">
      <c r="B58" s="10" t="s">
        <v>83</v>
      </c>
      <c r="C58" s="10" t="s">
        <v>193</v>
      </c>
      <c r="F58"/>
      <c r="G58"/>
      <c r="H58"/>
      <c r="I58"/>
      <c r="J58"/>
      <c r="K58"/>
      <c r="L58"/>
      <c r="M58"/>
    </row>
    <row r="59" spans="2:13" ht="12.75">
      <c r="B59" s="10" t="s">
        <v>106</v>
      </c>
      <c r="C59" s="10"/>
      <c r="D59" s="10" t="s">
        <v>54</v>
      </c>
      <c r="F59"/>
      <c r="G59">
        <v>423.5</v>
      </c>
      <c r="H59"/>
      <c r="I59">
        <v>613.66</v>
      </c>
      <c r="J59"/>
      <c r="K59">
        <v>598.63</v>
      </c>
      <c r="L59"/>
      <c r="M59"/>
    </row>
    <row r="60" spans="2:13" ht="12.75">
      <c r="B60" s="10" t="s">
        <v>107</v>
      </c>
      <c r="C60" s="10" t="s">
        <v>305</v>
      </c>
      <c r="D60" s="10" t="s">
        <v>54</v>
      </c>
      <c r="F60" t="s">
        <v>161</v>
      </c>
      <c r="G60" s="51">
        <v>2.3E-05</v>
      </c>
      <c r="H60" t="s">
        <v>161</v>
      </c>
      <c r="I60" s="51">
        <v>2.09E-05</v>
      </c>
      <c r="J60" t="s">
        <v>161</v>
      </c>
      <c r="K60" s="51">
        <v>2.44E-05</v>
      </c>
      <c r="L60"/>
      <c r="M60"/>
    </row>
    <row r="61" spans="2:13" ht="12.75">
      <c r="B61" s="10" t="s">
        <v>53</v>
      </c>
      <c r="C61" s="10" t="s">
        <v>305</v>
      </c>
      <c r="D61" s="10" t="s">
        <v>17</v>
      </c>
      <c r="F61"/>
      <c r="G61">
        <v>99.999995</v>
      </c>
      <c r="H61"/>
      <c r="I61">
        <v>99.999995</v>
      </c>
      <c r="J61"/>
      <c r="K61">
        <v>99.999996</v>
      </c>
      <c r="L61"/>
      <c r="M61"/>
    </row>
    <row r="62" spans="2:13" ht="12.75">
      <c r="B62" s="10"/>
      <c r="C62" s="10"/>
      <c r="F62"/>
      <c r="G62"/>
      <c r="H62"/>
      <c r="I62"/>
      <c r="J62"/>
      <c r="K62"/>
      <c r="L62"/>
      <c r="M62"/>
    </row>
    <row r="63" spans="2:13" ht="12.75">
      <c r="B63" s="10" t="s">
        <v>83</v>
      </c>
      <c r="C63" s="10" t="s">
        <v>163</v>
      </c>
      <c r="F63"/>
      <c r="G63"/>
      <c r="H63"/>
      <c r="I63"/>
      <c r="J63"/>
      <c r="K63"/>
      <c r="L63"/>
      <c r="M63"/>
    </row>
    <row r="64" spans="2:13" ht="12.75">
      <c r="B64" s="10" t="s">
        <v>106</v>
      </c>
      <c r="C64" s="10"/>
      <c r="D64" s="10" t="s">
        <v>54</v>
      </c>
      <c r="F64"/>
      <c r="G64">
        <v>1265.9</v>
      </c>
      <c r="H64"/>
      <c r="I64">
        <v>1332.08</v>
      </c>
      <c r="J64"/>
      <c r="K64">
        <v>1269.35</v>
      </c>
      <c r="L64"/>
      <c r="M64"/>
    </row>
    <row r="65" spans="2:13" ht="12.75">
      <c r="B65" s="10" t="s">
        <v>107</v>
      </c>
      <c r="C65" s="10" t="s">
        <v>305</v>
      </c>
      <c r="D65" s="10" t="s">
        <v>54</v>
      </c>
      <c r="F65" t="s">
        <v>161</v>
      </c>
      <c r="G65" s="51">
        <v>8.45E-06</v>
      </c>
      <c r="H65" t="s">
        <v>161</v>
      </c>
      <c r="I65" s="51">
        <v>7.91E-06</v>
      </c>
      <c r="J65" t="s">
        <v>161</v>
      </c>
      <c r="K65" s="51">
        <v>6.34E-06</v>
      </c>
      <c r="L65"/>
      <c r="M65"/>
    </row>
    <row r="66" spans="2:13" ht="12.75">
      <c r="B66" s="10" t="s">
        <v>53</v>
      </c>
      <c r="C66" s="10" t="s">
        <v>305</v>
      </c>
      <c r="D66" s="10" t="s">
        <v>17</v>
      </c>
      <c r="F66"/>
      <c r="G66">
        <v>99.999999</v>
      </c>
      <c r="H66"/>
      <c r="I66">
        <v>99.999999</v>
      </c>
      <c r="J66"/>
      <c r="K66">
        <v>99.999999</v>
      </c>
      <c r="L66"/>
      <c r="M66"/>
    </row>
    <row r="67" spans="2:13" ht="12.75">
      <c r="B67" s="10"/>
      <c r="C67" s="10"/>
      <c r="F67"/>
      <c r="G67"/>
      <c r="H67"/>
      <c r="I67"/>
      <c r="J67"/>
      <c r="K67"/>
      <c r="L67"/>
      <c r="M67"/>
    </row>
    <row r="68" spans="2:13" ht="12.75">
      <c r="B68" s="10"/>
      <c r="C68" s="10"/>
      <c r="F68"/>
      <c r="G68"/>
      <c r="H68"/>
      <c r="I68"/>
      <c r="J68"/>
      <c r="K68"/>
      <c r="L68"/>
      <c r="M68"/>
    </row>
    <row r="69" spans="2:13" ht="12.75">
      <c r="B69" s="10" t="s">
        <v>114</v>
      </c>
      <c r="C69" s="10" t="s">
        <v>351</v>
      </c>
      <c r="E69" s="10" t="s">
        <v>302</v>
      </c>
      <c r="F69"/>
      <c r="G69"/>
      <c r="H69"/>
      <c r="I69"/>
      <c r="J69"/>
      <c r="K69"/>
      <c r="L69"/>
      <c r="M69"/>
    </row>
    <row r="70" spans="2:13" ht="12.75">
      <c r="B70" s="10" t="s">
        <v>93</v>
      </c>
      <c r="C70" s="10"/>
      <c r="D70" s="10" t="s">
        <v>16</v>
      </c>
      <c r="F70"/>
      <c r="G70">
        <v>34344</v>
      </c>
      <c r="H70"/>
      <c r="I70">
        <v>33436</v>
      </c>
      <c r="J70"/>
      <c r="K70">
        <v>33647</v>
      </c>
      <c r="L70"/>
      <c r="M70">
        <f>AVERAGE(K70,I70,G70)</f>
        <v>33809</v>
      </c>
    </row>
    <row r="71" spans="2:13" ht="12.75">
      <c r="B71" s="10" t="s">
        <v>108</v>
      </c>
      <c r="C71" s="10"/>
      <c r="D71" s="10" t="s">
        <v>17</v>
      </c>
      <c r="F71"/>
      <c r="G71">
        <v>9.2</v>
      </c>
      <c r="H71"/>
      <c r="I71">
        <v>8.5</v>
      </c>
      <c r="J71"/>
      <c r="K71">
        <v>8.9</v>
      </c>
      <c r="L71"/>
      <c r="M71" s="6">
        <f>AVERAGE(K71,I71,G71)</f>
        <v>8.866666666666665</v>
      </c>
    </row>
    <row r="72" spans="2:13" ht="12.75">
      <c r="B72" s="10" t="s">
        <v>109</v>
      </c>
      <c r="C72" s="10"/>
      <c r="D72" s="10" t="s">
        <v>17</v>
      </c>
      <c r="F72"/>
      <c r="G72">
        <v>31.93</v>
      </c>
      <c r="H72"/>
      <c r="I72">
        <v>34.96</v>
      </c>
      <c r="J72"/>
      <c r="K72">
        <v>34.38</v>
      </c>
      <c r="L72"/>
      <c r="M72" s="6">
        <f>AVERAGE(K72,I72,G72)</f>
        <v>33.75666666666667</v>
      </c>
    </row>
    <row r="73" spans="2:13" ht="12.75">
      <c r="B73" s="10" t="s">
        <v>92</v>
      </c>
      <c r="C73" s="10"/>
      <c r="D73" s="10" t="s">
        <v>18</v>
      </c>
      <c r="F73"/>
      <c r="G73">
        <v>155</v>
      </c>
      <c r="H73"/>
      <c r="I73">
        <v>161</v>
      </c>
      <c r="J73"/>
      <c r="K73">
        <v>159</v>
      </c>
      <c r="L73"/>
      <c r="M73" s="6">
        <f>AVERAGE(K73,I73,G73)</f>
        <v>158.33333333333334</v>
      </c>
    </row>
    <row r="74" spans="2:13" ht="12.75">
      <c r="B74" s="10"/>
      <c r="C74" s="10"/>
      <c r="F74"/>
      <c r="G74"/>
      <c r="H74"/>
      <c r="I74"/>
      <c r="J74"/>
      <c r="K74"/>
      <c r="L74"/>
      <c r="M74" s="52"/>
    </row>
    <row r="75" spans="2:13" ht="12.75">
      <c r="B75" s="10" t="s">
        <v>114</v>
      </c>
      <c r="C75" s="10" t="s">
        <v>182</v>
      </c>
      <c r="E75" s="10" t="s">
        <v>303</v>
      </c>
      <c r="F75"/>
      <c r="G75"/>
      <c r="H75"/>
      <c r="I75"/>
      <c r="J75"/>
      <c r="K75"/>
      <c r="L75"/>
      <c r="M75" s="52"/>
    </row>
    <row r="76" spans="2:13" ht="12.75">
      <c r="B76" s="10" t="s">
        <v>93</v>
      </c>
      <c r="C76" s="10"/>
      <c r="D76" s="10" t="s">
        <v>16</v>
      </c>
      <c r="F76"/>
      <c r="G76">
        <v>34156</v>
      </c>
      <c r="H76"/>
      <c r="I76">
        <v>33030</v>
      </c>
      <c r="J76"/>
      <c r="K76">
        <v>32554</v>
      </c>
      <c r="L76"/>
      <c r="M76" s="54">
        <f>AVERAGE(K76,I76,G76)</f>
        <v>33246.666666666664</v>
      </c>
    </row>
    <row r="77" spans="2:13" ht="12.75">
      <c r="B77" s="10" t="s">
        <v>108</v>
      </c>
      <c r="C77" s="10"/>
      <c r="D77" s="10" t="s">
        <v>17</v>
      </c>
      <c r="F77"/>
      <c r="G77">
        <v>9.2</v>
      </c>
      <c r="H77"/>
      <c r="I77">
        <v>8.5</v>
      </c>
      <c r="J77"/>
      <c r="K77">
        <v>8.9</v>
      </c>
      <c r="L77"/>
      <c r="M77" s="6">
        <f>AVERAGE(K77,I77,G77)</f>
        <v>8.866666666666665</v>
      </c>
    </row>
    <row r="78" spans="2:13" ht="12.75">
      <c r="B78" s="10" t="s">
        <v>109</v>
      </c>
      <c r="C78" s="10"/>
      <c r="D78" s="10" t="s">
        <v>17</v>
      </c>
      <c r="F78"/>
      <c r="G78">
        <v>31.58</v>
      </c>
      <c r="H78"/>
      <c r="I78">
        <v>35.05</v>
      </c>
      <c r="J78"/>
      <c r="K78">
        <v>34.37</v>
      </c>
      <c r="L78"/>
      <c r="M78" s="6">
        <f>AVERAGE(K78,I78,G78)</f>
        <v>33.666666666666664</v>
      </c>
    </row>
    <row r="79" spans="2:13" ht="12.75">
      <c r="B79" s="10" t="s">
        <v>92</v>
      </c>
      <c r="C79" s="10"/>
      <c r="D79" s="10" t="s">
        <v>18</v>
      </c>
      <c r="F79"/>
      <c r="G79">
        <v>155</v>
      </c>
      <c r="H79"/>
      <c r="I79">
        <v>160</v>
      </c>
      <c r="J79"/>
      <c r="K79">
        <v>160</v>
      </c>
      <c r="L79"/>
      <c r="M79" s="6">
        <f>AVERAGE(K79,I79,G79)</f>
        <v>158.33333333333334</v>
      </c>
    </row>
    <row r="80" spans="2:13" ht="12.75">
      <c r="B80" s="10"/>
      <c r="C80" s="10"/>
      <c r="F80"/>
      <c r="G80"/>
      <c r="H80"/>
      <c r="I80"/>
      <c r="J80"/>
      <c r="K80"/>
      <c r="L80"/>
      <c r="M80"/>
    </row>
    <row r="81" spans="2:13" ht="13.5" customHeight="1">
      <c r="B81" s="10" t="s">
        <v>114</v>
      </c>
      <c r="C81" s="10" t="s">
        <v>162</v>
      </c>
      <c r="D81" s="10" t="s">
        <v>304</v>
      </c>
      <c r="F81"/>
      <c r="G81"/>
      <c r="H81"/>
      <c r="I81"/>
      <c r="J81"/>
      <c r="K81"/>
      <c r="L81"/>
      <c r="M81"/>
    </row>
    <row r="82" spans="2:13" ht="12.75">
      <c r="B82" s="10" t="s">
        <v>93</v>
      </c>
      <c r="C82" s="10"/>
      <c r="D82" s="10" t="s">
        <v>16</v>
      </c>
      <c r="G82" s="27">
        <v>34441</v>
      </c>
      <c r="H82" s="27"/>
      <c r="I82" s="28">
        <v>33035</v>
      </c>
      <c r="J82" s="27"/>
      <c r="K82" s="27">
        <v>33463</v>
      </c>
      <c r="M82" s="54">
        <f>AVERAGE(K82,I82,G82)</f>
        <v>33646.333333333336</v>
      </c>
    </row>
    <row r="83" spans="2:13" ht="12.75">
      <c r="B83" s="10" t="s">
        <v>108</v>
      </c>
      <c r="C83" s="10"/>
      <c r="D83" s="10" t="s">
        <v>17</v>
      </c>
      <c r="G83" s="27">
        <v>9.2</v>
      </c>
      <c r="H83" s="27"/>
      <c r="I83" s="28">
        <v>8.5</v>
      </c>
      <c r="J83" s="27"/>
      <c r="K83" s="27">
        <v>8.9</v>
      </c>
      <c r="M83" s="52">
        <f>AVERAGE(K83,I83,G83)</f>
        <v>8.866666666666665</v>
      </c>
    </row>
    <row r="84" spans="2:13" ht="12.75">
      <c r="B84" s="10" t="s">
        <v>109</v>
      </c>
      <c r="C84" s="10"/>
      <c r="D84" s="10" t="s">
        <v>17</v>
      </c>
      <c r="G84" s="21">
        <v>31.96</v>
      </c>
      <c r="I84" s="22">
        <v>34.35</v>
      </c>
      <c r="K84" s="21">
        <v>34.56</v>
      </c>
      <c r="M84" s="52">
        <f>AVERAGE(K84,I84,G84)</f>
        <v>33.623333333333335</v>
      </c>
    </row>
    <row r="85" spans="2:13" ht="12.75">
      <c r="B85" s="10" t="s">
        <v>92</v>
      </c>
      <c r="C85" s="10"/>
      <c r="D85" s="10" t="s">
        <v>18</v>
      </c>
      <c r="G85" s="27">
        <v>153</v>
      </c>
      <c r="H85" s="27"/>
      <c r="I85" s="28">
        <v>158</v>
      </c>
      <c r="J85" s="27"/>
      <c r="K85" s="27">
        <v>156</v>
      </c>
      <c r="M85" s="52">
        <f>AVERAGE(K85,I85,G85)</f>
        <v>155.66666666666666</v>
      </c>
    </row>
    <row r="86" spans="2:13" ht="12.75">
      <c r="B86" s="10"/>
      <c r="C86" s="10"/>
      <c r="D86" s="16"/>
      <c r="E86" s="16"/>
      <c r="F86" s="16"/>
      <c r="G86" s="16"/>
      <c r="H86" s="16"/>
      <c r="I86" s="26"/>
      <c r="J86" s="16"/>
      <c r="K86" s="16"/>
      <c r="M86" s="53"/>
    </row>
    <row r="87" spans="2:13" ht="12.75">
      <c r="B87" s="10" t="s">
        <v>114</v>
      </c>
      <c r="C87" s="10" t="s">
        <v>53</v>
      </c>
      <c r="D87" s="10" t="s">
        <v>305</v>
      </c>
      <c r="G87" s="27"/>
      <c r="H87" s="27"/>
      <c r="I87" s="28"/>
      <c r="J87" s="27"/>
      <c r="K87" s="27"/>
      <c r="M87" s="53"/>
    </row>
    <row r="88" spans="2:13" ht="12.75">
      <c r="B88" s="10" t="s">
        <v>93</v>
      </c>
      <c r="C88" s="10"/>
      <c r="D88" s="10" t="s">
        <v>16</v>
      </c>
      <c r="G88" s="27">
        <v>33063</v>
      </c>
      <c r="H88" s="27"/>
      <c r="I88" s="28">
        <v>33865</v>
      </c>
      <c r="J88" s="27"/>
      <c r="K88" s="27">
        <v>33746</v>
      </c>
      <c r="M88" s="54">
        <f>AVERAGE(K88,I88,G88)</f>
        <v>33558</v>
      </c>
    </row>
    <row r="89" spans="2:13" ht="12.75">
      <c r="B89" s="10" t="s">
        <v>108</v>
      </c>
      <c r="C89" s="10"/>
      <c r="D89" s="10" t="s">
        <v>17</v>
      </c>
      <c r="G89" s="27">
        <v>8.4</v>
      </c>
      <c r="H89" s="27"/>
      <c r="I89" s="28">
        <v>8.6</v>
      </c>
      <c r="J89" s="27"/>
      <c r="K89" s="27">
        <v>8.8</v>
      </c>
      <c r="M89" s="6">
        <f>AVERAGE(K89,I89,G89)</f>
        <v>8.6</v>
      </c>
    </row>
    <row r="90" spans="2:13" ht="12.75">
      <c r="B90" s="10" t="s">
        <v>109</v>
      </c>
      <c r="C90" s="10"/>
      <c r="D90" s="10" t="s">
        <v>17</v>
      </c>
      <c r="G90" s="27">
        <v>33.78</v>
      </c>
      <c r="H90" s="27"/>
      <c r="I90" s="28">
        <v>33.46</v>
      </c>
      <c r="J90" s="27"/>
      <c r="K90" s="27">
        <v>34.09</v>
      </c>
      <c r="M90" s="6">
        <f>AVERAGE(K90,I90,G90)</f>
        <v>33.77666666666667</v>
      </c>
    </row>
    <row r="91" spans="2:13" ht="12.75">
      <c r="B91" s="10" t="s">
        <v>92</v>
      </c>
      <c r="C91" s="10"/>
      <c r="D91" s="10" t="s">
        <v>18</v>
      </c>
      <c r="G91" s="27">
        <v>156</v>
      </c>
      <c r="H91" s="27"/>
      <c r="I91" s="28">
        <v>159</v>
      </c>
      <c r="J91" s="27"/>
      <c r="K91" s="27">
        <v>158</v>
      </c>
      <c r="M91" s="6">
        <f>AVERAGE(K91,I91,G91)</f>
        <v>157.66666666666666</v>
      </c>
    </row>
    <row r="92" spans="2:11" ht="12.75">
      <c r="B92" s="10"/>
      <c r="C92" s="10"/>
      <c r="G92" s="27"/>
      <c r="H92" s="27"/>
      <c r="I92" s="28"/>
      <c r="J92" s="27"/>
      <c r="K92" s="27"/>
    </row>
    <row r="93" spans="2:11" ht="12.75">
      <c r="B93" s="10" t="s">
        <v>114</v>
      </c>
      <c r="C93" s="10" t="s">
        <v>147</v>
      </c>
      <c r="D93" s="10" t="s">
        <v>306</v>
      </c>
      <c r="G93" s="27"/>
      <c r="H93" s="27"/>
      <c r="I93" s="28"/>
      <c r="J93" s="27"/>
      <c r="K93" s="27"/>
    </row>
    <row r="94" spans="2:13" ht="12.75">
      <c r="B94" s="10" t="s">
        <v>93</v>
      </c>
      <c r="C94" s="10"/>
      <c r="D94" s="10" t="s">
        <v>16</v>
      </c>
      <c r="G94" s="27">
        <v>34241</v>
      </c>
      <c r="H94" s="27"/>
      <c r="I94" s="28">
        <v>33179</v>
      </c>
      <c r="J94" s="27"/>
      <c r="K94" s="27">
        <v>33841</v>
      </c>
      <c r="M94">
        <f>AVERAGE(K94,I94,G94)</f>
        <v>33753.666666666664</v>
      </c>
    </row>
    <row r="95" spans="2:13" ht="12.75">
      <c r="B95" s="10" t="s">
        <v>108</v>
      </c>
      <c r="C95" s="10"/>
      <c r="D95" s="10" t="s">
        <v>17</v>
      </c>
      <c r="G95" s="27">
        <v>8.2</v>
      </c>
      <c r="H95" s="27"/>
      <c r="I95" s="28">
        <v>8.4</v>
      </c>
      <c r="J95" s="11"/>
      <c r="K95" s="27">
        <v>8.6</v>
      </c>
      <c r="M95">
        <f>AVERAGE(K95,I95,G95)</f>
        <v>8.4</v>
      </c>
    </row>
    <row r="96" spans="2:13" ht="12.75">
      <c r="B96" s="10" t="s">
        <v>109</v>
      </c>
      <c r="C96" s="10"/>
      <c r="D96" s="10" t="s">
        <v>17</v>
      </c>
      <c r="G96" s="27">
        <v>32.21</v>
      </c>
      <c r="H96" s="27"/>
      <c r="I96" s="28">
        <v>34.37</v>
      </c>
      <c r="J96" s="27"/>
      <c r="K96" s="27">
        <v>33.86</v>
      </c>
      <c r="M96">
        <f>AVERAGE(K96,I96,G96)</f>
        <v>33.48</v>
      </c>
    </row>
    <row r="97" spans="2:13" ht="12.75">
      <c r="B97" s="10" t="s">
        <v>92</v>
      </c>
      <c r="C97" s="10"/>
      <c r="D97" s="10" t="s">
        <v>18</v>
      </c>
      <c r="G97" s="27"/>
      <c r="H97" s="27"/>
      <c r="I97" s="28"/>
      <c r="J97" s="27"/>
      <c r="K97" s="27"/>
      <c r="M97"/>
    </row>
    <row r="98" spans="2:11" ht="12.75">
      <c r="B98" s="10"/>
      <c r="C98" s="10"/>
      <c r="G98" s="27"/>
      <c r="H98" s="27"/>
      <c r="I98" s="28"/>
      <c r="J98" s="27"/>
      <c r="K98" s="27"/>
    </row>
    <row r="99" spans="2:4" ht="12.75">
      <c r="B99" s="10" t="s">
        <v>114</v>
      </c>
      <c r="C99" s="10" t="s">
        <v>183</v>
      </c>
      <c r="D99" s="10" t="s">
        <v>307</v>
      </c>
    </row>
    <row r="100" spans="2:13" ht="12.75">
      <c r="B100" s="10" t="s">
        <v>93</v>
      </c>
      <c r="C100" s="10"/>
      <c r="D100" s="10" t="s">
        <v>16</v>
      </c>
      <c r="G100" s="27">
        <v>67665</v>
      </c>
      <c r="H100" s="27"/>
      <c r="I100" s="28">
        <v>69001</v>
      </c>
      <c r="J100" s="27"/>
      <c r="K100" s="27">
        <v>70347</v>
      </c>
      <c r="M100" s="54">
        <f>AVERAGE(K100,I100,G100)</f>
        <v>69004.33333333333</v>
      </c>
    </row>
    <row r="101" spans="2:13" ht="12.75">
      <c r="B101" s="10" t="s">
        <v>108</v>
      </c>
      <c r="C101" s="10"/>
      <c r="D101" s="10" t="s">
        <v>17</v>
      </c>
      <c r="G101" s="27">
        <v>8.2</v>
      </c>
      <c r="H101" s="27"/>
      <c r="I101" s="28">
        <v>8.4</v>
      </c>
      <c r="J101" s="11"/>
      <c r="K101" s="27">
        <v>8.6</v>
      </c>
      <c r="M101" s="6">
        <f>AVERAGE(K101,I101,G101)</f>
        <v>8.4</v>
      </c>
    </row>
    <row r="102" spans="2:13" ht="12.75">
      <c r="B102" s="10" t="s">
        <v>109</v>
      </c>
      <c r="C102" s="10"/>
      <c r="D102" s="10" t="s">
        <v>17</v>
      </c>
      <c r="G102" s="27">
        <v>33.63</v>
      </c>
      <c r="H102" s="27"/>
      <c r="I102" s="28">
        <v>33.89</v>
      </c>
      <c r="J102" s="27"/>
      <c r="K102" s="27">
        <v>34.19</v>
      </c>
      <c r="M102" s="6">
        <f>AVERAGE(K102,I102,G102)</f>
        <v>33.903333333333336</v>
      </c>
    </row>
    <row r="103" spans="2:13" ht="12.75">
      <c r="B103" s="10" t="s">
        <v>92</v>
      </c>
      <c r="C103" s="10"/>
      <c r="D103" s="10" t="s">
        <v>18</v>
      </c>
      <c r="G103" s="27">
        <v>156</v>
      </c>
      <c r="H103" s="27"/>
      <c r="I103" s="28">
        <v>157</v>
      </c>
      <c r="J103" s="27"/>
      <c r="K103" s="27">
        <v>159</v>
      </c>
      <c r="M103" s="6">
        <f>AVERAGE(K103,I103,G103)</f>
        <v>157.33333333333334</v>
      </c>
    </row>
    <row r="104" spans="2:11" ht="12.75">
      <c r="B104" s="10"/>
      <c r="C104" s="10"/>
      <c r="G104" s="27"/>
      <c r="H104" s="27"/>
      <c r="I104" s="28"/>
      <c r="J104" s="27"/>
      <c r="K104" s="27"/>
    </row>
    <row r="105" spans="2:13" ht="12.75">
      <c r="B105" s="64" t="s">
        <v>223</v>
      </c>
      <c r="C105" s="10" t="s">
        <v>304</v>
      </c>
      <c r="D105" s="10" t="s">
        <v>63</v>
      </c>
      <c r="E105" s="10" t="s">
        <v>14</v>
      </c>
      <c r="F105"/>
      <c r="G105" s="52">
        <f>G49*454/60/0.0283/G82*(21-7)/(21-G83)*1000000</f>
        <v>0.45500418528948305</v>
      </c>
      <c r="H105" s="52"/>
      <c r="I105" s="52">
        <f>I49*454/60/0.0283/I82*(21-7)/(21-I83)*1000000</f>
        <v>0.9608768798770194</v>
      </c>
      <c r="J105" s="52"/>
      <c r="K105" s="52">
        <f>K49*454/60/0.0283/K82*(21-7)/(21-K83)*1000000</f>
        <v>0.9707005103649708</v>
      </c>
      <c r="L105"/>
      <c r="M105"/>
    </row>
    <row r="107" spans="2:3" ht="12.75">
      <c r="B107" s="20"/>
      <c r="C107" s="20"/>
    </row>
    <row r="108" spans="2:3" ht="12.75">
      <c r="B108" s="10"/>
      <c r="C108" s="10"/>
    </row>
    <row r="109" spans="2:3" ht="12.75">
      <c r="B109" s="25"/>
      <c r="C109" s="25"/>
    </row>
    <row r="110" spans="2:3" ht="12.75">
      <c r="B110" s="10"/>
      <c r="C110" s="10"/>
    </row>
    <row r="111" spans="2:9" ht="12.75">
      <c r="B111" s="10"/>
      <c r="C111" s="10"/>
      <c r="G111" s="27"/>
      <c r="I111" s="28"/>
    </row>
    <row r="112" spans="2:9" ht="12.75">
      <c r="B112" s="10"/>
      <c r="C112" s="10"/>
      <c r="G112" s="27"/>
      <c r="I112" s="28"/>
    </row>
    <row r="113" spans="7:9" ht="12.75">
      <c r="G113" s="27"/>
      <c r="I113" s="28"/>
    </row>
    <row r="114" spans="2:11" ht="12.75">
      <c r="B114" s="10"/>
      <c r="C114" s="10"/>
      <c r="G114" s="27"/>
      <c r="H114" s="23"/>
      <c r="I114" s="28"/>
      <c r="J114" s="23"/>
      <c r="K114" s="27"/>
    </row>
    <row r="115" spans="7:9" ht="12.75">
      <c r="G115" s="27"/>
      <c r="I115" s="28"/>
    </row>
    <row r="116" spans="2:9" ht="12.75">
      <c r="B116" s="10"/>
      <c r="C116" s="10"/>
      <c r="G116" s="27"/>
      <c r="I116" s="28"/>
    </row>
    <row r="117" spans="2:9" ht="12.75">
      <c r="B117" s="10"/>
      <c r="C117" s="10"/>
      <c r="G117" s="27"/>
      <c r="I117" s="28"/>
    </row>
    <row r="118" spans="2:9" ht="12.75">
      <c r="B118" s="10"/>
      <c r="C118" s="10"/>
      <c r="G118" s="27"/>
      <c r="I118" s="28"/>
    </row>
    <row r="119" spans="2:9" ht="12.75">
      <c r="B119" s="10"/>
      <c r="C119" s="10"/>
      <c r="G119" s="27"/>
      <c r="I119" s="28"/>
    </row>
    <row r="120" spans="7:9" ht="12.75">
      <c r="G120" s="27"/>
      <c r="I120" s="28"/>
    </row>
    <row r="121" spans="2:11" ht="12.75">
      <c r="B121" s="20"/>
      <c r="C121" s="20"/>
      <c r="G121" s="23"/>
      <c r="H121" s="23"/>
      <c r="I121" s="24"/>
      <c r="J121" s="23"/>
      <c r="K121" s="23"/>
    </row>
    <row r="124" spans="7:11" ht="12.75">
      <c r="G124" s="29"/>
      <c r="K124" s="29"/>
    </row>
    <row r="125" spans="7:11" ht="12.75">
      <c r="G125" s="29"/>
      <c r="K125" s="29"/>
    </row>
    <row r="126" spans="7:11" ht="12.75">
      <c r="G126" s="29"/>
      <c r="K126" s="29"/>
    </row>
    <row r="127" spans="7:11" ht="12.75">
      <c r="G127" s="29"/>
      <c r="K127" s="29"/>
    </row>
    <row r="128" spans="7:11" ht="12.75">
      <c r="G128" s="29"/>
      <c r="K128" s="29"/>
    </row>
    <row r="129" spans="7:11" ht="12.75">
      <c r="G129" s="29"/>
      <c r="K129" s="29"/>
    </row>
    <row r="130" spans="7:11" ht="12.75">
      <c r="G130" s="29"/>
      <c r="K130" s="29"/>
    </row>
    <row r="131" spans="7:11" ht="12.75">
      <c r="G131" s="29"/>
      <c r="K131" s="29"/>
    </row>
    <row r="132" spans="7:11" ht="12.75">
      <c r="G132" s="29"/>
      <c r="K132" s="29"/>
    </row>
    <row r="133" spans="7:11" ht="12.75">
      <c r="G133" s="29"/>
      <c r="K133" s="29"/>
    </row>
    <row r="134" spans="7:11" ht="12.75">
      <c r="G134" s="29"/>
      <c r="K134" s="29"/>
    </row>
    <row r="135" spans="7:11" ht="12.75">
      <c r="G135" s="29"/>
      <c r="K135" s="29"/>
    </row>
    <row r="137" spans="7:11" ht="12.75">
      <c r="G137" s="29"/>
      <c r="K137" s="2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X137"/>
  <sheetViews>
    <sheetView workbookViewId="0" topLeftCell="B1">
      <selection activeCell="C2" sqref="C2"/>
    </sheetView>
  </sheetViews>
  <sheetFormatPr defaultColWidth="9.140625" defaultRowHeight="12.75"/>
  <cols>
    <col min="1" max="1" width="7.00390625" style="0" hidden="1" customWidth="1"/>
    <col min="2" max="2" width="19.57421875" style="0" customWidth="1"/>
    <col min="3" max="3" width="5.8515625" style="0" customWidth="1"/>
    <col min="5" max="5" width="2.7109375" style="0" customWidth="1"/>
    <col min="6" max="6" width="3.57421875" style="0" customWidth="1"/>
    <col min="8" max="8" width="3.57421875" style="0" customWidth="1"/>
    <col min="9" max="9" width="9.57421875" style="0" bestFit="1" customWidth="1"/>
    <col min="10" max="10" width="3.7109375" style="0" customWidth="1"/>
    <col min="12" max="12" width="2.140625" style="0" customWidth="1"/>
  </cols>
  <sheetData>
    <row r="1" ht="12.75">
      <c r="B1" s="8" t="s">
        <v>72</v>
      </c>
    </row>
    <row r="3" spans="2:13" ht="12.75">
      <c r="B3" s="8" t="s">
        <v>196</v>
      </c>
      <c r="G3" s="73" t="s">
        <v>218</v>
      </c>
      <c r="H3" s="73"/>
      <c r="I3" s="73" t="s">
        <v>219</v>
      </c>
      <c r="J3" s="73"/>
      <c r="K3" s="73" t="s">
        <v>220</v>
      </c>
      <c r="L3" s="73"/>
      <c r="M3" s="73" t="s">
        <v>221</v>
      </c>
    </row>
    <row r="5" spans="2:13" s="58" customFormat="1" ht="12.75">
      <c r="B5" s="58" t="s">
        <v>12</v>
      </c>
      <c r="C5" s="58" t="s">
        <v>302</v>
      </c>
      <c r="D5" s="58" t="s">
        <v>13</v>
      </c>
      <c r="E5" s="58" t="s">
        <v>14</v>
      </c>
      <c r="F5" s="59" t="s">
        <v>222</v>
      </c>
      <c r="G5" s="60">
        <v>0.0009</v>
      </c>
      <c r="H5" s="60" t="s">
        <v>222</v>
      </c>
      <c r="I5" s="60">
        <v>0.00011</v>
      </c>
      <c r="J5" s="60" t="s">
        <v>222</v>
      </c>
      <c r="K5" s="60">
        <v>0.0024</v>
      </c>
      <c r="L5" s="60" t="s">
        <v>222</v>
      </c>
      <c r="M5" s="60">
        <f aca="true" t="shared" si="0" ref="M5:M10">AVERAGE(G5,I5,K5)</f>
        <v>0.0011366666666666667</v>
      </c>
    </row>
    <row r="6" spans="2:13" s="58" customFormat="1" ht="12.75">
      <c r="B6" s="58" t="s">
        <v>111</v>
      </c>
      <c r="C6" s="58" t="s">
        <v>302</v>
      </c>
      <c r="D6" s="58" t="s">
        <v>15</v>
      </c>
      <c r="E6" s="58" t="s">
        <v>14</v>
      </c>
      <c r="F6" s="59" t="s">
        <v>222</v>
      </c>
      <c r="G6" s="61">
        <v>6.544454628780933</v>
      </c>
      <c r="H6" s="61" t="s">
        <v>222</v>
      </c>
      <c r="I6" s="61">
        <v>7.104384598263966</v>
      </c>
      <c r="J6" s="61" t="s">
        <v>222</v>
      </c>
      <c r="K6" s="61">
        <v>11.895172413793103</v>
      </c>
      <c r="L6" s="59" t="s">
        <v>222</v>
      </c>
      <c r="M6" s="61">
        <f t="shared" si="0"/>
        <v>8.514670546946</v>
      </c>
    </row>
    <row r="7" spans="2:13" s="58" customFormat="1" ht="12.75">
      <c r="B7" s="58" t="s">
        <v>356</v>
      </c>
      <c r="C7" s="58" t="s">
        <v>302</v>
      </c>
      <c r="D7" s="58" t="s">
        <v>15</v>
      </c>
      <c r="E7" s="58" t="s">
        <v>14</v>
      </c>
      <c r="F7" s="59" t="s">
        <v>222</v>
      </c>
      <c r="G7" s="61">
        <v>5.132905591200733</v>
      </c>
      <c r="H7" s="61" t="s">
        <v>222</v>
      </c>
      <c r="I7" s="61">
        <v>2.9913198308479867</v>
      </c>
      <c r="J7" s="61" t="s">
        <v>222</v>
      </c>
      <c r="K7" s="61"/>
      <c r="L7" s="59" t="s">
        <v>222</v>
      </c>
      <c r="M7" s="61">
        <f t="shared" si="0"/>
        <v>4.06211271102436</v>
      </c>
    </row>
    <row r="8" spans="2:13" s="58" customFormat="1" ht="12.75">
      <c r="B8" s="58" t="s">
        <v>51</v>
      </c>
      <c r="C8" s="58" t="s">
        <v>302</v>
      </c>
      <c r="D8" s="58" t="s">
        <v>15</v>
      </c>
      <c r="E8" s="58" t="s">
        <v>14</v>
      </c>
      <c r="F8" s="59" t="s">
        <v>222</v>
      </c>
      <c r="G8" s="61">
        <v>11.05962193802</v>
      </c>
      <c r="H8" s="61" t="s">
        <v>222</v>
      </c>
      <c r="I8" s="61">
        <v>8.529016481888961</v>
      </c>
      <c r="J8" s="61" t="s">
        <v>222</v>
      </c>
      <c r="K8" s="61">
        <v>7.232500914827334</v>
      </c>
      <c r="L8" s="59" t="s">
        <v>222</v>
      </c>
      <c r="M8" s="61">
        <f t="shared" si="0"/>
        <v>8.94037977824543</v>
      </c>
    </row>
    <row r="9" spans="2:13" s="58" customFormat="1" ht="12.75">
      <c r="B9" s="58" t="s">
        <v>52</v>
      </c>
      <c r="C9" s="58" t="s">
        <v>302</v>
      </c>
      <c r="D9" s="58" t="s">
        <v>15</v>
      </c>
      <c r="E9" s="58" t="s">
        <v>14</v>
      </c>
      <c r="F9" s="59" t="s">
        <v>222</v>
      </c>
      <c r="G9" s="61">
        <v>0.305360905610285</v>
      </c>
      <c r="H9" s="61" t="s">
        <v>222</v>
      </c>
      <c r="I9" s="61">
        <v>0.20685567046660597</v>
      </c>
      <c r="J9" s="61" t="s">
        <v>222</v>
      </c>
      <c r="K9" s="61">
        <v>0.15695348949448754</v>
      </c>
      <c r="L9" s="59" t="s">
        <v>222</v>
      </c>
      <c r="M9" s="61">
        <f t="shared" si="0"/>
        <v>0.22305668852379282</v>
      </c>
    </row>
    <row r="10" spans="2:13" s="58" customFormat="1" ht="12.75">
      <c r="B10" s="58" t="s">
        <v>113</v>
      </c>
      <c r="C10" s="58" t="s">
        <v>302</v>
      </c>
      <c r="D10" s="58" t="s">
        <v>63</v>
      </c>
      <c r="E10" s="58" t="s">
        <v>14</v>
      </c>
      <c r="F10" s="59"/>
      <c r="G10" s="61">
        <f>G8+2*G9</f>
        <v>11.670343749240569</v>
      </c>
      <c r="H10" s="61"/>
      <c r="I10" s="61">
        <f>I8+2*I9</f>
        <v>8.942727822822173</v>
      </c>
      <c r="J10" s="61"/>
      <c r="K10" s="61">
        <f>K8+2*K9</f>
        <v>7.546407893816309</v>
      </c>
      <c r="L10" s="59"/>
      <c r="M10" s="61">
        <f t="shared" si="0"/>
        <v>9.386493155293017</v>
      </c>
    </row>
    <row r="11" spans="2:13" s="58" customFormat="1" ht="12.75">
      <c r="B11" s="58" t="s">
        <v>95</v>
      </c>
      <c r="C11" s="62" t="s">
        <v>303</v>
      </c>
      <c r="D11" s="58" t="s">
        <v>63</v>
      </c>
      <c r="E11" s="58" t="s">
        <v>14</v>
      </c>
      <c r="F11" s="59" t="s">
        <v>161</v>
      </c>
      <c r="G11" s="61">
        <v>6.812528841247228</v>
      </c>
      <c r="H11" s="61" t="s">
        <v>161</v>
      </c>
      <c r="I11" s="61">
        <v>6.808105149671814</v>
      </c>
      <c r="J11" s="61" t="s">
        <v>161</v>
      </c>
      <c r="K11" s="61">
        <v>7.055834939140626</v>
      </c>
      <c r="L11" s="59" t="s">
        <v>222</v>
      </c>
      <c r="M11" s="61">
        <f aca="true" t="shared" si="1" ref="M11:M21">AVERAGE(G11,I11,K11)</f>
        <v>6.89215631001989</v>
      </c>
    </row>
    <row r="12" spans="2:13" s="58" customFormat="1" ht="12.75">
      <c r="B12" s="58" t="s">
        <v>96</v>
      </c>
      <c r="C12" s="62" t="s">
        <v>303</v>
      </c>
      <c r="D12" s="58" t="s">
        <v>63</v>
      </c>
      <c r="E12" s="58" t="s">
        <v>14</v>
      </c>
      <c r="F12" s="59" t="s">
        <v>161</v>
      </c>
      <c r="G12" s="61">
        <v>5.679843323063953</v>
      </c>
      <c r="H12" s="61" t="s">
        <v>161</v>
      </c>
      <c r="I12" s="61">
        <v>5.667661139828312</v>
      </c>
      <c r="J12" s="61" t="s">
        <v>222</v>
      </c>
      <c r="K12" s="61">
        <v>3.527917469570313</v>
      </c>
      <c r="L12" s="59" t="s">
        <v>222</v>
      </c>
      <c r="M12" s="61">
        <f t="shared" si="1"/>
        <v>4.958473977487526</v>
      </c>
    </row>
    <row r="13" spans="2:13" s="58" customFormat="1" ht="12.75">
      <c r="B13" s="58" t="s">
        <v>97</v>
      </c>
      <c r="C13" s="62" t="s">
        <v>303</v>
      </c>
      <c r="D13" s="58" t="s">
        <v>63</v>
      </c>
      <c r="E13" s="58" t="s">
        <v>14</v>
      </c>
      <c r="F13" s="59" t="s">
        <v>222</v>
      </c>
      <c r="G13" s="61">
        <v>17.400676076438703</v>
      </c>
      <c r="H13" s="61" t="s">
        <v>222</v>
      </c>
      <c r="I13" s="61">
        <v>15.119522857773699</v>
      </c>
      <c r="J13" s="61" t="s">
        <v>222</v>
      </c>
      <c r="K13" s="61">
        <v>0.8344216564057236</v>
      </c>
      <c r="L13" s="59" t="s">
        <v>222</v>
      </c>
      <c r="M13" s="61">
        <f t="shared" si="1"/>
        <v>11.118206863539376</v>
      </c>
    </row>
    <row r="14" spans="2:13" s="58" customFormat="1" ht="12.75">
      <c r="B14" s="58" t="s">
        <v>98</v>
      </c>
      <c r="C14" s="62" t="s">
        <v>303</v>
      </c>
      <c r="D14" s="58" t="s">
        <v>63</v>
      </c>
      <c r="E14" s="58" t="s">
        <v>14</v>
      </c>
      <c r="F14" s="59" t="s">
        <v>222</v>
      </c>
      <c r="G14" s="61">
        <v>0.7378871600338865</v>
      </c>
      <c r="H14" s="61" t="s">
        <v>222</v>
      </c>
      <c r="I14" s="61">
        <v>0.9071713714664219</v>
      </c>
      <c r="J14" s="61" t="s">
        <v>222</v>
      </c>
      <c r="K14" s="61">
        <v>0.35279174695703125</v>
      </c>
      <c r="L14" s="59" t="s">
        <v>222</v>
      </c>
      <c r="M14" s="61">
        <f t="shared" si="1"/>
        <v>0.6659500928191132</v>
      </c>
    </row>
    <row r="15" spans="2:13" s="58" customFormat="1" ht="12.75">
      <c r="B15" s="58" t="s">
        <v>99</v>
      </c>
      <c r="C15" s="62" t="s">
        <v>303</v>
      </c>
      <c r="D15" s="58" t="s">
        <v>63</v>
      </c>
      <c r="E15" s="58" t="s">
        <v>14</v>
      </c>
      <c r="F15" s="59" t="s">
        <v>222</v>
      </c>
      <c r="G15" s="61">
        <v>0.62461860821556</v>
      </c>
      <c r="H15" s="61" t="s">
        <v>222</v>
      </c>
      <c r="I15" s="61">
        <v>0.68599435137556</v>
      </c>
      <c r="J15" s="61" t="s">
        <v>222</v>
      </c>
      <c r="K15" s="61">
        <v>0.8906262239356427</v>
      </c>
      <c r="L15" s="59" t="s">
        <v>222</v>
      </c>
      <c r="M15" s="61">
        <f t="shared" si="1"/>
        <v>0.733746394508921</v>
      </c>
    </row>
    <row r="16" spans="2:13" s="58" customFormat="1" ht="12.75">
      <c r="B16" s="58" t="s">
        <v>112</v>
      </c>
      <c r="C16" s="62" t="s">
        <v>303</v>
      </c>
      <c r="D16" s="58" t="s">
        <v>63</v>
      </c>
      <c r="E16" s="58" t="s">
        <v>14</v>
      </c>
      <c r="F16" s="59" t="s">
        <v>222</v>
      </c>
      <c r="G16" s="61">
        <v>28.89168857974728</v>
      </c>
      <c r="H16" s="61" t="s">
        <v>222</v>
      </c>
      <c r="I16" s="61">
        <v>29.80705934818243</v>
      </c>
      <c r="J16" s="61" t="s">
        <v>222</v>
      </c>
      <c r="K16" s="61">
        <v>22.049484184814457</v>
      </c>
      <c r="L16" s="59" t="s">
        <v>222</v>
      </c>
      <c r="M16" s="61">
        <f t="shared" si="1"/>
        <v>26.916077370914724</v>
      </c>
    </row>
    <row r="17" spans="2:13" s="58" customFormat="1" ht="12.75">
      <c r="B17" s="58" t="s">
        <v>223</v>
      </c>
      <c r="C17" s="62" t="s">
        <v>304</v>
      </c>
      <c r="D17" s="58" t="s">
        <v>63</v>
      </c>
      <c r="E17" s="58" t="s">
        <v>14</v>
      </c>
      <c r="F17" s="59" t="s">
        <v>222</v>
      </c>
      <c r="G17" s="61">
        <v>0.49161788080202</v>
      </c>
      <c r="H17" s="61" t="s">
        <v>222</v>
      </c>
      <c r="I17" s="61">
        <v>0.06086762055264938</v>
      </c>
      <c r="J17" s="61" t="s">
        <v>222</v>
      </c>
      <c r="K17" s="61">
        <v>0.21574950987667127</v>
      </c>
      <c r="L17" s="59" t="s">
        <v>222</v>
      </c>
      <c r="M17" s="61">
        <f t="shared" si="1"/>
        <v>0.2560783370771136</v>
      </c>
    </row>
    <row r="18" spans="2:13" s="58" customFormat="1" ht="12.75">
      <c r="B18" s="58" t="s">
        <v>94</v>
      </c>
      <c r="C18" s="62" t="s">
        <v>303</v>
      </c>
      <c r="D18" s="58" t="s">
        <v>63</v>
      </c>
      <c r="E18" s="58" t="s">
        <v>14</v>
      </c>
      <c r="F18" s="59" t="s">
        <v>222</v>
      </c>
      <c r="G18" s="61">
        <v>19.863035898576257</v>
      </c>
      <c r="H18" s="61" t="s">
        <v>222</v>
      </c>
      <c r="I18" s="61">
        <v>16.41548195986859</v>
      </c>
      <c r="J18" s="61" t="s">
        <v>222</v>
      </c>
      <c r="K18" s="61">
        <v>37.613825962330544</v>
      </c>
      <c r="L18" s="59" t="s">
        <v>222</v>
      </c>
      <c r="M18" s="61">
        <f t="shared" si="1"/>
        <v>24.630781273591793</v>
      </c>
    </row>
    <row r="19" spans="2:13" s="58" customFormat="1" ht="12.75">
      <c r="B19" s="58" t="s">
        <v>100</v>
      </c>
      <c r="C19" s="62" t="s">
        <v>303</v>
      </c>
      <c r="D19" s="58" t="s">
        <v>63</v>
      </c>
      <c r="E19" s="58" t="s">
        <v>14</v>
      </c>
      <c r="F19" s="59" t="s">
        <v>222</v>
      </c>
      <c r="G19" s="61">
        <v>1461.000161134948</v>
      </c>
      <c r="H19" s="61" t="s">
        <v>222</v>
      </c>
      <c r="I19" s="61">
        <v>599.5970779025683</v>
      </c>
      <c r="J19" s="61" t="s">
        <v>222</v>
      </c>
      <c r="K19" s="61">
        <v>2127.1267095938656</v>
      </c>
      <c r="L19" s="59" t="s">
        <v>222</v>
      </c>
      <c r="M19" s="61">
        <f t="shared" si="1"/>
        <v>1395.9079828771273</v>
      </c>
    </row>
    <row r="20" spans="2:13" s="58" customFormat="1" ht="12.75">
      <c r="B20" s="58" t="s">
        <v>103</v>
      </c>
      <c r="C20" s="62" t="s">
        <v>303</v>
      </c>
      <c r="D20" s="58" t="s">
        <v>63</v>
      </c>
      <c r="E20" s="58" t="s">
        <v>14</v>
      </c>
      <c r="F20" s="59" t="s">
        <v>161</v>
      </c>
      <c r="G20" s="61">
        <v>2.3310339649568825</v>
      </c>
      <c r="H20" s="61" t="s">
        <v>222</v>
      </c>
      <c r="I20" s="61">
        <v>3.4558909389197</v>
      </c>
      <c r="J20" s="61" t="s">
        <v>161</v>
      </c>
      <c r="K20" s="61">
        <v>2.412472975515</v>
      </c>
      <c r="L20" s="59" t="s">
        <v>222</v>
      </c>
      <c r="M20" s="61">
        <f t="shared" si="1"/>
        <v>2.733132626463861</v>
      </c>
    </row>
    <row r="21" spans="2:13" s="58" customFormat="1" ht="12.75">
      <c r="B21" s="58" t="s">
        <v>104</v>
      </c>
      <c r="C21" s="62" t="s">
        <v>303</v>
      </c>
      <c r="D21" s="58" t="s">
        <v>63</v>
      </c>
      <c r="E21" s="58" t="s">
        <v>14</v>
      </c>
      <c r="F21" s="59" t="s">
        <v>161</v>
      </c>
      <c r="G21" s="61">
        <v>11.32685518183274</v>
      </c>
      <c r="H21" s="61" t="s">
        <v>161</v>
      </c>
      <c r="I21" s="61">
        <v>11.318042824962</v>
      </c>
      <c r="J21" s="61" t="s">
        <v>161</v>
      </c>
      <c r="K21" s="61">
        <v>11.75972489856771</v>
      </c>
      <c r="L21" s="59" t="s">
        <v>222</v>
      </c>
      <c r="M21" s="61">
        <f t="shared" si="1"/>
        <v>11.468207635120818</v>
      </c>
    </row>
    <row r="22" spans="2:13" s="58" customFormat="1" ht="12.75">
      <c r="B22" s="58" t="s">
        <v>64</v>
      </c>
      <c r="C22" s="62" t="s">
        <v>303</v>
      </c>
      <c r="D22" s="58" t="s">
        <v>63</v>
      </c>
      <c r="E22" s="58" t="s">
        <v>14</v>
      </c>
      <c r="F22" s="59"/>
      <c r="G22" s="61">
        <f>G15+G18</f>
        <v>20.487654506791817</v>
      </c>
      <c r="H22" s="61"/>
      <c r="I22" s="61">
        <f>I15+I18</f>
        <v>17.10147631124415</v>
      </c>
      <c r="J22" s="61"/>
      <c r="K22" s="61">
        <f>K15+K18</f>
        <v>38.504452186266185</v>
      </c>
      <c r="L22" s="59"/>
      <c r="M22" s="61">
        <f>AVERAGE(G22,I22,K22)</f>
        <v>25.36452766810072</v>
      </c>
    </row>
    <row r="23" spans="2:13" s="58" customFormat="1" ht="12.75">
      <c r="B23" s="58" t="s">
        <v>65</v>
      </c>
      <c r="C23" s="62" t="s">
        <v>303</v>
      </c>
      <c r="D23" s="58" t="s">
        <v>63</v>
      </c>
      <c r="E23" s="58" t="s">
        <v>14</v>
      </c>
      <c r="F23" s="59"/>
      <c r="G23" s="61">
        <f>G16+G12+G14</f>
        <v>35.30941906284512</v>
      </c>
      <c r="H23" s="61"/>
      <c r="I23" s="61">
        <f>I16+I12+I14</f>
        <v>36.381891859477165</v>
      </c>
      <c r="J23" s="61"/>
      <c r="K23" s="61">
        <f>K16+K12+K14</f>
        <v>25.9301934013418</v>
      </c>
      <c r="L23" s="59"/>
      <c r="M23" s="61">
        <f>AVERAGE(G23,I23,K23)</f>
        <v>32.54050144122136</v>
      </c>
    </row>
    <row r="24" spans="6:13" s="58" customFormat="1" ht="12.75">
      <c r="F24" s="59"/>
      <c r="G24" s="61"/>
      <c r="H24" s="61"/>
      <c r="I24" s="61"/>
      <c r="J24" s="61"/>
      <c r="K24" s="61"/>
      <c r="L24" s="59"/>
      <c r="M24" s="59"/>
    </row>
    <row r="25" spans="2:44" s="62" customFormat="1" ht="12.75">
      <c r="B25" s="62" t="s">
        <v>193</v>
      </c>
      <c r="C25" s="62" t="s">
        <v>305</v>
      </c>
      <c r="D25" s="62" t="s">
        <v>17</v>
      </c>
      <c r="G25" s="63">
        <v>99.999991</v>
      </c>
      <c r="H25" s="63"/>
      <c r="I25" s="63">
        <v>99.999989</v>
      </c>
      <c r="J25" s="63"/>
      <c r="K25" s="63">
        <v>99.999985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2:44" s="62" customFormat="1" ht="12.75">
      <c r="B26" s="62" t="s">
        <v>224</v>
      </c>
      <c r="C26" s="62" t="s">
        <v>305</v>
      </c>
      <c r="D26" s="62" t="s">
        <v>17</v>
      </c>
      <c r="G26" s="63">
        <v>99.999859</v>
      </c>
      <c r="H26" s="63"/>
      <c r="I26" s="63">
        <v>99.999944</v>
      </c>
      <c r="J26" s="63"/>
      <c r="K26" s="63">
        <v>99.999953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2:44" s="62" customFormat="1" ht="12.75">
      <c r="B27" s="62" t="s">
        <v>225</v>
      </c>
      <c r="C27" s="62" t="s">
        <v>305</v>
      </c>
      <c r="D27" s="62" t="s">
        <v>17</v>
      </c>
      <c r="G27" s="63">
        <v>99.999989</v>
      </c>
      <c r="H27" s="63"/>
      <c r="I27" s="66">
        <v>99.999997</v>
      </c>
      <c r="J27" s="63"/>
      <c r="K27" s="63">
        <v>99.999998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</row>
    <row r="28" spans="7:50" s="58" customFormat="1" ht="12.75"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</row>
    <row r="29" spans="2:50" s="58" customFormat="1" ht="12.75">
      <c r="B29" s="58" t="s">
        <v>114</v>
      </c>
      <c r="C29" s="58" t="s">
        <v>227</v>
      </c>
      <c r="D29" s="58" t="s">
        <v>302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</row>
    <row r="30" spans="2:50" s="58" customFormat="1" ht="12.75">
      <c r="B30" s="10" t="s">
        <v>93</v>
      </c>
      <c r="C30" s="10"/>
      <c r="D30" s="10" t="s">
        <v>16</v>
      </c>
      <c r="G30" s="61">
        <v>34258</v>
      </c>
      <c r="H30" s="61"/>
      <c r="I30" s="61">
        <v>32783</v>
      </c>
      <c r="J30" s="61"/>
      <c r="K30" s="61">
        <v>31149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</row>
    <row r="31" spans="2:50" s="58" customFormat="1" ht="12.75">
      <c r="B31" s="10" t="s">
        <v>108</v>
      </c>
      <c r="C31" s="10"/>
      <c r="D31" s="10" t="s">
        <v>17</v>
      </c>
      <c r="G31" s="61">
        <v>9.91</v>
      </c>
      <c r="H31" s="61"/>
      <c r="I31" s="61">
        <v>9.42</v>
      </c>
      <c r="J31" s="61"/>
      <c r="K31" s="61">
        <v>9.59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</row>
    <row r="32" spans="2:50" s="58" customFormat="1" ht="12.75">
      <c r="B32" s="10" t="s">
        <v>109</v>
      </c>
      <c r="C32" s="10"/>
      <c r="D32" s="10" t="s">
        <v>17</v>
      </c>
      <c r="G32" s="61">
        <v>22.4</v>
      </c>
      <c r="H32" s="61"/>
      <c r="I32" s="61">
        <v>25.4</v>
      </c>
      <c r="J32" s="61"/>
      <c r="K32" s="61">
        <v>24.1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</row>
    <row r="33" spans="2:50" s="58" customFormat="1" ht="12.75">
      <c r="B33" s="10" t="s">
        <v>92</v>
      </c>
      <c r="C33" s="10"/>
      <c r="D33" s="10" t="s">
        <v>18</v>
      </c>
      <c r="G33" s="61">
        <v>143.1</v>
      </c>
      <c r="H33" s="61"/>
      <c r="I33" s="61">
        <v>145.5</v>
      </c>
      <c r="J33" s="61"/>
      <c r="K33" s="61">
        <v>147.8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</row>
    <row r="34" spans="7:50" s="58" customFormat="1" ht="12.75"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</row>
    <row r="35" spans="2:50" s="58" customFormat="1" ht="12.75">
      <c r="B35" s="58" t="s">
        <v>114</v>
      </c>
      <c r="C35" s="58" t="s">
        <v>182</v>
      </c>
      <c r="D35" s="58" t="s">
        <v>303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</row>
    <row r="36" spans="2:50" s="58" customFormat="1" ht="12.75">
      <c r="B36" s="10" t="s">
        <v>93</v>
      </c>
      <c r="C36" s="10"/>
      <c r="D36" s="10" t="s">
        <v>16</v>
      </c>
      <c r="G36" s="61">
        <v>32573</v>
      </c>
      <c r="H36" s="61"/>
      <c r="I36" s="61">
        <v>31113</v>
      </c>
      <c r="J36" s="61"/>
      <c r="K36" s="61">
        <v>33064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</row>
    <row r="37" spans="2:50" s="58" customFormat="1" ht="12.75">
      <c r="B37" s="10" t="s">
        <v>108</v>
      </c>
      <c r="C37" s="10"/>
      <c r="D37" s="10" t="s">
        <v>17</v>
      </c>
      <c r="G37" s="61">
        <v>9.9</v>
      </c>
      <c r="H37" s="61"/>
      <c r="I37" s="61">
        <v>9.96</v>
      </c>
      <c r="J37" s="61"/>
      <c r="K37" s="61">
        <v>10.62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</row>
    <row r="38" spans="2:50" s="58" customFormat="1" ht="12.75">
      <c r="B38" s="10" t="s">
        <v>109</v>
      </c>
      <c r="C38" s="10"/>
      <c r="D38" s="10" t="s">
        <v>17</v>
      </c>
      <c r="G38" s="61">
        <v>23.7</v>
      </c>
      <c r="H38" s="61"/>
      <c r="I38" s="61">
        <v>27.2</v>
      </c>
      <c r="J38" s="61"/>
      <c r="K38" s="61">
        <v>23.1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</row>
    <row r="39" spans="2:50" s="58" customFormat="1" ht="12.75">
      <c r="B39" s="10" t="s">
        <v>92</v>
      </c>
      <c r="C39" s="10"/>
      <c r="D39" s="10" t="s">
        <v>18</v>
      </c>
      <c r="G39" s="61">
        <v>145.9</v>
      </c>
      <c r="H39" s="61"/>
      <c r="I39" s="61">
        <v>146</v>
      </c>
      <c r="J39" s="61"/>
      <c r="K39" s="61">
        <v>143.5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</row>
    <row r="40" spans="7:44" s="62" customFormat="1" ht="12.75"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</row>
    <row r="41" spans="2:13" s="58" customFormat="1" ht="12.75">
      <c r="B41" s="58" t="s">
        <v>114</v>
      </c>
      <c r="C41" s="58" t="s">
        <v>226</v>
      </c>
      <c r="D41" s="62" t="s">
        <v>304</v>
      </c>
      <c r="F41" s="59"/>
      <c r="G41" s="61"/>
      <c r="H41" s="61"/>
      <c r="I41" s="61"/>
      <c r="J41" s="61"/>
      <c r="K41" s="61"/>
      <c r="L41" s="59"/>
      <c r="M41" s="59"/>
    </row>
    <row r="42" spans="2:50" s="58" customFormat="1" ht="12.75">
      <c r="B42" s="10" t="s">
        <v>93</v>
      </c>
      <c r="C42" s="10"/>
      <c r="D42" s="10" t="s">
        <v>16</v>
      </c>
      <c r="G42" s="61">
        <v>34246</v>
      </c>
      <c r="H42" s="61"/>
      <c r="I42" s="61">
        <v>33387</v>
      </c>
      <c r="J42" s="61"/>
      <c r="K42" s="61">
        <v>33379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</row>
    <row r="43" spans="2:50" s="58" customFormat="1" ht="12.75">
      <c r="B43" s="10" t="s">
        <v>108</v>
      </c>
      <c r="C43" s="10"/>
      <c r="D43" s="10" t="s">
        <v>17</v>
      </c>
      <c r="G43" s="61">
        <v>9.9</v>
      </c>
      <c r="H43" s="61"/>
      <c r="I43" s="61">
        <v>9.96</v>
      </c>
      <c r="J43" s="61"/>
      <c r="K43" s="61">
        <v>10.62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</row>
    <row r="44" spans="2:50" s="58" customFormat="1" ht="12.75">
      <c r="B44" s="10" t="s">
        <v>109</v>
      </c>
      <c r="C44" s="10"/>
      <c r="D44" s="10" t="s">
        <v>17</v>
      </c>
      <c r="G44" s="61">
        <v>20</v>
      </c>
      <c r="H44" s="61"/>
      <c r="I44" s="61">
        <v>24.7</v>
      </c>
      <c r="J44" s="61"/>
      <c r="K44" s="61">
        <v>20.1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</row>
    <row r="45" spans="2:50" s="58" customFormat="1" ht="12.75">
      <c r="B45" s="10" t="s">
        <v>92</v>
      </c>
      <c r="C45" s="10"/>
      <c r="D45" s="10" t="s">
        <v>18</v>
      </c>
      <c r="G45" s="61">
        <v>144.9</v>
      </c>
      <c r="H45" s="61"/>
      <c r="I45" s="61">
        <v>143.7</v>
      </c>
      <c r="J45" s="61"/>
      <c r="K45" s="61">
        <v>145.8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</row>
    <row r="46" spans="7:50" s="58" customFormat="1" ht="12.75"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</row>
    <row r="47" spans="2:50" s="58" customFormat="1" ht="12.75">
      <c r="B47" s="58" t="s">
        <v>114</v>
      </c>
      <c r="C47" s="58" t="s">
        <v>228</v>
      </c>
      <c r="D47" s="58" t="s">
        <v>305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</row>
    <row r="48" spans="2:50" s="58" customFormat="1" ht="12.75">
      <c r="B48" s="10" t="s">
        <v>93</v>
      </c>
      <c r="C48" s="10"/>
      <c r="D48" s="10" t="s">
        <v>16</v>
      </c>
      <c r="G48" s="61">
        <v>34627</v>
      </c>
      <c r="H48" s="61"/>
      <c r="I48" s="61">
        <v>32623</v>
      </c>
      <c r="J48" s="61"/>
      <c r="K48" s="61">
        <v>31721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</row>
    <row r="49" spans="2:50" s="58" customFormat="1" ht="12.75">
      <c r="B49" s="10" t="s">
        <v>108</v>
      </c>
      <c r="C49" s="10"/>
      <c r="D49" s="10" t="s">
        <v>17</v>
      </c>
      <c r="G49" s="61">
        <v>10.65</v>
      </c>
      <c r="H49" s="61"/>
      <c r="I49" s="61">
        <v>9.73</v>
      </c>
      <c r="J49" s="61"/>
      <c r="K49" s="61">
        <v>9.67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</row>
    <row r="50" spans="2:50" s="58" customFormat="1" ht="12.75">
      <c r="B50" s="10" t="s">
        <v>109</v>
      </c>
      <c r="C50" s="10"/>
      <c r="D50" s="10" t="s">
        <v>17</v>
      </c>
      <c r="G50" s="61">
        <v>22.4</v>
      </c>
      <c r="H50" s="61"/>
      <c r="I50" s="61">
        <v>24.3</v>
      </c>
      <c r="J50" s="61"/>
      <c r="K50" s="61">
        <v>23.6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</row>
    <row r="51" spans="2:50" s="58" customFormat="1" ht="12.75">
      <c r="B51" s="10" t="s">
        <v>92</v>
      </c>
      <c r="C51" s="10"/>
      <c r="D51" s="10" t="s">
        <v>18</v>
      </c>
      <c r="G51" s="61">
        <v>141.4</v>
      </c>
      <c r="H51" s="61"/>
      <c r="I51" s="61">
        <v>144.4</v>
      </c>
      <c r="J51" s="61"/>
      <c r="K51" s="61">
        <v>147.9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</row>
    <row r="52" spans="6:13" s="58" customFormat="1" ht="12.75">
      <c r="F52" s="59"/>
      <c r="G52" s="61"/>
      <c r="H52" s="61"/>
      <c r="I52" s="61"/>
      <c r="J52" s="61"/>
      <c r="K52" s="61"/>
      <c r="L52" s="59"/>
      <c r="M52" s="59"/>
    </row>
    <row r="53" spans="2:13" s="58" customFormat="1" ht="12.75">
      <c r="B53" s="44" t="s">
        <v>205</v>
      </c>
      <c r="F53" s="59"/>
      <c r="G53" s="73" t="s">
        <v>218</v>
      </c>
      <c r="H53" s="73"/>
      <c r="I53" s="73" t="s">
        <v>219</v>
      </c>
      <c r="J53" s="73"/>
      <c r="K53" s="73" t="s">
        <v>220</v>
      </c>
      <c r="L53" s="73"/>
      <c r="M53" s="73" t="s">
        <v>221</v>
      </c>
    </row>
    <row r="54" spans="6:13" s="58" customFormat="1" ht="12.75">
      <c r="F54" s="59"/>
      <c r="G54" s="61"/>
      <c r="H54" s="61"/>
      <c r="I54" s="61"/>
      <c r="J54" s="61"/>
      <c r="K54" s="61"/>
      <c r="L54" s="59"/>
      <c r="M54" s="59"/>
    </row>
    <row r="55" spans="2:13" s="58" customFormat="1" ht="12.75">
      <c r="B55" s="58" t="s">
        <v>12</v>
      </c>
      <c r="C55" s="58" t="s">
        <v>302</v>
      </c>
      <c r="D55" s="58" t="s">
        <v>13</v>
      </c>
      <c r="E55" s="58" t="s">
        <v>14</v>
      </c>
      <c r="F55" s="59" t="s">
        <v>222</v>
      </c>
      <c r="G55" s="60">
        <v>0.0009</v>
      </c>
      <c r="H55" s="60" t="s">
        <v>222</v>
      </c>
      <c r="I55" s="60">
        <v>0.0023</v>
      </c>
      <c r="J55" s="60" t="s">
        <v>222</v>
      </c>
      <c r="K55" s="60">
        <v>0.0009</v>
      </c>
      <c r="L55" s="60" t="s">
        <v>222</v>
      </c>
      <c r="M55" s="60">
        <f aca="true" t="shared" si="2" ref="M55:M60">AVERAGE(G55,I55,K55)</f>
        <v>0.0013666666666666664</v>
      </c>
    </row>
    <row r="56" spans="2:13" s="58" customFormat="1" ht="12.75">
      <c r="B56" s="58" t="s">
        <v>111</v>
      </c>
      <c r="C56" s="58" t="s">
        <v>302</v>
      </c>
      <c r="D56" s="58" t="s">
        <v>15</v>
      </c>
      <c r="E56" s="58" t="s">
        <v>14</v>
      </c>
      <c r="F56" s="59" t="s">
        <v>222</v>
      </c>
      <c r="G56" s="61">
        <v>1.9585492227979275</v>
      </c>
      <c r="H56" s="61" t="s">
        <v>222</v>
      </c>
      <c r="I56" s="61">
        <v>5.522899690924418</v>
      </c>
      <c r="J56" s="61" t="s">
        <v>222</v>
      </c>
      <c r="K56" s="61">
        <v>5.748699698877635</v>
      </c>
      <c r="L56" s="59" t="s">
        <v>222</v>
      </c>
      <c r="M56" s="61">
        <f t="shared" si="2"/>
        <v>4.410049537533326</v>
      </c>
    </row>
    <row r="57" spans="2:13" s="58" customFormat="1" ht="12.75">
      <c r="B57" s="58" t="s">
        <v>356</v>
      </c>
      <c r="C57" s="58" t="s">
        <v>302</v>
      </c>
      <c r="D57" s="58" t="s">
        <v>15</v>
      </c>
      <c r="E57" s="58" t="s">
        <v>14</v>
      </c>
      <c r="F57" s="59" t="s">
        <v>222</v>
      </c>
      <c r="G57" s="61">
        <v>4.992380371837854</v>
      </c>
      <c r="H57" s="61" t="s">
        <v>222</v>
      </c>
      <c r="I57" s="61">
        <v>4.484405731947177</v>
      </c>
      <c r="J57" s="61" t="s">
        <v>222</v>
      </c>
      <c r="K57" s="61">
        <v>4.254037777169451</v>
      </c>
      <c r="L57" s="59" t="s">
        <v>222</v>
      </c>
      <c r="M57" s="61">
        <f t="shared" si="2"/>
        <v>4.576941293651494</v>
      </c>
    </row>
    <row r="58" spans="2:13" s="58" customFormat="1" ht="12.75">
      <c r="B58" s="58" t="s">
        <v>51</v>
      </c>
      <c r="C58" s="58" t="s">
        <v>302</v>
      </c>
      <c r="D58" s="58" t="s">
        <v>15</v>
      </c>
      <c r="E58" s="58" t="s">
        <v>14</v>
      </c>
      <c r="F58" s="59" t="s">
        <v>161</v>
      </c>
      <c r="G58" s="61">
        <v>0.25971711719160845</v>
      </c>
      <c r="H58" s="61" t="s">
        <v>161</v>
      </c>
      <c r="I58" s="61">
        <v>0.2006362328502957</v>
      </c>
      <c r="J58" s="61" t="s">
        <v>161</v>
      </c>
      <c r="K58" s="61">
        <v>0.2176381864757163</v>
      </c>
      <c r="L58" s="59" t="s">
        <v>222</v>
      </c>
      <c r="M58" s="61">
        <f t="shared" si="2"/>
        <v>0.2259971788392068</v>
      </c>
    </row>
    <row r="59" spans="2:13" s="58" customFormat="1" ht="12.75">
      <c r="B59" s="58" t="s">
        <v>52</v>
      </c>
      <c r="C59" s="58" t="s">
        <v>302</v>
      </c>
      <c r="D59" s="58" t="s">
        <v>15</v>
      </c>
      <c r="E59" s="58" t="s">
        <v>14</v>
      </c>
      <c r="F59" s="59" t="s">
        <v>222</v>
      </c>
      <c r="G59" s="61">
        <v>0.14230602825558</v>
      </c>
      <c r="H59" s="61" t="s">
        <v>222</v>
      </c>
      <c r="I59" s="61">
        <v>0.2695156493374838</v>
      </c>
      <c r="J59" s="61" t="s">
        <v>222</v>
      </c>
      <c r="K59" s="61">
        <v>0.19360143151727832</v>
      </c>
      <c r="L59" s="59" t="s">
        <v>222</v>
      </c>
      <c r="M59" s="61">
        <f t="shared" si="2"/>
        <v>0.20180770303678072</v>
      </c>
    </row>
    <row r="60" spans="2:13" s="58" customFormat="1" ht="12.75">
      <c r="B60" s="58" t="s">
        <v>113</v>
      </c>
      <c r="C60" s="58" t="s">
        <v>302</v>
      </c>
      <c r="D60" s="58" t="s">
        <v>15</v>
      </c>
      <c r="E60" s="58" t="s">
        <v>14</v>
      </c>
      <c r="F60" s="59"/>
      <c r="G60" s="61">
        <f>G58+2*G59</f>
        <v>0.5443291737027685</v>
      </c>
      <c r="H60" s="61"/>
      <c r="I60" s="61">
        <f>I58+2*I59</f>
        <v>0.7396675315252632</v>
      </c>
      <c r="J60" s="61"/>
      <c r="K60" s="61">
        <f>K58+2*K59</f>
        <v>0.604841049510273</v>
      </c>
      <c r="L60" s="59"/>
      <c r="M60" s="61">
        <f t="shared" si="2"/>
        <v>0.6296125849127682</v>
      </c>
    </row>
    <row r="61" spans="2:13" s="58" customFormat="1" ht="12.75">
      <c r="B61" s="58" t="s">
        <v>95</v>
      </c>
      <c r="C61" s="62" t="s">
        <v>303</v>
      </c>
      <c r="D61" s="58" t="s">
        <v>63</v>
      </c>
      <c r="E61" s="58" t="s">
        <v>14</v>
      </c>
      <c r="F61" s="59" t="s">
        <v>161</v>
      </c>
      <c r="G61" s="61">
        <v>7.795273854083063</v>
      </c>
      <c r="H61" s="61" t="s">
        <v>161</v>
      </c>
      <c r="I61" s="61">
        <v>7.370260382872541</v>
      </c>
      <c r="J61" s="61" t="s">
        <v>161</v>
      </c>
      <c r="K61" s="61">
        <v>7.6728365072047</v>
      </c>
      <c r="L61" s="59" t="s">
        <v>222</v>
      </c>
      <c r="M61" s="61">
        <f aca="true" t="shared" si="3" ref="M61:M72">AVERAGE(G61,I61,K61)</f>
        <v>7.612790248053435</v>
      </c>
    </row>
    <row r="62" spans="2:13" s="58" customFormat="1" ht="12.75">
      <c r="B62" s="58" t="s">
        <v>96</v>
      </c>
      <c r="C62" s="62" t="s">
        <v>303</v>
      </c>
      <c r="D62" s="58" t="s">
        <v>63</v>
      </c>
      <c r="E62" s="58" t="s">
        <v>14</v>
      </c>
      <c r="F62" s="59" t="s">
        <v>161</v>
      </c>
      <c r="G62" s="61">
        <v>6.5953554890304495</v>
      </c>
      <c r="H62" s="61" t="s">
        <v>222</v>
      </c>
      <c r="I62" s="61">
        <v>7.942090929819548</v>
      </c>
      <c r="J62" s="61" t="s">
        <v>161</v>
      </c>
      <c r="K62" s="61">
        <v>6.490492088529831</v>
      </c>
      <c r="L62" s="59" t="s">
        <v>222</v>
      </c>
      <c r="M62" s="61">
        <f t="shared" si="3"/>
        <v>7.009312835793277</v>
      </c>
    </row>
    <row r="63" spans="2:13" s="58" customFormat="1" ht="12.75">
      <c r="B63" s="58" t="s">
        <v>97</v>
      </c>
      <c r="C63" s="62" t="s">
        <v>303</v>
      </c>
      <c r="D63" s="58" t="s">
        <v>63</v>
      </c>
      <c r="E63" s="58" t="s">
        <v>14</v>
      </c>
      <c r="F63" s="59" t="s">
        <v>222</v>
      </c>
      <c r="G63" s="61">
        <v>2.9116900186941</v>
      </c>
      <c r="H63" s="61" t="s">
        <v>222</v>
      </c>
      <c r="I63" s="61">
        <v>2.3429168242967666</v>
      </c>
      <c r="J63" s="61" t="s">
        <v>222</v>
      </c>
      <c r="K63" s="61">
        <v>2.835972976262079</v>
      </c>
      <c r="L63" s="59" t="s">
        <v>222</v>
      </c>
      <c r="M63" s="61">
        <f t="shared" si="3"/>
        <v>2.6968599397509823</v>
      </c>
    </row>
    <row r="64" spans="2:13" s="58" customFormat="1" ht="12.75">
      <c r="B64" s="58" t="s">
        <v>98</v>
      </c>
      <c r="C64" s="62" t="s">
        <v>303</v>
      </c>
      <c r="D64" s="58" t="s">
        <v>63</v>
      </c>
      <c r="E64" s="58" t="s">
        <v>14</v>
      </c>
      <c r="F64" s="59" t="s">
        <v>161</v>
      </c>
      <c r="G64" s="61">
        <v>0.2618003705569339</v>
      </c>
      <c r="H64" s="61" t="s">
        <v>222</v>
      </c>
      <c r="I64" s="61">
        <v>0.11357190029642</v>
      </c>
      <c r="J64" s="61" t="s">
        <v>161</v>
      </c>
      <c r="K64" s="61">
        <v>0.2571392407048124</v>
      </c>
      <c r="L64" s="59" t="s">
        <v>222</v>
      </c>
      <c r="M64" s="61">
        <f t="shared" si="3"/>
        <v>0.21083717051938877</v>
      </c>
    </row>
    <row r="65" spans="2:13" s="58" customFormat="1" ht="12.75">
      <c r="B65" s="58" t="s">
        <v>99</v>
      </c>
      <c r="C65" s="62" t="s">
        <v>303</v>
      </c>
      <c r="D65" s="58" t="s">
        <v>63</v>
      </c>
      <c r="E65" s="58" t="s">
        <v>14</v>
      </c>
      <c r="F65" s="59" t="s">
        <v>222</v>
      </c>
      <c r="G65" s="61">
        <v>2.089368341944761</v>
      </c>
      <c r="H65" s="61" t="s">
        <v>222</v>
      </c>
      <c r="I65" s="61">
        <v>1.3183870943500449</v>
      </c>
      <c r="J65" s="61" t="s">
        <v>222</v>
      </c>
      <c r="K65" s="61">
        <v>0.80862436466015</v>
      </c>
      <c r="L65" s="59" t="s">
        <v>222</v>
      </c>
      <c r="M65" s="61">
        <f t="shared" si="3"/>
        <v>1.4054599336516518</v>
      </c>
    </row>
    <row r="66" spans="2:13" s="58" customFormat="1" ht="12.75">
      <c r="B66" s="58" t="s">
        <v>112</v>
      </c>
      <c r="C66" s="62" t="s">
        <v>303</v>
      </c>
      <c r="D66" s="58" t="s">
        <v>63</v>
      </c>
      <c r="E66" s="58" t="s">
        <v>14</v>
      </c>
      <c r="F66" s="59" t="s">
        <v>222</v>
      </c>
      <c r="G66" s="61">
        <v>4.279429134103727</v>
      </c>
      <c r="H66" s="61" t="s">
        <v>222</v>
      </c>
      <c r="I66" s="61">
        <v>18.346230047883154</v>
      </c>
      <c r="J66" s="61" t="s">
        <v>222</v>
      </c>
      <c r="K66" s="61">
        <v>2.6788782632913</v>
      </c>
      <c r="L66" s="59" t="s">
        <v>222</v>
      </c>
      <c r="M66" s="61">
        <f t="shared" si="3"/>
        <v>8.434845815092727</v>
      </c>
    </row>
    <row r="67" spans="2:13" s="58" customFormat="1" ht="12.75">
      <c r="B67" s="58" t="s">
        <v>94</v>
      </c>
      <c r="C67" s="62" t="s">
        <v>303</v>
      </c>
      <c r="D67" s="58" t="s">
        <v>63</v>
      </c>
      <c r="E67" s="58" t="s">
        <v>14</v>
      </c>
      <c r="F67" s="59" t="s">
        <v>161</v>
      </c>
      <c r="G67" s="61">
        <v>6.5953554890304495</v>
      </c>
      <c r="H67" s="61" t="s">
        <v>222</v>
      </c>
      <c r="I67" s="61">
        <v>53.84737650417654</v>
      </c>
      <c r="J67" s="61" t="s">
        <v>161</v>
      </c>
      <c r="K67" s="61">
        <v>6.490492088529831</v>
      </c>
      <c r="L67" s="59" t="s">
        <v>222</v>
      </c>
      <c r="M67" s="61">
        <f t="shared" si="3"/>
        <v>22.311074693912275</v>
      </c>
    </row>
    <row r="68" spans="2:13" s="58" customFormat="1" ht="12.75">
      <c r="B68" s="58" t="s">
        <v>100</v>
      </c>
      <c r="C68" s="62" t="s">
        <v>303</v>
      </c>
      <c r="D68" s="58" t="s">
        <v>63</v>
      </c>
      <c r="E68" s="58" t="s">
        <v>14</v>
      </c>
      <c r="F68" s="59" t="s">
        <v>222</v>
      </c>
      <c r="G68" s="61">
        <v>599.1200787745217</v>
      </c>
      <c r="H68" s="61" t="s">
        <v>222</v>
      </c>
      <c r="I68" s="61">
        <v>328.80256449453</v>
      </c>
      <c r="J68" s="61" t="s">
        <v>222</v>
      </c>
      <c r="K68" s="61">
        <v>300.13358320208</v>
      </c>
      <c r="L68" s="59" t="s">
        <v>222</v>
      </c>
      <c r="M68" s="61">
        <f t="shared" si="3"/>
        <v>409.3520754903772</v>
      </c>
    </row>
    <row r="69" spans="2:13" s="58" customFormat="1" ht="12.75">
      <c r="B69" s="58" t="s">
        <v>103</v>
      </c>
      <c r="C69" s="62" t="s">
        <v>303</v>
      </c>
      <c r="D69" s="58" t="s">
        <v>63</v>
      </c>
      <c r="E69" s="58" t="s">
        <v>14</v>
      </c>
      <c r="F69" s="59" t="s">
        <v>161</v>
      </c>
      <c r="G69" s="61">
        <v>2.634785780605039</v>
      </c>
      <c r="H69" s="61" t="s">
        <v>161</v>
      </c>
      <c r="I69" s="61">
        <v>2.4938165519633375</v>
      </c>
      <c r="J69" s="61" t="s">
        <v>161</v>
      </c>
      <c r="K69" s="61">
        <v>2.5961968354119325</v>
      </c>
      <c r="L69" s="59" t="s">
        <v>222</v>
      </c>
      <c r="M69" s="61">
        <f t="shared" si="3"/>
        <v>2.5749330559934367</v>
      </c>
    </row>
    <row r="70" spans="2:13" s="58" customFormat="1" ht="12.75">
      <c r="B70" s="58" t="s">
        <v>104</v>
      </c>
      <c r="C70" s="62" t="s">
        <v>303</v>
      </c>
      <c r="D70" s="58" t="s">
        <v>63</v>
      </c>
      <c r="E70" s="58" t="s">
        <v>14</v>
      </c>
      <c r="F70" s="59" t="s">
        <v>161</v>
      </c>
      <c r="G70" s="61">
        <v>13.173928903025198</v>
      </c>
      <c r="H70" s="61" t="s">
        <v>161</v>
      </c>
      <c r="I70" s="61">
        <v>12.469082759816686</v>
      </c>
      <c r="J70" s="61" t="s">
        <v>161</v>
      </c>
      <c r="K70" s="61">
        <v>12.980984177059662</v>
      </c>
      <c r="L70" s="59" t="s">
        <v>222</v>
      </c>
      <c r="M70" s="61">
        <f t="shared" si="3"/>
        <v>12.874665279967182</v>
      </c>
    </row>
    <row r="71" spans="2:13" s="58" customFormat="1" ht="12.75">
      <c r="B71" s="58" t="s">
        <v>64</v>
      </c>
      <c r="C71" s="62" t="s">
        <v>303</v>
      </c>
      <c r="D71" s="58" t="s">
        <v>63</v>
      </c>
      <c r="E71" s="58" t="s">
        <v>14</v>
      </c>
      <c r="F71" s="59"/>
      <c r="G71" s="61">
        <f>G65+G67</f>
        <v>8.68472383097521</v>
      </c>
      <c r="H71" s="61"/>
      <c r="I71" s="61">
        <f>I65+I67</f>
        <v>55.16576359852658</v>
      </c>
      <c r="J71" s="61"/>
      <c r="K71" s="61">
        <f>K65+K67</f>
        <v>7.299116453189981</v>
      </c>
      <c r="L71" s="59"/>
      <c r="M71" s="61">
        <f t="shared" si="3"/>
        <v>23.71653462756392</v>
      </c>
    </row>
    <row r="72" spans="2:13" s="58" customFormat="1" ht="12.75">
      <c r="B72" s="58" t="s">
        <v>65</v>
      </c>
      <c r="C72" s="62" t="s">
        <v>303</v>
      </c>
      <c r="D72" s="58" t="s">
        <v>63</v>
      </c>
      <c r="E72" s="58" t="s">
        <v>14</v>
      </c>
      <c r="F72" s="59"/>
      <c r="G72" s="61">
        <f>G62+G64+G66</f>
        <v>11.136584993691109</v>
      </c>
      <c r="H72" s="61"/>
      <c r="I72" s="61">
        <f>I62+I64+I66</f>
        <v>26.401892877999124</v>
      </c>
      <c r="J72" s="61"/>
      <c r="K72" s="61">
        <f>K62+K64+K66</f>
        <v>9.426509592525942</v>
      </c>
      <c r="L72" s="59"/>
      <c r="M72" s="61">
        <f t="shared" si="3"/>
        <v>15.654995821405393</v>
      </c>
    </row>
    <row r="73" spans="6:13" s="58" customFormat="1" ht="12.75">
      <c r="F73" s="59"/>
      <c r="G73" s="61"/>
      <c r="H73" s="61"/>
      <c r="I73" s="61"/>
      <c r="J73" s="61"/>
      <c r="K73" s="61"/>
      <c r="L73" s="59"/>
      <c r="M73" s="59"/>
    </row>
    <row r="74" spans="2:44" s="62" customFormat="1" ht="12.75">
      <c r="B74" s="62" t="s">
        <v>193</v>
      </c>
      <c r="C74" s="62" t="s">
        <v>304</v>
      </c>
      <c r="D74" s="62" t="s">
        <v>17</v>
      </c>
      <c r="G74" s="63">
        <v>99.999959</v>
      </c>
      <c r="H74" s="63"/>
      <c r="I74" s="63">
        <v>99.999995</v>
      </c>
      <c r="J74" s="63"/>
      <c r="K74" s="63">
        <v>99.999995</v>
      </c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</row>
    <row r="75" spans="2:44" s="62" customFormat="1" ht="12.75">
      <c r="B75" s="62" t="s">
        <v>224</v>
      </c>
      <c r="C75" s="62" t="s">
        <v>304</v>
      </c>
      <c r="D75" s="62" t="s">
        <v>17</v>
      </c>
      <c r="G75" s="63">
        <v>99.999965</v>
      </c>
      <c r="H75" s="63"/>
      <c r="I75" s="63">
        <v>99.999965</v>
      </c>
      <c r="J75" s="63"/>
      <c r="K75" s="63">
        <v>99.999848</v>
      </c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</row>
    <row r="76" spans="2:44" s="62" customFormat="1" ht="12.75">
      <c r="B76" s="62" t="s">
        <v>225</v>
      </c>
      <c r="C76" s="62" t="s">
        <v>304</v>
      </c>
      <c r="D76" s="62" t="s">
        <v>17</v>
      </c>
      <c r="G76" s="63">
        <v>99.999983</v>
      </c>
      <c r="H76" s="63"/>
      <c r="I76" s="63">
        <v>99.999984</v>
      </c>
      <c r="J76" s="63"/>
      <c r="K76" s="63">
        <v>99.999862</v>
      </c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</row>
    <row r="77" spans="7:44" s="62" customFormat="1" ht="12.75"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</row>
    <row r="78" spans="2:13" s="58" customFormat="1" ht="12.75">
      <c r="B78" s="58" t="s">
        <v>114</v>
      </c>
      <c r="C78" s="58" t="s">
        <v>227</v>
      </c>
      <c r="D78" s="62" t="s">
        <v>302</v>
      </c>
      <c r="F78" s="59"/>
      <c r="G78" s="61"/>
      <c r="H78" s="61"/>
      <c r="I78" s="61"/>
      <c r="J78" s="61"/>
      <c r="K78" s="61"/>
      <c r="L78" s="59"/>
      <c r="M78" s="59"/>
    </row>
    <row r="79" spans="2:50" s="58" customFormat="1" ht="12.75">
      <c r="B79" s="10" t="s">
        <v>93</v>
      </c>
      <c r="C79" s="10"/>
      <c r="D79" s="10" t="s">
        <v>16</v>
      </c>
      <c r="G79" s="61">
        <v>34278</v>
      </c>
      <c r="H79" s="61"/>
      <c r="I79" s="61">
        <v>31509</v>
      </c>
      <c r="J79" s="61"/>
      <c r="K79" s="61">
        <v>31127</v>
      </c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</row>
    <row r="80" spans="2:50" s="58" customFormat="1" ht="12.75">
      <c r="B80" s="10" t="s">
        <v>108</v>
      </c>
      <c r="C80" s="10"/>
      <c r="D80" s="10" t="s">
        <v>17</v>
      </c>
      <c r="G80" s="61">
        <v>10.45</v>
      </c>
      <c r="H80" s="61"/>
      <c r="I80" s="61">
        <v>8.88</v>
      </c>
      <c r="J80" s="61"/>
      <c r="K80" s="61">
        <v>8.96</v>
      </c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</row>
    <row r="81" spans="2:50" s="58" customFormat="1" ht="12.75">
      <c r="B81" s="10" t="s">
        <v>109</v>
      </c>
      <c r="C81" s="10"/>
      <c r="D81" s="10" t="s">
        <v>17</v>
      </c>
      <c r="G81" s="61">
        <v>22.4</v>
      </c>
      <c r="H81" s="61"/>
      <c r="I81" s="61">
        <v>24.4</v>
      </c>
      <c r="J81" s="61"/>
      <c r="K81" s="61">
        <v>25.1</v>
      </c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</row>
    <row r="82" spans="2:50" s="58" customFormat="1" ht="12.75">
      <c r="B82" s="10" t="s">
        <v>92</v>
      </c>
      <c r="C82" s="10"/>
      <c r="D82" s="10" t="s">
        <v>18</v>
      </c>
      <c r="G82" s="61">
        <v>144</v>
      </c>
      <c r="H82" s="61"/>
      <c r="I82" s="61">
        <v>146</v>
      </c>
      <c r="J82" s="61"/>
      <c r="K82" s="61">
        <v>144</v>
      </c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</row>
    <row r="83" spans="7:50" s="58" customFormat="1" ht="12.75"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</row>
    <row r="84" spans="2:50" s="58" customFormat="1" ht="12.75">
      <c r="B84" s="58" t="s">
        <v>114</v>
      </c>
      <c r="C84" s="58" t="s">
        <v>182</v>
      </c>
      <c r="D84" s="10" t="s">
        <v>303</v>
      </c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</row>
    <row r="85" spans="2:50" s="58" customFormat="1" ht="12.75">
      <c r="B85" s="10" t="s">
        <v>93</v>
      </c>
      <c r="C85" s="10"/>
      <c r="D85" s="10" t="s">
        <v>16</v>
      </c>
      <c r="G85" s="61">
        <v>33523</v>
      </c>
      <c r="H85" s="61"/>
      <c r="I85" s="61">
        <v>30830</v>
      </c>
      <c r="J85" s="61"/>
      <c r="K85" s="61">
        <v>29811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</row>
    <row r="86" spans="2:50" s="58" customFormat="1" ht="12.75">
      <c r="B86" s="10" t="s">
        <v>108</v>
      </c>
      <c r="C86" s="10"/>
      <c r="D86" s="10" t="s">
        <v>17</v>
      </c>
      <c r="G86" s="61">
        <v>10.45</v>
      </c>
      <c r="H86" s="61"/>
      <c r="I86" s="61">
        <v>8.88</v>
      </c>
      <c r="J86" s="61"/>
      <c r="K86" s="61">
        <v>8.96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</row>
    <row r="87" spans="2:50" s="58" customFormat="1" ht="12.75">
      <c r="B87" s="10" t="s">
        <v>109</v>
      </c>
      <c r="C87" s="10"/>
      <c r="D87" s="10" t="s">
        <v>17</v>
      </c>
      <c r="G87" s="61">
        <v>22.7</v>
      </c>
      <c r="H87" s="61"/>
      <c r="I87" s="61">
        <v>24</v>
      </c>
      <c r="J87" s="61"/>
      <c r="K87" s="61">
        <v>24.5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</row>
    <row r="88" spans="2:50" s="58" customFormat="1" ht="12.75">
      <c r="B88" s="10" t="s">
        <v>92</v>
      </c>
      <c r="C88" s="10"/>
      <c r="D88" s="10" t="s">
        <v>18</v>
      </c>
      <c r="G88" s="61">
        <v>144</v>
      </c>
      <c r="H88" s="61"/>
      <c r="I88" s="61">
        <v>144</v>
      </c>
      <c r="J88" s="61"/>
      <c r="K88" s="61">
        <v>144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</row>
    <row r="89" spans="7:50" s="58" customFormat="1" ht="12.75"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</row>
    <row r="90" spans="2:50" s="58" customFormat="1" ht="12.75">
      <c r="B90" s="58" t="s">
        <v>114</v>
      </c>
      <c r="C90" s="58" t="s">
        <v>228</v>
      </c>
      <c r="D90" s="10" t="s">
        <v>304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</row>
    <row r="91" spans="2:50" s="58" customFormat="1" ht="12.75">
      <c r="B91" s="10" t="s">
        <v>93</v>
      </c>
      <c r="C91" s="10"/>
      <c r="D91" s="10" t="s">
        <v>16</v>
      </c>
      <c r="G91" s="61">
        <v>34493</v>
      </c>
      <c r="H91" s="61"/>
      <c r="I91" s="61">
        <v>32060</v>
      </c>
      <c r="J91" s="61"/>
      <c r="K91" s="61">
        <v>31887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</row>
    <row r="92" spans="2:50" s="58" customFormat="1" ht="12.75">
      <c r="B92" s="10" t="s">
        <v>108</v>
      </c>
      <c r="C92" s="10"/>
      <c r="D92" s="10" t="s">
        <v>17</v>
      </c>
      <c r="G92" s="61">
        <v>9.29</v>
      </c>
      <c r="H92" s="61"/>
      <c r="I92" s="61">
        <v>9.65</v>
      </c>
      <c r="J92" s="61"/>
      <c r="K92" s="61">
        <v>8.55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</row>
    <row r="93" spans="2:50" s="58" customFormat="1" ht="12.75">
      <c r="B93" s="10" t="s">
        <v>109</v>
      </c>
      <c r="C93" s="10"/>
      <c r="D93" s="10" t="s">
        <v>17</v>
      </c>
      <c r="G93" s="61">
        <v>24.1</v>
      </c>
      <c r="H93" s="61"/>
      <c r="I93" s="61">
        <v>24.9</v>
      </c>
      <c r="J93" s="61"/>
      <c r="K93" s="61">
        <v>23.5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</row>
    <row r="94" spans="2:50" s="58" customFormat="1" ht="12.75">
      <c r="B94" s="10" t="s">
        <v>92</v>
      </c>
      <c r="C94" s="10"/>
      <c r="D94" s="10" t="s">
        <v>18</v>
      </c>
      <c r="G94" s="61">
        <v>150</v>
      </c>
      <c r="H94" s="61"/>
      <c r="I94" s="61">
        <v>143</v>
      </c>
      <c r="J94" s="61"/>
      <c r="K94" s="61">
        <v>148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</row>
    <row r="95" spans="6:13" s="58" customFormat="1" ht="12.75">
      <c r="F95" s="59"/>
      <c r="G95" s="61"/>
      <c r="H95" s="61"/>
      <c r="I95" s="61"/>
      <c r="J95" s="61"/>
      <c r="K95" s="61"/>
      <c r="L95" s="59"/>
      <c r="M95" s="59"/>
    </row>
    <row r="96" spans="2:13" s="58" customFormat="1" ht="12.75">
      <c r="B96" s="44" t="s">
        <v>208</v>
      </c>
      <c r="F96" s="59"/>
      <c r="G96" s="73" t="s">
        <v>218</v>
      </c>
      <c r="H96" s="73"/>
      <c r="I96" s="73" t="s">
        <v>219</v>
      </c>
      <c r="J96" s="73"/>
      <c r="K96" s="73" t="s">
        <v>220</v>
      </c>
      <c r="L96" s="73"/>
      <c r="M96" s="73" t="s">
        <v>221</v>
      </c>
    </row>
    <row r="97" spans="6:13" s="58" customFormat="1" ht="12.75">
      <c r="F97" s="59"/>
      <c r="G97" s="61"/>
      <c r="H97" s="61"/>
      <c r="I97" s="61"/>
      <c r="J97" s="61"/>
      <c r="K97" s="61"/>
      <c r="L97" s="59"/>
      <c r="M97" s="59"/>
    </row>
    <row r="98" spans="2:13" s="58" customFormat="1" ht="12.75">
      <c r="B98" s="58" t="s">
        <v>12</v>
      </c>
      <c r="C98" s="58" t="s">
        <v>302</v>
      </c>
      <c r="D98" s="58" t="s">
        <v>13</v>
      </c>
      <c r="E98" s="58" t="s">
        <v>14</v>
      </c>
      <c r="F98" s="59" t="s">
        <v>222</v>
      </c>
      <c r="G98" s="60">
        <v>0</v>
      </c>
      <c r="H98" s="60" t="s">
        <v>222</v>
      </c>
      <c r="I98" s="60">
        <v>0.0012</v>
      </c>
      <c r="J98" s="60" t="s">
        <v>222</v>
      </c>
      <c r="K98" s="60">
        <v>0.0002</v>
      </c>
      <c r="L98" s="60" t="s">
        <v>222</v>
      </c>
      <c r="M98" s="60">
        <f>AVERAGE(G98,I98,K98)</f>
        <v>0.00046666666666666666</v>
      </c>
    </row>
    <row r="99" spans="2:13" s="58" customFormat="1" ht="12.75">
      <c r="B99" s="58" t="s">
        <v>74</v>
      </c>
      <c r="C99" s="58" t="s">
        <v>302</v>
      </c>
      <c r="D99" s="58" t="s">
        <v>15</v>
      </c>
      <c r="E99" s="58" t="s">
        <v>14</v>
      </c>
      <c r="F99" s="59" t="s">
        <v>222</v>
      </c>
      <c r="G99" s="61">
        <v>12.485270487413</v>
      </c>
      <c r="H99" s="61" t="s">
        <v>222</v>
      </c>
      <c r="I99" s="61">
        <v>4.094534711964549</v>
      </c>
      <c r="J99" s="61" t="s">
        <v>222</v>
      </c>
      <c r="K99" s="61">
        <v>12.687950566426364</v>
      </c>
      <c r="L99" s="59" t="s">
        <v>222</v>
      </c>
      <c r="M99" s="61">
        <f aca="true" t="shared" si="4" ref="M99:M113">AVERAGE(G99,I99,K99)</f>
        <v>9.755918588601304</v>
      </c>
    </row>
    <row r="100" spans="2:13" s="58" customFormat="1" ht="12.75">
      <c r="B100" s="58" t="s">
        <v>75</v>
      </c>
      <c r="C100" s="58" t="s">
        <v>302</v>
      </c>
      <c r="D100" s="58" t="s">
        <v>15</v>
      </c>
      <c r="E100" s="58" t="s">
        <v>14</v>
      </c>
      <c r="F100" s="59" t="s">
        <v>222</v>
      </c>
      <c r="G100" s="61">
        <v>8.548473486877343</v>
      </c>
      <c r="H100" s="61" t="s">
        <v>222</v>
      </c>
      <c r="I100" s="61">
        <v>5.2112259970458</v>
      </c>
      <c r="J100" s="61" t="s">
        <v>222</v>
      </c>
      <c r="K100" s="61">
        <v>7.0648815653965</v>
      </c>
      <c r="L100" s="59" t="s">
        <v>222</v>
      </c>
      <c r="M100" s="61">
        <f t="shared" si="4"/>
        <v>6.941527016439881</v>
      </c>
    </row>
    <row r="101" spans="2:13" s="58" customFormat="1" ht="12.75">
      <c r="B101" s="58" t="s">
        <v>51</v>
      </c>
      <c r="C101" s="58" t="s">
        <v>302</v>
      </c>
      <c r="D101" s="58" t="s">
        <v>15</v>
      </c>
      <c r="E101" s="58" t="s">
        <v>14</v>
      </c>
      <c r="F101" s="59" t="s">
        <v>222</v>
      </c>
      <c r="G101" s="61">
        <v>0.60683566622476</v>
      </c>
      <c r="H101" s="61" t="s">
        <v>161</v>
      </c>
      <c r="I101" s="61">
        <v>0.22838629718979347</v>
      </c>
      <c r="J101" s="61" t="s">
        <v>222</v>
      </c>
      <c r="K101" s="61">
        <v>3.271916606731</v>
      </c>
      <c r="L101" s="59" t="s">
        <v>222</v>
      </c>
      <c r="M101" s="61">
        <f t="shared" si="4"/>
        <v>1.369046190048518</v>
      </c>
    </row>
    <row r="102" spans="2:13" s="58" customFormat="1" ht="12.75">
      <c r="B102" s="58" t="s">
        <v>52</v>
      </c>
      <c r="C102" s="58" t="s">
        <v>302</v>
      </c>
      <c r="D102" s="58" t="s">
        <v>15</v>
      </c>
      <c r="E102" s="58" t="s">
        <v>14</v>
      </c>
      <c r="F102" s="59" t="s">
        <v>222</v>
      </c>
      <c r="G102" s="61">
        <v>0.3007457020123043</v>
      </c>
      <c r="H102" s="61" t="s">
        <v>222</v>
      </c>
      <c r="I102" s="61">
        <v>0.12211096973019309</v>
      </c>
      <c r="J102" s="61" t="s">
        <v>222</v>
      </c>
      <c r="K102" s="61">
        <v>0.14778197813719235</v>
      </c>
      <c r="L102" s="59" t="s">
        <v>222</v>
      </c>
      <c r="M102" s="61">
        <f t="shared" si="4"/>
        <v>0.1902128832932299</v>
      </c>
    </row>
    <row r="103" spans="2:13" s="58" customFormat="1" ht="12.75">
      <c r="B103" s="58" t="s">
        <v>113</v>
      </c>
      <c r="C103" s="58" t="s">
        <v>302</v>
      </c>
      <c r="D103" s="58" t="s">
        <v>15</v>
      </c>
      <c r="E103" s="58" t="s">
        <v>14</v>
      </c>
      <c r="F103" s="59"/>
      <c r="G103" s="61">
        <f>G101+2*G102</f>
        <v>1.2083270702493687</v>
      </c>
      <c r="H103" s="61"/>
      <c r="I103" s="61">
        <f>I101+2*I102</f>
        <v>0.47260823665017965</v>
      </c>
      <c r="J103" s="61"/>
      <c r="K103" s="61">
        <f>K101+2*K102</f>
        <v>3.5674805630053847</v>
      </c>
      <c r="L103" s="59"/>
      <c r="M103" s="61">
        <f t="shared" si="4"/>
        <v>1.749471956634978</v>
      </c>
    </row>
    <row r="104" spans="2:13" s="58" customFormat="1" ht="12.75">
      <c r="B104" s="58" t="s">
        <v>95</v>
      </c>
      <c r="C104" s="62" t="s">
        <v>303</v>
      </c>
      <c r="D104" s="58" t="s">
        <v>63</v>
      </c>
      <c r="E104" s="58" t="s">
        <v>14</v>
      </c>
      <c r="F104" s="59" t="s">
        <v>161</v>
      </c>
      <c r="G104" s="61">
        <v>6.8866396110014</v>
      </c>
      <c r="H104" s="61" t="s">
        <v>161</v>
      </c>
      <c r="I104" s="61">
        <v>7.163221462215055</v>
      </c>
      <c r="J104" s="61" t="s">
        <v>161</v>
      </c>
      <c r="K104" s="61">
        <v>5.1747019454051</v>
      </c>
      <c r="L104" s="59" t="s">
        <v>222</v>
      </c>
      <c r="M104" s="61">
        <f t="shared" si="4"/>
        <v>6.408187672873852</v>
      </c>
    </row>
    <row r="105" spans="2:13" s="58" customFormat="1" ht="12.75">
      <c r="B105" s="58" t="s">
        <v>96</v>
      </c>
      <c r="C105" s="62" t="s">
        <v>303</v>
      </c>
      <c r="D105" s="58" t="s">
        <v>63</v>
      </c>
      <c r="E105" s="58" t="s">
        <v>14</v>
      </c>
      <c r="F105" s="59" t="s">
        <v>161</v>
      </c>
      <c r="G105" s="61">
        <v>5.824887893673556</v>
      </c>
      <c r="H105" s="61" t="s">
        <v>161</v>
      </c>
      <c r="I105" s="61">
        <v>6.057489290195282</v>
      </c>
      <c r="J105" s="61" t="s">
        <v>161</v>
      </c>
      <c r="K105" s="61">
        <v>8.1316744856366</v>
      </c>
      <c r="L105" s="59" t="s">
        <v>222</v>
      </c>
      <c r="M105" s="61">
        <f t="shared" si="4"/>
        <v>6.671350556501813</v>
      </c>
    </row>
    <row r="106" spans="2:13" s="58" customFormat="1" ht="12.75">
      <c r="B106" s="58" t="s">
        <v>97</v>
      </c>
      <c r="C106" s="62" t="s">
        <v>303</v>
      </c>
      <c r="D106" s="58" t="s">
        <v>63</v>
      </c>
      <c r="E106" s="58" t="s">
        <v>14</v>
      </c>
      <c r="F106" s="59" t="s">
        <v>222</v>
      </c>
      <c r="G106" s="61">
        <v>2.905070671022</v>
      </c>
      <c r="H106" s="61" t="s">
        <v>222</v>
      </c>
      <c r="I106" s="61">
        <v>3.4133471397132147</v>
      </c>
      <c r="J106" s="61" t="s">
        <v>222</v>
      </c>
      <c r="K106" s="61">
        <v>4.9649167314022</v>
      </c>
      <c r="L106" s="59" t="s">
        <v>222</v>
      </c>
      <c r="M106" s="61">
        <f t="shared" si="4"/>
        <v>3.7611115140458047</v>
      </c>
    </row>
    <row r="107" spans="2:13" s="58" customFormat="1" ht="12.75">
      <c r="B107" s="58" t="s">
        <v>98</v>
      </c>
      <c r="C107" s="62" t="s">
        <v>303</v>
      </c>
      <c r="D107" s="58" t="s">
        <v>63</v>
      </c>
      <c r="E107" s="58" t="s">
        <v>14</v>
      </c>
      <c r="F107" s="59" t="s">
        <v>161</v>
      </c>
      <c r="G107" s="61">
        <v>0.22857155025807624</v>
      </c>
      <c r="H107" s="61" t="s">
        <v>161</v>
      </c>
      <c r="I107" s="61">
        <v>0.23797279354338605</v>
      </c>
      <c r="J107" s="61" t="s">
        <v>161</v>
      </c>
      <c r="K107" s="61">
        <v>0.3196727070520527</v>
      </c>
      <c r="L107" s="59" t="s">
        <v>222</v>
      </c>
      <c r="M107" s="61">
        <f t="shared" si="4"/>
        <v>0.262072350284505</v>
      </c>
    </row>
    <row r="108" spans="2:13" s="58" customFormat="1" ht="12.75">
      <c r="B108" s="58" t="s">
        <v>99</v>
      </c>
      <c r="C108" s="62" t="s">
        <v>303</v>
      </c>
      <c r="D108" s="58" t="s">
        <v>63</v>
      </c>
      <c r="E108" s="58" t="s">
        <v>14</v>
      </c>
      <c r="F108" s="59" t="s">
        <v>222</v>
      </c>
      <c r="G108" s="61">
        <v>44.092189372364395</v>
      </c>
      <c r="H108" s="61" t="s">
        <v>222</v>
      </c>
      <c r="I108" s="61">
        <v>9.534936845677759</v>
      </c>
      <c r="J108" s="61" t="s">
        <v>222</v>
      </c>
      <c r="K108" s="61">
        <v>2.4375043912719</v>
      </c>
      <c r="L108" s="59" t="s">
        <v>222</v>
      </c>
      <c r="M108" s="61">
        <f t="shared" si="4"/>
        <v>18.688210203104685</v>
      </c>
    </row>
    <row r="109" spans="2:13" s="58" customFormat="1" ht="12.75">
      <c r="B109" s="58" t="s">
        <v>112</v>
      </c>
      <c r="C109" s="62" t="s">
        <v>303</v>
      </c>
      <c r="D109" s="58" t="s">
        <v>63</v>
      </c>
      <c r="E109" s="58" t="s">
        <v>14</v>
      </c>
      <c r="F109" s="59" t="s">
        <v>222</v>
      </c>
      <c r="G109" s="61">
        <v>4.03318187068283</v>
      </c>
      <c r="H109" s="61" t="s">
        <v>222</v>
      </c>
      <c r="I109" s="61">
        <v>9.45481132596618</v>
      </c>
      <c r="J109" s="61" t="s">
        <v>222</v>
      </c>
      <c r="K109" s="61">
        <v>9.17061078355576</v>
      </c>
      <c r="L109" s="59" t="s">
        <v>222</v>
      </c>
      <c r="M109" s="61">
        <f t="shared" si="4"/>
        <v>7.55286799340159</v>
      </c>
    </row>
    <row r="110" spans="2:13" s="58" customFormat="1" ht="12.75">
      <c r="B110" s="58" t="s">
        <v>94</v>
      </c>
      <c r="C110" s="62" t="s">
        <v>303</v>
      </c>
      <c r="D110" s="58" t="s">
        <v>63</v>
      </c>
      <c r="E110" s="58" t="s">
        <v>14</v>
      </c>
      <c r="F110" s="59" t="s">
        <v>222</v>
      </c>
      <c r="G110" s="61">
        <v>11.649775787347112</v>
      </c>
      <c r="H110" s="61" t="s">
        <v>222</v>
      </c>
      <c r="I110" s="61">
        <v>24.278032472608</v>
      </c>
      <c r="J110" s="61" t="s">
        <v>222</v>
      </c>
      <c r="K110" s="61">
        <v>20.678828237429656</v>
      </c>
      <c r="L110" s="59" t="s">
        <v>222</v>
      </c>
      <c r="M110" s="61">
        <f t="shared" si="4"/>
        <v>18.86887883246159</v>
      </c>
    </row>
    <row r="111" spans="2:13" s="58" customFormat="1" ht="12.75">
      <c r="B111" s="58" t="s">
        <v>100</v>
      </c>
      <c r="C111" s="62" t="s">
        <v>303</v>
      </c>
      <c r="D111" s="58" t="s">
        <v>63</v>
      </c>
      <c r="E111" s="58" t="s">
        <v>14</v>
      </c>
      <c r="F111" s="59" t="s">
        <v>222</v>
      </c>
      <c r="G111" s="61">
        <v>788.9405121811019</v>
      </c>
      <c r="H111" s="61" t="s">
        <v>222</v>
      </c>
      <c r="I111" s="61">
        <v>157.84727383180825</v>
      </c>
      <c r="J111" s="61" t="s">
        <v>222</v>
      </c>
      <c r="K111" s="61">
        <v>2587.350972702551</v>
      </c>
      <c r="L111" s="59" t="s">
        <v>222</v>
      </c>
      <c r="M111" s="61">
        <f t="shared" si="4"/>
        <v>1178.0462529051538</v>
      </c>
    </row>
    <row r="112" spans="2:13" s="58" customFormat="1" ht="12.75">
      <c r="B112" s="58" t="s">
        <v>103</v>
      </c>
      <c r="C112" s="62" t="s">
        <v>303</v>
      </c>
      <c r="D112" s="58" t="s">
        <v>63</v>
      </c>
      <c r="E112" s="58" t="s">
        <v>14</v>
      </c>
      <c r="F112" s="59" t="s">
        <v>161</v>
      </c>
      <c r="G112" s="61">
        <v>2.278342226765986</v>
      </c>
      <c r="H112" s="61" t="s">
        <v>161</v>
      </c>
      <c r="I112" s="61">
        <v>2.3717153834627</v>
      </c>
      <c r="J112" s="61" t="s">
        <v>161</v>
      </c>
      <c r="K112" s="61">
        <v>3.1767475263297738</v>
      </c>
      <c r="L112" s="59" t="s">
        <v>222</v>
      </c>
      <c r="M112" s="61">
        <f t="shared" si="4"/>
        <v>2.608935045519486</v>
      </c>
    </row>
    <row r="113" spans="2:13" s="58" customFormat="1" ht="12.75">
      <c r="B113" s="58" t="s">
        <v>104</v>
      </c>
      <c r="C113" s="62" t="s">
        <v>303</v>
      </c>
      <c r="D113" s="58" t="s">
        <v>63</v>
      </c>
      <c r="E113" s="58" t="s">
        <v>14</v>
      </c>
      <c r="F113" s="59" t="s">
        <v>161</v>
      </c>
      <c r="G113" s="61">
        <v>11.649775787347112</v>
      </c>
      <c r="H113" s="61" t="s">
        <v>161</v>
      </c>
      <c r="I113" s="61">
        <v>12.098953476448248</v>
      </c>
      <c r="J113" s="61" t="s">
        <v>161</v>
      </c>
      <c r="K113" s="61">
        <v>16.283328515464</v>
      </c>
      <c r="L113" s="59" t="s">
        <v>222</v>
      </c>
      <c r="M113" s="61">
        <f t="shared" si="4"/>
        <v>13.34401925975312</v>
      </c>
    </row>
    <row r="114" spans="2:13" s="58" customFormat="1" ht="12.75">
      <c r="B114" s="58" t="s">
        <v>64</v>
      </c>
      <c r="C114" s="62" t="s">
        <v>303</v>
      </c>
      <c r="D114" s="58" t="s">
        <v>63</v>
      </c>
      <c r="E114" s="58" t="s">
        <v>14</v>
      </c>
      <c r="F114" s="59"/>
      <c r="G114" s="61">
        <f>G110+G108</f>
        <v>55.741965159711505</v>
      </c>
      <c r="H114" s="61"/>
      <c r="I114" s="61">
        <f>I110+I108</f>
        <v>33.81296931828576</v>
      </c>
      <c r="J114" s="61"/>
      <c r="K114" s="61">
        <f>K110+K108</f>
        <v>23.116332628701556</v>
      </c>
      <c r="L114" s="59"/>
      <c r="M114" s="61">
        <f>AVERAGE(G114,I114,K114)</f>
        <v>37.55708903556627</v>
      </c>
    </row>
    <row r="115" spans="2:13" s="58" customFormat="1" ht="12.75">
      <c r="B115" s="58" t="s">
        <v>65</v>
      </c>
      <c r="C115" s="62" t="s">
        <v>303</v>
      </c>
      <c r="D115" s="58" t="s">
        <v>63</v>
      </c>
      <c r="E115" s="58" t="s">
        <v>14</v>
      </c>
      <c r="F115" s="59"/>
      <c r="G115" s="61">
        <f>G109+G105+G107</f>
        <v>10.086641314614463</v>
      </c>
      <c r="H115" s="61"/>
      <c r="I115" s="61">
        <f>I109+I105+I107</f>
        <v>15.750273409704848</v>
      </c>
      <c r="J115" s="61"/>
      <c r="K115" s="61">
        <f>K109+K105+K107</f>
        <v>17.621957976244413</v>
      </c>
      <c r="L115" s="59"/>
      <c r="M115" s="61">
        <f>AVERAGE(G115,I115,K115)</f>
        <v>14.486290900187909</v>
      </c>
    </row>
    <row r="117" spans="2:44" s="62" customFormat="1" ht="12.75">
      <c r="B117" s="62" t="s">
        <v>193</v>
      </c>
      <c r="C117" s="62" t="s">
        <v>304</v>
      </c>
      <c r="D117" s="62" t="s">
        <v>17</v>
      </c>
      <c r="G117" s="63">
        <v>99.99998</v>
      </c>
      <c r="H117" s="63"/>
      <c r="I117" s="63">
        <v>99.999975</v>
      </c>
      <c r="J117" s="63"/>
      <c r="K117" s="63">
        <v>99.99998</v>
      </c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</row>
    <row r="118" spans="2:44" s="62" customFormat="1" ht="12.75">
      <c r="B118" s="62" t="s">
        <v>224</v>
      </c>
      <c r="C118" s="62" t="s">
        <v>304</v>
      </c>
      <c r="D118" s="62" t="s">
        <v>17</v>
      </c>
      <c r="G118" s="63">
        <v>99.999963</v>
      </c>
      <c r="H118" s="63"/>
      <c r="I118" s="63">
        <v>99.999975</v>
      </c>
      <c r="J118" s="63"/>
      <c r="K118" s="63">
        <v>99.999968</v>
      </c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</row>
    <row r="119" spans="2:44" s="62" customFormat="1" ht="12.75">
      <c r="B119" s="62" t="s">
        <v>225</v>
      </c>
      <c r="C119" s="62" t="s">
        <v>304</v>
      </c>
      <c r="D119" s="62" t="s">
        <v>17</v>
      </c>
      <c r="G119" s="63">
        <v>99.999987</v>
      </c>
      <c r="H119" s="63"/>
      <c r="I119" s="63">
        <v>99.999997</v>
      </c>
      <c r="J119" s="63"/>
      <c r="K119" s="63">
        <v>99.999997</v>
      </c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</row>
    <row r="120" spans="7:44" s="62" customFormat="1" ht="12.75"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</row>
    <row r="121" spans="2:4" ht="12.75">
      <c r="B121" s="58" t="s">
        <v>114</v>
      </c>
      <c r="C121" s="58" t="s">
        <v>227</v>
      </c>
      <c r="D121" s="62" t="s">
        <v>302</v>
      </c>
    </row>
    <row r="122" spans="2:50" s="58" customFormat="1" ht="12.75">
      <c r="B122" s="10" t="s">
        <v>93</v>
      </c>
      <c r="C122" s="10"/>
      <c r="D122" s="10" t="s">
        <v>16</v>
      </c>
      <c r="G122" s="61">
        <v>31476</v>
      </c>
      <c r="H122" s="61"/>
      <c r="I122" s="61">
        <v>34124</v>
      </c>
      <c r="J122" s="61"/>
      <c r="K122" s="61">
        <v>33108</v>
      </c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</row>
    <row r="123" spans="2:50" s="58" customFormat="1" ht="12.75">
      <c r="B123" s="10" t="s">
        <v>108</v>
      </c>
      <c r="C123" s="10"/>
      <c r="D123" s="10" t="s">
        <v>17</v>
      </c>
      <c r="G123" s="61">
        <v>8.06</v>
      </c>
      <c r="H123" s="61"/>
      <c r="I123" s="61">
        <v>9.9</v>
      </c>
      <c r="J123" s="61"/>
      <c r="K123" s="61">
        <v>12.17</v>
      </c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</row>
    <row r="124" spans="2:50" s="58" customFormat="1" ht="12.75">
      <c r="B124" s="10" t="s">
        <v>109</v>
      </c>
      <c r="C124" s="10"/>
      <c r="D124" s="10" t="s">
        <v>17</v>
      </c>
      <c r="G124" s="61">
        <v>27.6</v>
      </c>
      <c r="H124" s="61"/>
      <c r="I124" s="61">
        <v>25.7</v>
      </c>
      <c r="J124" s="61"/>
      <c r="K124" s="61">
        <v>25.7</v>
      </c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</row>
    <row r="125" spans="2:50" s="58" customFormat="1" ht="12.75">
      <c r="B125" s="10" t="s">
        <v>92</v>
      </c>
      <c r="C125" s="10"/>
      <c r="D125" s="10" t="s">
        <v>18</v>
      </c>
      <c r="G125" s="61">
        <v>150</v>
      </c>
      <c r="H125" s="61"/>
      <c r="I125" s="61">
        <v>146</v>
      </c>
      <c r="J125" s="61"/>
      <c r="K125" s="61">
        <v>143</v>
      </c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</row>
    <row r="126" spans="7:50" s="58" customFormat="1" ht="12.75"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</row>
    <row r="127" spans="2:50" s="58" customFormat="1" ht="12.75">
      <c r="B127" s="58" t="s">
        <v>114</v>
      </c>
      <c r="C127" s="58" t="s">
        <v>182</v>
      </c>
      <c r="D127" s="58" t="s">
        <v>303</v>
      </c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</row>
    <row r="128" spans="2:50" s="58" customFormat="1" ht="12.75">
      <c r="B128" s="10" t="s">
        <v>93</v>
      </c>
      <c r="C128" s="10"/>
      <c r="D128" s="10" t="s">
        <v>16</v>
      </c>
      <c r="G128" s="61">
        <v>31104</v>
      </c>
      <c r="H128" s="61"/>
      <c r="I128" s="61">
        <v>33367</v>
      </c>
      <c r="J128" s="61"/>
      <c r="K128" s="61">
        <v>33643</v>
      </c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</row>
    <row r="129" spans="2:50" s="58" customFormat="1" ht="12.75">
      <c r="B129" s="10" t="s">
        <v>108</v>
      </c>
      <c r="C129" s="10"/>
      <c r="D129" s="10" t="s">
        <v>17</v>
      </c>
      <c r="G129" s="61">
        <v>8.06</v>
      </c>
      <c r="H129" s="61"/>
      <c r="I129" s="61">
        <v>9.9</v>
      </c>
      <c r="J129" s="61"/>
      <c r="K129" s="61">
        <v>12.17</v>
      </c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</row>
    <row r="130" spans="2:50" s="58" customFormat="1" ht="12.75">
      <c r="B130" s="10" t="s">
        <v>109</v>
      </c>
      <c r="C130" s="10"/>
      <c r="D130" s="10" t="s">
        <v>17</v>
      </c>
      <c r="G130" s="61">
        <v>27.4</v>
      </c>
      <c r="H130" s="61"/>
      <c r="I130" s="61">
        <v>25.7</v>
      </c>
      <c r="J130" s="61"/>
      <c r="K130" s="61">
        <v>24.9</v>
      </c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</row>
    <row r="131" spans="2:50" s="58" customFormat="1" ht="12.75">
      <c r="B131" s="10" t="s">
        <v>92</v>
      </c>
      <c r="C131" s="10"/>
      <c r="D131" s="10" t="s">
        <v>18</v>
      </c>
      <c r="G131" s="61">
        <v>149</v>
      </c>
      <c r="H131" s="61"/>
      <c r="I131" s="61">
        <v>144</v>
      </c>
      <c r="J131" s="61"/>
      <c r="K131" s="61">
        <v>143</v>
      </c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</row>
    <row r="132" spans="7:50" s="58" customFormat="1" ht="12.75"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</row>
    <row r="133" spans="2:50" s="58" customFormat="1" ht="12.75">
      <c r="B133" s="58" t="s">
        <v>114</v>
      </c>
      <c r="C133" s="58" t="s">
        <v>228</v>
      </c>
      <c r="D133" s="58" t="s">
        <v>304</v>
      </c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</row>
    <row r="134" spans="2:50" s="58" customFormat="1" ht="12.75">
      <c r="B134" s="10" t="s">
        <v>93</v>
      </c>
      <c r="C134" s="10"/>
      <c r="D134" s="10" t="s">
        <v>16</v>
      </c>
      <c r="G134" s="61">
        <v>32953</v>
      </c>
      <c r="H134" s="61"/>
      <c r="I134" s="61">
        <v>33204</v>
      </c>
      <c r="J134" s="61"/>
      <c r="K134" s="61">
        <v>32334</v>
      </c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</row>
    <row r="135" spans="2:50" s="58" customFormat="1" ht="12.75">
      <c r="B135" s="10" t="s">
        <v>108</v>
      </c>
      <c r="C135" s="10"/>
      <c r="D135" s="10" t="s">
        <v>17</v>
      </c>
      <c r="G135" s="61">
        <v>9.54</v>
      </c>
      <c r="H135" s="61"/>
      <c r="I135" s="61">
        <v>9.35</v>
      </c>
      <c r="J135" s="61"/>
      <c r="K135" s="61">
        <v>9.53</v>
      </c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</row>
    <row r="136" spans="2:50" s="58" customFormat="1" ht="12.75">
      <c r="B136" s="10" t="s">
        <v>109</v>
      </c>
      <c r="C136" s="10"/>
      <c r="D136" s="10" t="s">
        <v>17</v>
      </c>
      <c r="G136" s="61">
        <v>24.7</v>
      </c>
      <c r="H136" s="61"/>
      <c r="I136" s="61">
        <v>25.3</v>
      </c>
      <c r="J136" s="61"/>
      <c r="K136" s="61">
        <v>29.4</v>
      </c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</row>
    <row r="137" spans="2:50" s="58" customFormat="1" ht="12.75">
      <c r="B137" s="10" t="s">
        <v>92</v>
      </c>
      <c r="C137" s="10"/>
      <c r="D137" s="10" t="s">
        <v>18</v>
      </c>
      <c r="G137" s="61">
        <v>147</v>
      </c>
      <c r="H137" s="61"/>
      <c r="I137" s="61">
        <v>147</v>
      </c>
      <c r="J137" s="61"/>
      <c r="K137" s="61">
        <v>155</v>
      </c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85"/>
  <sheetViews>
    <sheetView workbookViewId="0" topLeftCell="N1">
      <selection activeCell="C2" sqref="C2"/>
    </sheetView>
  </sheetViews>
  <sheetFormatPr defaultColWidth="9.140625" defaultRowHeight="12.75"/>
  <cols>
    <col min="1" max="1" width="3.421875" style="31" hidden="1" customWidth="1"/>
    <col min="2" max="2" width="20.140625" style="12" customWidth="1"/>
    <col min="3" max="3" width="9.00390625" style="12" customWidth="1"/>
    <col min="4" max="4" width="9.28125" style="12" customWidth="1"/>
    <col min="5" max="5" width="2.00390625" style="12" customWidth="1"/>
    <col min="6" max="6" width="9.28125" style="12" customWidth="1"/>
    <col min="7" max="7" width="3.8515625" style="31" customWidth="1"/>
    <col min="8" max="8" width="15.00390625" style="32" customWidth="1"/>
    <col min="9" max="9" width="4.140625" style="31" customWidth="1"/>
    <col min="10" max="10" width="12.8515625" style="31" customWidth="1"/>
    <col min="11" max="11" width="4.57421875" style="31" customWidth="1"/>
    <col min="12" max="12" width="11.140625" style="31" customWidth="1"/>
    <col min="13" max="13" width="3.8515625" style="31" customWidth="1"/>
    <col min="14" max="14" width="18.00390625" style="31" customWidth="1"/>
    <col min="15" max="15" width="3.8515625" style="31" customWidth="1"/>
    <col min="16" max="16" width="15.140625" style="31" customWidth="1"/>
    <col min="17" max="17" width="4.421875" style="31" customWidth="1"/>
    <col min="18" max="18" width="13.28125" style="31" customWidth="1"/>
    <col min="19" max="19" width="4.7109375" style="31" customWidth="1"/>
    <col min="20" max="20" width="14.00390625" style="31" customWidth="1"/>
    <col min="21" max="21" width="4.140625" style="31" customWidth="1"/>
    <col min="22" max="22" width="9.7109375" style="31" customWidth="1"/>
    <col min="23" max="23" width="4.00390625" style="31" bestFit="1" customWidth="1"/>
    <col min="24" max="24" width="8.8515625" style="31" customWidth="1"/>
    <col min="25" max="25" width="2.7109375" style="31" customWidth="1"/>
    <col min="26" max="26" width="9.7109375" style="31" customWidth="1"/>
    <col min="27" max="27" width="3.7109375" style="31" customWidth="1"/>
    <col min="28" max="28" width="9.57421875" style="31" bestFit="1" customWidth="1"/>
    <col min="29" max="29" width="3.57421875" style="31" customWidth="1"/>
    <col min="30" max="30" width="9.57421875" style="31" bestFit="1" customWidth="1"/>
    <col min="31" max="31" width="3.140625" style="31" customWidth="1"/>
    <col min="32" max="32" width="9.57421875" style="31" bestFit="1" customWidth="1"/>
    <col min="33" max="33" width="4.7109375" style="31" customWidth="1"/>
    <col min="34" max="34" width="9.57421875" style="31" bestFit="1" customWidth="1"/>
    <col min="35" max="16384" width="8.8515625" style="31" customWidth="1"/>
  </cols>
  <sheetData>
    <row r="1" spans="2:3" ht="12.75">
      <c r="B1" s="30" t="s">
        <v>285</v>
      </c>
      <c r="C1" s="30"/>
    </row>
    <row r="4" spans="1:34" ht="12.75">
      <c r="A4" s="31" t="s">
        <v>117</v>
      </c>
      <c r="B4" s="30" t="s">
        <v>195</v>
      </c>
      <c r="C4" s="30" t="s">
        <v>116</v>
      </c>
      <c r="F4" s="33" t="s">
        <v>221</v>
      </c>
      <c r="G4" s="33"/>
      <c r="H4" s="33" t="s">
        <v>221</v>
      </c>
      <c r="I4" s="33"/>
      <c r="J4" s="33" t="s">
        <v>221</v>
      </c>
      <c r="K4" s="33"/>
      <c r="L4" s="33" t="s">
        <v>221</v>
      </c>
      <c r="M4" s="33"/>
      <c r="N4" s="33" t="s">
        <v>221</v>
      </c>
      <c r="O4" s="33"/>
      <c r="P4" s="33" t="s">
        <v>221</v>
      </c>
      <c r="Q4" s="33"/>
      <c r="R4" s="33" t="s">
        <v>221</v>
      </c>
      <c r="S4" s="33"/>
      <c r="T4" s="33" t="s">
        <v>221</v>
      </c>
      <c r="U4" s="33"/>
      <c r="V4" s="33" t="s">
        <v>221</v>
      </c>
      <c r="W4" s="33"/>
      <c r="X4" s="33" t="s">
        <v>221</v>
      </c>
      <c r="Y4" s="33"/>
      <c r="Z4" s="33" t="s">
        <v>221</v>
      </c>
      <c r="AA4" s="33"/>
      <c r="AB4" s="33" t="s">
        <v>218</v>
      </c>
      <c r="AC4" s="33"/>
      <c r="AD4" s="33" t="s">
        <v>219</v>
      </c>
      <c r="AE4" s="33"/>
      <c r="AF4" s="33" t="s">
        <v>220</v>
      </c>
      <c r="AG4" s="33"/>
      <c r="AH4" s="33" t="s">
        <v>221</v>
      </c>
    </row>
    <row r="5" spans="2:34" ht="12.75">
      <c r="B5" s="30"/>
      <c r="C5" s="30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2:34" ht="12.75">
      <c r="B6" s="12" t="s">
        <v>328</v>
      </c>
      <c r="C6" s="30"/>
      <c r="F6" s="33" t="s">
        <v>331</v>
      </c>
      <c r="G6" s="33"/>
      <c r="H6" s="33" t="s">
        <v>333</v>
      </c>
      <c r="I6" s="33"/>
      <c r="J6" s="33" t="s">
        <v>335</v>
      </c>
      <c r="K6" s="33"/>
      <c r="L6" s="33" t="s">
        <v>336</v>
      </c>
      <c r="M6" s="33"/>
      <c r="N6" s="33" t="s">
        <v>338</v>
      </c>
      <c r="O6" s="33"/>
      <c r="P6" s="33" t="s">
        <v>339</v>
      </c>
      <c r="Q6" s="33"/>
      <c r="R6" s="33" t="s">
        <v>340</v>
      </c>
      <c r="S6" s="33"/>
      <c r="T6" s="33" t="s">
        <v>341</v>
      </c>
      <c r="U6" s="33"/>
      <c r="V6" s="33"/>
      <c r="W6" s="33"/>
      <c r="X6" s="33" t="s">
        <v>342</v>
      </c>
      <c r="Y6" s="33"/>
      <c r="Z6" s="33" t="s">
        <v>343</v>
      </c>
      <c r="AA6" s="33"/>
      <c r="AB6" s="33" t="s">
        <v>344</v>
      </c>
      <c r="AC6" s="33"/>
      <c r="AD6" s="33" t="s">
        <v>344</v>
      </c>
      <c r="AE6" s="33"/>
      <c r="AF6" s="33" t="s">
        <v>344</v>
      </c>
      <c r="AG6" s="33"/>
      <c r="AH6" s="33" t="s">
        <v>344</v>
      </c>
    </row>
    <row r="7" spans="2:34" ht="12.75">
      <c r="B7" s="12" t="s">
        <v>329</v>
      </c>
      <c r="F7" s="12" t="s">
        <v>330</v>
      </c>
      <c r="H7" s="32" t="s">
        <v>334</v>
      </c>
      <c r="J7" s="32" t="s">
        <v>334</v>
      </c>
      <c r="L7" s="32" t="s">
        <v>334</v>
      </c>
      <c r="N7" s="32" t="s">
        <v>334</v>
      </c>
      <c r="P7" s="32" t="s">
        <v>334</v>
      </c>
      <c r="R7" s="32" t="s">
        <v>334</v>
      </c>
      <c r="T7" s="32" t="s">
        <v>334</v>
      </c>
      <c r="U7" s="32"/>
      <c r="V7" s="32"/>
      <c r="X7" s="31" t="s">
        <v>310</v>
      </c>
      <c r="Z7" s="31" t="s">
        <v>62</v>
      </c>
      <c r="AB7" s="31" t="s">
        <v>24</v>
      </c>
      <c r="AD7" s="31" t="s">
        <v>24</v>
      </c>
      <c r="AF7" s="31" t="s">
        <v>24</v>
      </c>
      <c r="AH7" s="31" t="s">
        <v>24</v>
      </c>
    </row>
    <row r="8" spans="2:34" ht="12.75">
      <c r="B8" s="12" t="s">
        <v>345</v>
      </c>
      <c r="J8" s="32"/>
      <c r="L8" s="32"/>
      <c r="N8" s="32"/>
      <c r="P8" s="32"/>
      <c r="R8" s="32"/>
      <c r="T8" s="32"/>
      <c r="U8" s="32"/>
      <c r="V8" s="32" t="s">
        <v>73</v>
      </c>
      <c r="X8" s="31" t="s">
        <v>346</v>
      </c>
      <c r="Z8" s="31" t="s">
        <v>62</v>
      </c>
      <c r="AB8" s="31" t="s">
        <v>24</v>
      </c>
      <c r="AD8" s="31" t="s">
        <v>24</v>
      </c>
      <c r="AF8" s="31" t="s">
        <v>24</v>
      </c>
      <c r="AH8" s="31" t="s">
        <v>24</v>
      </c>
    </row>
    <row r="9" spans="2:34" ht="12.75">
      <c r="B9" s="12" t="s">
        <v>46</v>
      </c>
      <c r="F9" s="12" t="s">
        <v>192</v>
      </c>
      <c r="G9" s="16"/>
      <c r="H9" s="16" t="s">
        <v>185</v>
      </c>
      <c r="I9" s="32"/>
      <c r="J9" s="31" t="s">
        <v>184</v>
      </c>
      <c r="K9" s="32"/>
      <c r="L9" s="32" t="s">
        <v>188</v>
      </c>
      <c r="M9" s="32"/>
      <c r="N9" s="32" t="s">
        <v>189</v>
      </c>
      <c r="O9" s="32"/>
      <c r="P9" s="31" t="s">
        <v>186</v>
      </c>
      <c r="R9" s="31" t="s">
        <v>187</v>
      </c>
      <c r="T9" s="32" t="s">
        <v>190</v>
      </c>
      <c r="U9" s="32"/>
      <c r="V9" s="32"/>
      <c r="X9" s="31" t="s">
        <v>191</v>
      </c>
      <c r="Z9" s="31" t="s">
        <v>62</v>
      </c>
      <c r="AB9" s="31" t="s">
        <v>24</v>
      </c>
      <c r="AD9" s="31" t="s">
        <v>24</v>
      </c>
      <c r="AF9" s="31" t="s">
        <v>24</v>
      </c>
      <c r="AH9" s="31" t="s">
        <v>24</v>
      </c>
    </row>
    <row r="10" spans="2:27" ht="12.75">
      <c r="B10" s="12" t="s">
        <v>119</v>
      </c>
      <c r="D10" s="12" t="s">
        <v>54</v>
      </c>
      <c r="G10" s="16"/>
      <c r="H10" s="32">
        <v>2207</v>
      </c>
      <c r="J10" s="31">
        <v>2170</v>
      </c>
      <c r="L10" s="31">
        <v>1867</v>
      </c>
      <c r="N10" s="31">
        <v>1611</v>
      </c>
      <c r="P10" s="31">
        <v>6530</v>
      </c>
      <c r="R10" s="31">
        <v>1351</v>
      </c>
      <c r="T10" s="31">
        <v>1710</v>
      </c>
      <c r="Z10" s="34">
        <f>338+141+2907+0.501</f>
        <v>3386.501</v>
      </c>
      <c r="AA10" s="34"/>
    </row>
    <row r="11" spans="2:13" ht="12.75">
      <c r="B11" s="12" t="s">
        <v>118</v>
      </c>
      <c r="D11" s="12" t="s">
        <v>60</v>
      </c>
      <c r="G11" s="16"/>
      <c r="H11" s="16"/>
      <c r="I11" s="34"/>
      <c r="L11" s="34"/>
      <c r="M11" s="34"/>
    </row>
    <row r="12" spans="2:24" ht="12.75">
      <c r="B12" s="12" t="s">
        <v>47</v>
      </c>
      <c r="D12" s="12" t="s">
        <v>48</v>
      </c>
      <c r="G12" s="16"/>
      <c r="H12" s="16">
        <v>13300</v>
      </c>
      <c r="J12" s="31">
        <v>2600</v>
      </c>
      <c r="L12" s="31">
        <v>14500</v>
      </c>
      <c r="N12" s="31">
        <v>9000</v>
      </c>
      <c r="O12" s="31" t="s">
        <v>161</v>
      </c>
      <c r="P12" s="31">
        <v>600</v>
      </c>
      <c r="T12" s="31">
        <v>8000</v>
      </c>
      <c r="X12" s="31">
        <v>19200</v>
      </c>
    </row>
    <row r="13" spans="2:24" ht="12.75">
      <c r="B13" s="12" t="s">
        <v>171</v>
      </c>
      <c r="D13" s="12" t="s">
        <v>172</v>
      </c>
      <c r="G13" s="16"/>
      <c r="H13" s="16">
        <v>8.02</v>
      </c>
      <c r="J13" s="31">
        <v>394</v>
      </c>
      <c r="L13" s="31">
        <v>7.5</v>
      </c>
      <c r="N13" s="31">
        <v>19</v>
      </c>
      <c r="P13" s="31">
        <v>3.51</v>
      </c>
      <c r="T13" s="31">
        <v>4.51</v>
      </c>
      <c r="X13" s="31">
        <v>5.76</v>
      </c>
    </row>
    <row r="14" spans="2:8" ht="12.75">
      <c r="B14" s="12" t="s">
        <v>55</v>
      </c>
      <c r="D14" s="12" t="s">
        <v>131</v>
      </c>
      <c r="G14" s="16"/>
      <c r="H14" s="16"/>
    </row>
    <row r="15" spans="2:35" ht="12.75">
      <c r="B15" s="12" t="s">
        <v>49</v>
      </c>
      <c r="D15" s="12" t="s">
        <v>54</v>
      </c>
      <c r="G15" s="16"/>
      <c r="H15" s="16"/>
      <c r="I15" s="13"/>
      <c r="J15" s="32"/>
      <c r="K15" s="32"/>
      <c r="L15" s="32"/>
      <c r="M15" s="32"/>
      <c r="N15" s="32"/>
      <c r="O15" s="32"/>
      <c r="AB15" s="31">
        <v>9764</v>
      </c>
      <c r="AD15" s="31">
        <v>10575</v>
      </c>
      <c r="AF15" s="31">
        <v>9342</v>
      </c>
      <c r="AH15" s="31">
        <v>9894</v>
      </c>
      <c r="AI15" s="31" t="s">
        <v>54</v>
      </c>
    </row>
    <row r="16" spans="2:35" ht="12.75">
      <c r="B16" s="12" t="s">
        <v>50</v>
      </c>
      <c r="D16" s="12" t="s">
        <v>170</v>
      </c>
      <c r="G16" s="16"/>
      <c r="H16" s="83">
        <f>(129000+163000+136000)/3</f>
        <v>142666.66666666666</v>
      </c>
      <c r="J16" s="31">
        <f>(56800+61100+62100+71400)/4</f>
        <v>62850</v>
      </c>
      <c r="L16" s="34">
        <f>(17700+134000+137000+133000)/4</f>
        <v>105425</v>
      </c>
      <c r="M16" s="34"/>
      <c r="N16" s="31">
        <f>(264000+337000+318000+353000)/4</f>
        <v>318000</v>
      </c>
      <c r="P16" s="31">
        <f>(403+1750+2800+2510)/4</f>
        <v>1865.75</v>
      </c>
      <c r="T16" s="31">
        <f>(399000+365000+370000+341000)/4</f>
        <v>368750</v>
      </c>
      <c r="X16" s="31">
        <v>1550</v>
      </c>
      <c r="Z16" s="34">
        <f>(2907/Z10)*1000000</f>
        <v>858408.1327600374</v>
      </c>
      <c r="AA16" s="37"/>
      <c r="AB16" s="31">
        <v>2984</v>
      </c>
      <c r="AD16" s="31">
        <v>2839</v>
      </c>
      <c r="AF16" s="31">
        <v>2897</v>
      </c>
      <c r="AH16" s="34">
        <v>2907</v>
      </c>
      <c r="AI16" s="31" t="s">
        <v>54</v>
      </c>
    </row>
    <row r="17" spans="2:35" ht="12.75">
      <c r="B17" s="12" t="s">
        <v>100</v>
      </c>
      <c r="D17" s="12" t="s">
        <v>170</v>
      </c>
      <c r="G17" s="16"/>
      <c r="H17" s="83">
        <f>(152+0.02+0.57)/3</f>
        <v>50.86333333333334</v>
      </c>
      <c r="I17" s="35"/>
      <c r="J17" s="37">
        <f>(0.153+0.23+0.206+0.02)/4</f>
        <v>0.15225</v>
      </c>
      <c r="K17" s="31" t="s">
        <v>161</v>
      </c>
      <c r="L17" s="31">
        <v>0.03</v>
      </c>
      <c r="M17" s="31" t="s">
        <v>161</v>
      </c>
      <c r="N17" s="31">
        <v>0.028</v>
      </c>
      <c r="O17" s="31" t="s">
        <v>161</v>
      </c>
      <c r="P17" s="31">
        <v>0.02</v>
      </c>
      <c r="T17" s="34">
        <f>(0.51+2.03+2.15+0.02)/4</f>
        <v>1.1774999999999998</v>
      </c>
      <c r="U17" s="34"/>
      <c r="V17" s="34"/>
      <c r="X17" s="31">
        <v>0.052</v>
      </c>
      <c r="Z17" s="34">
        <f>(0.501/Z10)*1000000</f>
        <v>147.94030770993422</v>
      </c>
      <c r="AA17" s="36"/>
      <c r="AB17" s="31">
        <v>0.501</v>
      </c>
      <c r="AD17" s="31">
        <v>0.5</v>
      </c>
      <c r="AF17" s="31">
        <v>0.501</v>
      </c>
      <c r="AH17" s="31">
        <v>0.501</v>
      </c>
      <c r="AI17" s="31" t="s">
        <v>54</v>
      </c>
    </row>
    <row r="18" spans="2:24" ht="12.75">
      <c r="B18" s="12" t="s">
        <v>95</v>
      </c>
      <c r="D18" s="12" t="s">
        <v>170</v>
      </c>
      <c r="G18" s="16" t="s">
        <v>161</v>
      </c>
      <c r="H18" s="16">
        <v>10</v>
      </c>
      <c r="I18" s="16" t="s">
        <v>161</v>
      </c>
      <c r="J18" s="32">
        <v>10</v>
      </c>
      <c r="K18" s="32"/>
      <c r="L18" s="31">
        <v>14</v>
      </c>
      <c r="N18" s="31">
        <v>11</v>
      </c>
      <c r="O18" s="31" t="s">
        <v>161</v>
      </c>
      <c r="P18" s="31">
        <v>10</v>
      </c>
      <c r="S18" s="31" t="s">
        <v>161</v>
      </c>
      <c r="T18" s="31">
        <v>10</v>
      </c>
      <c r="W18" s="31" t="s">
        <v>161</v>
      </c>
      <c r="X18" s="31">
        <v>10</v>
      </c>
    </row>
    <row r="19" spans="2:24" ht="12.75">
      <c r="B19" s="12" t="s">
        <v>96</v>
      </c>
      <c r="D19" s="12" t="s">
        <v>170</v>
      </c>
      <c r="G19" s="16"/>
      <c r="H19" s="16">
        <v>18</v>
      </c>
      <c r="I19" s="16" t="s">
        <v>161</v>
      </c>
      <c r="J19" s="32">
        <v>10</v>
      </c>
      <c r="K19" s="32" t="s">
        <v>161</v>
      </c>
      <c r="L19" s="31">
        <v>10</v>
      </c>
      <c r="M19" s="32" t="s">
        <v>161</v>
      </c>
      <c r="N19" s="31">
        <v>10</v>
      </c>
      <c r="O19" s="32" t="s">
        <v>161</v>
      </c>
      <c r="P19" s="31">
        <v>10</v>
      </c>
      <c r="S19" s="31" t="s">
        <v>161</v>
      </c>
      <c r="T19" s="31">
        <v>10</v>
      </c>
      <c r="W19" s="31" t="s">
        <v>161</v>
      </c>
      <c r="X19" s="31">
        <v>10</v>
      </c>
    </row>
    <row r="20" spans="2:24" ht="12.75">
      <c r="B20" s="12" t="s">
        <v>97</v>
      </c>
      <c r="D20" s="12" t="s">
        <v>170</v>
      </c>
      <c r="G20" s="16" t="s">
        <v>161</v>
      </c>
      <c r="H20" s="16">
        <v>10</v>
      </c>
      <c r="I20" s="16"/>
      <c r="J20" s="32">
        <v>42.5</v>
      </c>
      <c r="K20" s="32" t="s">
        <v>161</v>
      </c>
      <c r="L20" s="21">
        <v>10</v>
      </c>
      <c r="M20" s="32" t="s">
        <v>161</v>
      </c>
      <c r="N20" s="21">
        <v>10</v>
      </c>
      <c r="O20" s="32" t="s">
        <v>161</v>
      </c>
      <c r="P20" s="21">
        <v>10</v>
      </c>
      <c r="Q20" s="21"/>
      <c r="R20" s="21"/>
      <c r="S20" s="31" t="s">
        <v>161</v>
      </c>
      <c r="T20" s="31">
        <v>10</v>
      </c>
      <c r="W20" s="31" t="s">
        <v>161</v>
      </c>
      <c r="X20" s="31">
        <v>10</v>
      </c>
    </row>
    <row r="21" spans="2:24" ht="12.75">
      <c r="B21" s="12" t="s">
        <v>98</v>
      </c>
      <c r="D21" s="12" t="s">
        <v>170</v>
      </c>
      <c r="G21" s="16" t="s">
        <v>161</v>
      </c>
      <c r="H21" s="16">
        <v>5</v>
      </c>
      <c r="I21" s="16" t="s">
        <v>161</v>
      </c>
      <c r="J21" s="32">
        <v>5</v>
      </c>
      <c r="K21" s="32" t="s">
        <v>161</v>
      </c>
      <c r="L21" s="21">
        <v>5</v>
      </c>
      <c r="M21" s="32" t="s">
        <v>161</v>
      </c>
      <c r="N21" s="21">
        <v>5</v>
      </c>
      <c r="O21" s="32" t="s">
        <v>161</v>
      </c>
      <c r="P21" s="21">
        <v>5</v>
      </c>
      <c r="Q21" s="21"/>
      <c r="R21" s="21"/>
      <c r="S21" s="31" t="s">
        <v>161</v>
      </c>
      <c r="T21" s="31">
        <v>5</v>
      </c>
      <c r="W21" s="31" t="s">
        <v>161</v>
      </c>
      <c r="X21" s="31">
        <v>5</v>
      </c>
    </row>
    <row r="22" spans="2:24" ht="12.75">
      <c r="B22" s="12" t="s">
        <v>99</v>
      </c>
      <c r="D22" s="12" t="s">
        <v>170</v>
      </c>
      <c r="G22" s="16" t="s">
        <v>161</v>
      </c>
      <c r="H22" s="16">
        <v>2</v>
      </c>
      <c r="I22" s="16" t="s">
        <v>161</v>
      </c>
      <c r="J22" s="32">
        <v>2</v>
      </c>
      <c r="K22" s="32" t="s">
        <v>161</v>
      </c>
      <c r="L22" s="21">
        <v>2</v>
      </c>
      <c r="M22" s="32" t="s">
        <v>161</v>
      </c>
      <c r="N22" s="34">
        <v>2</v>
      </c>
      <c r="O22" s="32" t="s">
        <v>161</v>
      </c>
      <c r="P22" s="21">
        <v>2</v>
      </c>
      <c r="Q22" s="21"/>
      <c r="R22" s="21"/>
      <c r="S22" s="31" t="s">
        <v>161</v>
      </c>
      <c r="T22" s="31">
        <v>2</v>
      </c>
      <c r="W22" s="31" t="s">
        <v>161</v>
      </c>
      <c r="X22" s="31">
        <v>2</v>
      </c>
    </row>
    <row r="23" spans="2:27" ht="12.75">
      <c r="B23" s="12" t="s">
        <v>112</v>
      </c>
      <c r="D23" s="12" t="s">
        <v>170</v>
      </c>
      <c r="G23" s="16"/>
      <c r="H23" s="83">
        <f>(12300+45+37)/3</f>
        <v>4127.333333333333</v>
      </c>
      <c r="I23" s="16"/>
      <c r="J23" s="32">
        <v>10</v>
      </c>
      <c r="K23" s="32" t="s">
        <v>161</v>
      </c>
      <c r="L23" s="32">
        <v>10</v>
      </c>
      <c r="M23" s="32" t="s">
        <v>161</v>
      </c>
      <c r="N23" s="34">
        <v>10</v>
      </c>
      <c r="O23" s="32" t="s">
        <v>161</v>
      </c>
      <c r="P23" s="21">
        <v>10</v>
      </c>
      <c r="Q23" s="21"/>
      <c r="R23" s="21"/>
      <c r="S23" s="31" t="s">
        <v>161</v>
      </c>
      <c r="T23" s="31">
        <v>10</v>
      </c>
      <c r="W23" s="31" t="s">
        <v>161</v>
      </c>
      <c r="X23" s="31">
        <v>10</v>
      </c>
      <c r="Z23" s="37">
        <f>(141/Z10)*1000000</f>
        <v>41635.89498423299</v>
      </c>
      <c r="AA23" s="37"/>
    </row>
    <row r="24" spans="2:24" ht="12.75">
      <c r="B24" s="12" t="s">
        <v>110</v>
      </c>
      <c r="D24" s="12" t="s">
        <v>170</v>
      </c>
      <c r="G24" s="16" t="s">
        <v>161</v>
      </c>
      <c r="H24" s="16">
        <v>10</v>
      </c>
      <c r="I24" s="16" t="s">
        <v>161</v>
      </c>
      <c r="J24" s="32">
        <v>10</v>
      </c>
      <c r="K24" s="32" t="s">
        <v>161</v>
      </c>
      <c r="L24" s="32">
        <v>10</v>
      </c>
      <c r="M24" s="32" t="s">
        <v>161</v>
      </c>
      <c r="N24" s="34">
        <v>10</v>
      </c>
      <c r="O24" s="32" t="s">
        <v>161</v>
      </c>
      <c r="P24" s="21">
        <v>10</v>
      </c>
      <c r="Q24" s="21"/>
      <c r="R24" s="21"/>
      <c r="S24" s="31" t="s">
        <v>161</v>
      </c>
      <c r="T24" s="31">
        <v>10</v>
      </c>
      <c r="W24" s="31" t="s">
        <v>161</v>
      </c>
      <c r="X24" s="31">
        <v>10</v>
      </c>
    </row>
    <row r="25" spans="2:27" ht="12.75">
      <c r="B25" s="12" t="s">
        <v>94</v>
      </c>
      <c r="D25" s="12" t="s">
        <v>170</v>
      </c>
      <c r="G25" s="16" t="s">
        <v>161</v>
      </c>
      <c r="H25" s="16">
        <v>10</v>
      </c>
      <c r="I25" s="16" t="s">
        <v>161</v>
      </c>
      <c r="J25" s="32">
        <v>10</v>
      </c>
      <c r="K25" s="32" t="s">
        <v>161</v>
      </c>
      <c r="L25" s="32">
        <v>10</v>
      </c>
      <c r="M25" s="32" t="s">
        <v>161</v>
      </c>
      <c r="N25" s="34">
        <v>10</v>
      </c>
      <c r="O25" s="32" t="s">
        <v>161</v>
      </c>
      <c r="P25" s="21">
        <v>10</v>
      </c>
      <c r="Q25" s="21"/>
      <c r="R25" s="21"/>
      <c r="S25" s="31" t="s">
        <v>161</v>
      </c>
      <c r="T25" s="31">
        <v>10</v>
      </c>
      <c r="W25" s="31" t="s">
        <v>161</v>
      </c>
      <c r="X25" s="31">
        <v>10</v>
      </c>
      <c r="Z25" s="37">
        <f>(338/Z10)*1000000</f>
        <v>99808.0319480195</v>
      </c>
      <c r="AA25" s="37"/>
    </row>
    <row r="26" spans="2:24" ht="12.75">
      <c r="B26" s="12" t="s">
        <v>156</v>
      </c>
      <c r="D26" s="12" t="s">
        <v>170</v>
      </c>
      <c r="G26" s="16" t="s">
        <v>161</v>
      </c>
      <c r="H26" s="16">
        <v>10</v>
      </c>
      <c r="I26" s="16" t="s">
        <v>161</v>
      </c>
      <c r="J26" s="32">
        <v>10</v>
      </c>
      <c r="K26" s="32" t="s">
        <v>161</v>
      </c>
      <c r="L26" s="32">
        <v>10</v>
      </c>
      <c r="M26" s="32" t="s">
        <v>161</v>
      </c>
      <c r="N26" s="34">
        <v>10</v>
      </c>
      <c r="O26" s="32" t="s">
        <v>161</v>
      </c>
      <c r="P26" s="21">
        <v>10</v>
      </c>
      <c r="Q26" s="21"/>
      <c r="R26" s="21"/>
      <c r="S26" s="31" t="s">
        <v>161</v>
      </c>
      <c r="T26" s="31">
        <v>10</v>
      </c>
      <c r="W26" s="31" t="s">
        <v>161</v>
      </c>
      <c r="X26" s="31">
        <v>10</v>
      </c>
    </row>
    <row r="27" spans="2:24" ht="12.75">
      <c r="B27" s="12" t="s">
        <v>101</v>
      </c>
      <c r="D27" s="12" t="s">
        <v>170</v>
      </c>
      <c r="G27" s="16" t="s">
        <v>161</v>
      </c>
      <c r="H27" s="16">
        <v>10</v>
      </c>
      <c r="I27" s="16" t="s">
        <v>161</v>
      </c>
      <c r="J27" s="32">
        <v>10</v>
      </c>
      <c r="K27" s="32" t="s">
        <v>161</v>
      </c>
      <c r="L27" s="32">
        <v>10</v>
      </c>
      <c r="M27" s="32" t="s">
        <v>161</v>
      </c>
      <c r="N27" s="34">
        <v>10</v>
      </c>
      <c r="O27" s="32" t="s">
        <v>161</v>
      </c>
      <c r="P27" s="21">
        <v>10</v>
      </c>
      <c r="Q27" s="21"/>
      <c r="R27" s="21"/>
      <c r="S27" s="31" t="s">
        <v>161</v>
      </c>
      <c r="T27" s="31">
        <v>10</v>
      </c>
      <c r="W27" s="31" t="s">
        <v>161</v>
      </c>
      <c r="X27" s="31">
        <v>10</v>
      </c>
    </row>
    <row r="28" spans="2:24" ht="12.75">
      <c r="B28" s="12" t="s">
        <v>102</v>
      </c>
      <c r="D28" s="12" t="s">
        <v>170</v>
      </c>
      <c r="G28" s="16" t="s">
        <v>161</v>
      </c>
      <c r="H28" s="16">
        <v>10</v>
      </c>
      <c r="I28" s="16" t="s">
        <v>161</v>
      </c>
      <c r="J28" s="32">
        <v>10</v>
      </c>
      <c r="K28" s="32" t="s">
        <v>161</v>
      </c>
      <c r="L28" s="32">
        <v>10</v>
      </c>
      <c r="M28" s="32" t="s">
        <v>161</v>
      </c>
      <c r="N28" s="34">
        <v>10</v>
      </c>
      <c r="O28" s="32" t="s">
        <v>161</v>
      </c>
      <c r="P28" s="21">
        <v>10</v>
      </c>
      <c r="Q28" s="21"/>
      <c r="R28" s="21"/>
      <c r="S28" s="31" t="s">
        <v>161</v>
      </c>
      <c r="T28" s="31">
        <v>10</v>
      </c>
      <c r="W28" s="31" t="s">
        <v>161</v>
      </c>
      <c r="X28" s="31">
        <v>10</v>
      </c>
    </row>
    <row r="29" spans="2:24" ht="12.75">
      <c r="B29" s="12" t="s">
        <v>103</v>
      </c>
      <c r="D29" s="12" t="s">
        <v>170</v>
      </c>
      <c r="G29" s="16" t="s">
        <v>161</v>
      </c>
      <c r="H29" s="16">
        <v>10</v>
      </c>
      <c r="I29" s="16" t="s">
        <v>161</v>
      </c>
      <c r="J29" s="32">
        <v>10</v>
      </c>
      <c r="K29" s="32" t="s">
        <v>161</v>
      </c>
      <c r="L29" s="32">
        <v>10</v>
      </c>
      <c r="M29" s="32" t="s">
        <v>161</v>
      </c>
      <c r="N29" s="34">
        <v>10</v>
      </c>
      <c r="O29" s="32" t="s">
        <v>161</v>
      </c>
      <c r="P29" s="21">
        <v>10</v>
      </c>
      <c r="Q29" s="21"/>
      <c r="R29" s="21"/>
      <c r="S29" s="31" t="s">
        <v>161</v>
      </c>
      <c r="T29" s="31">
        <v>10</v>
      </c>
      <c r="W29" s="31" t="s">
        <v>161</v>
      </c>
      <c r="X29" s="31">
        <v>10</v>
      </c>
    </row>
    <row r="30" spans="2:24" ht="12.75">
      <c r="B30" s="12" t="s">
        <v>104</v>
      </c>
      <c r="D30" s="12" t="s">
        <v>170</v>
      </c>
      <c r="G30" s="16" t="s">
        <v>161</v>
      </c>
      <c r="H30" s="16">
        <v>10</v>
      </c>
      <c r="I30" s="16" t="s">
        <v>161</v>
      </c>
      <c r="J30" s="32">
        <v>10</v>
      </c>
      <c r="K30" s="32" t="s">
        <v>161</v>
      </c>
      <c r="L30" s="32">
        <v>10</v>
      </c>
      <c r="M30" s="32" t="s">
        <v>161</v>
      </c>
      <c r="N30" s="34">
        <v>10</v>
      </c>
      <c r="O30" s="32" t="s">
        <v>161</v>
      </c>
      <c r="P30" s="21">
        <v>10</v>
      </c>
      <c r="Q30" s="21"/>
      <c r="R30" s="21"/>
      <c r="S30" s="31" t="s">
        <v>161</v>
      </c>
      <c r="T30" s="31">
        <v>10</v>
      </c>
      <c r="W30" s="31" t="s">
        <v>161</v>
      </c>
      <c r="X30" s="31">
        <v>10</v>
      </c>
    </row>
    <row r="31" spans="7:18" ht="12.75">
      <c r="G31" s="16"/>
      <c r="H31" s="16"/>
      <c r="I31" s="16"/>
      <c r="J31" s="32"/>
      <c r="K31" s="32"/>
      <c r="L31" s="32"/>
      <c r="M31" s="32"/>
      <c r="N31" s="34"/>
      <c r="O31" s="32"/>
      <c r="P31" s="21"/>
      <c r="Q31" s="21"/>
      <c r="R31" s="21"/>
    </row>
    <row r="32" spans="2:35" ht="12.75">
      <c r="B32" s="12" t="s">
        <v>64</v>
      </c>
      <c r="D32" s="12" t="s">
        <v>54</v>
      </c>
      <c r="G32" s="16"/>
      <c r="H32" s="16"/>
      <c r="I32" s="16"/>
      <c r="J32" s="32"/>
      <c r="K32" s="32"/>
      <c r="L32" s="32"/>
      <c r="M32" s="32"/>
      <c r="N32" s="34"/>
      <c r="O32" s="32"/>
      <c r="P32" s="21"/>
      <c r="Q32" s="21"/>
      <c r="R32" s="21"/>
      <c r="Z32" s="31">
        <v>338</v>
      </c>
      <c r="AB32" s="31">
        <v>300</v>
      </c>
      <c r="AD32" s="31">
        <v>356</v>
      </c>
      <c r="AF32" s="31">
        <v>357</v>
      </c>
      <c r="AH32" s="31">
        <v>338</v>
      </c>
      <c r="AI32" s="31" t="s">
        <v>54</v>
      </c>
    </row>
    <row r="33" spans="2:35" ht="12.75">
      <c r="B33" s="12" t="s">
        <v>65</v>
      </c>
      <c r="D33" s="12" t="s">
        <v>54</v>
      </c>
      <c r="G33" s="16"/>
      <c r="H33" s="16"/>
      <c r="I33" s="16"/>
      <c r="J33" s="32"/>
      <c r="K33" s="32"/>
      <c r="L33" s="32"/>
      <c r="M33" s="32"/>
      <c r="N33" s="34"/>
      <c r="O33" s="32"/>
      <c r="P33" s="21"/>
      <c r="Q33" s="21"/>
      <c r="R33" s="21"/>
      <c r="Z33" s="31">
        <v>141</v>
      </c>
      <c r="AB33" s="31">
        <v>128</v>
      </c>
      <c r="AD33" s="31">
        <v>147</v>
      </c>
      <c r="AF33" s="31">
        <v>148</v>
      </c>
      <c r="AH33" s="31">
        <v>141</v>
      </c>
      <c r="AI33" s="31" t="s">
        <v>54</v>
      </c>
    </row>
    <row r="34" spans="7:11" ht="12.75">
      <c r="G34" s="16"/>
      <c r="H34" s="16"/>
      <c r="I34" s="32"/>
      <c r="J34" s="33"/>
      <c r="K34" s="33"/>
    </row>
    <row r="35" spans="2:34" ht="12.75">
      <c r="B35" s="12" t="s">
        <v>69</v>
      </c>
      <c r="D35" s="12" t="s">
        <v>16</v>
      </c>
      <c r="F35" s="16">
        <v>33246.666666666664</v>
      </c>
      <c r="G35" s="16"/>
      <c r="H35" s="16"/>
      <c r="I35" s="32"/>
      <c r="J35" s="33"/>
      <c r="K35" s="33"/>
      <c r="AB35" s="31">
        <f>'emiss 1'!G70</f>
        <v>34344</v>
      </c>
      <c r="AD35" s="31">
        <f>'emiss 1'!I70</f>
        <v>33436</v>
      </c>
      <c r="AF35" s="31">
        <f>'emiss 1'!K70</f>
        <v>33647</v>
      </c>
      <c r="AH35" s="31">
        <f>'emiss 1'!M70</f>
        <v>33809</v>
      </c>
    </row>
    <row r="36" spans="2:34" ht="12.75">
      <c r="B36" s="12" t="s">
        <v>70</v>
      </c>
      <c r="D36" s="12" t="s">
        <v>17</v>
      </c>
      <c r="F36" s="16">
        <v>8.866666666666665</v>
      </c>
      <c r="G36" s="16"/>
      <c r="H36" s="16"/>
      <c r="I36" s="32"/>
      <c r="J36" s="33"/>
      <c r="K36" s="33"/>
      <c r="AB36" s="31">
        <f>'emiss 1'!G71</f>
        <v>9.2</v>
      </c>
      <c r="AD36" s="31">
        <f>'emiss 1'!I71</f>
        <v>8.5</v>
      </c>
      <c r="AF36" s="31">
        <f>'emiss 1'!K71</f>
        <v>8.9</v>
      </c>
      <c r="AH36" s="37">
        <f>'emiss 1'!M71</f>
        <v>8.866666666666665</v>
      </c>
    </row>
    <row r="37" spans="7:11" ht="12.75">
      <c r="G37" s="16"/>
      <c r="H37" s="16"/>
      <c r="I37" s="32"/>
      <c r="J37" s="33"/>
      <c r="K37" s="33"/>
    </row>
    <row r="38" spans="2:19" ht="12.75">
      <c r="B38" s="12" t="s">
        <v>118</v>
      </c>
      <c r="D38" s="12" t="s">
        <v>61</v>
      </c>
      <c r="G38" s="16"/>
      <c r="H38" s="16"/>
      <c r="I38" s="13"/>
      <c r="J38" s="33"/>
      <c r="K38" s="33"/>
      <c r="P38" s="34"/>
      <c r="Q38" s="34"/>
      <c r="R38" s="34"/>
      <c r="S38" s="34"/>
    </row>
    <row r="39" spans="2:19" ht="12.75">
      <c r="B39" s="12" t="s">
        <v>347</v>
      </c>
      <c r="D39" s="12" t="s">
        <v>61</v>
      </c>
      <c r="G39" s="16"/>
      <c r="H39" s="16"/>
      <c r="I39" s="13"/>
      <c r="J39" s="33"/>
      <c r="K39" s="33"/>
      <c r="P39" s="13"/>
      <c r="Q39" s="13"/>
      <c r="R39" s="13"/>
      <c r="S39" s="13"/>
    </row>
    <row r="40" spans="7:19" ht="12.75">
      <c r="G40" s="16"/>
      <c r="H40" s="16"/>
      <c r="I40" s="13"/>
      <c r="J40" s="33"/>
      <c r="K40" s="33"/>
      <c r="P40" s="13"/>
      <c r="Q40" s="13"/>
      <c r="R40" s="13"/>
      <c r="S40" s="13"/>
    </row>
    <row r="41" spans="2:19" ht="12.75">
      <c r="B41" s="48" t="s">
        <v>87</v>
      </c>
      <c r="C41" s="48"/>
      <c r="G41" s="16"/>
      <c r="H41" s="16"/>
      <c r="I41" s="13"/>
      <c r="J41" s="33"/>
      <c r="K41" s="33"/>
      <c r="P41" s="13"/>
      <c r="Q41" s="13"/>
      <c r="R41" s="13"/>
      <c r="S41" s="13"/>
    </row>
    <row r="42" spans="2:34" ht="12.75">
      <c r="B42" s="12" t="s">
        <v>49</v>
      </c>
      <c r="D42" s="12" t="s">
        <v>71</v>
      </c>
      <c r="G42" s="16"/>
      <c r="H42" s="16"/>
      <c r="I42" s="13"/>
      <c r="J42" s="33"/>
      <c r="K42" s="33"/>
      <c r="N42" s="13"/>
      <c r="O42" s="13"/>
      <c r="AB42" s="34">
        <f>AB15*454/60/0.0283/AB$35*(21-7)/(21-AB$36)*1000</f>
        <v>90186.40813993398</v>
      </c>
      <c r="AD42" s="34">
        <f>AD15*454/60/0.0283/AD$35*(21-7)/(21-AD$36)*1000</f>
        <v>94711.39843346098</v>
      </c>
      <c r="AF42" s="34">
        <f>AF15*454/60/0.0283/AF$35*(21-7)/(21-AF$36)*1000</f>
        <v>85892.32270281804</v>
      </c>
      <c r="AH42" s="34">
        <f>AH15*454/60/0.0283/AH$35*(21-7)/(21-AH$36)*1000</f>
        <v>90282.93192806229</v>
      </c>
    </row>
    <row r="43" spans="2:34" ht="12.75">
      <c r="B43" s="12" t="s">
        <v>50</v>
      </c>
      <c r="D43" s="12" t="s">
        <v>63</v>
      </c>
      <c r="G43" s="16"/>
      <c r="H43" s="84">
        <f aca="true" t="shared" si="0" ref="H43:H57">H16*H$10*454*1000000/$F$35/0.0283/60/1000000*(21-7)/(21-$F$36)</f>
        <v>2921748.3805270703</v>
      </c>
      <c r="I43" s="14"/>
      <c r="J43" s="84">
        <f aca="true" t="shared" si="1" ref="J43:J57">J16*J$10*454*1000000/$F$35/0.0283/60/1000000*(21-7)/(21-$F$36)</f>
        <v>1265560.7010954767</v>
      </c>
      <c r="K43" s="14"/>
      <c r="L43" s="84">
        <f>L16*L$10*454*1000000/$F$35/0.0283/60/1000000*(21-7)/(21-$F$36)</f>
        <v>1826442.0283577202</v>
      </c>
      <c r="N43" s="84">
        <f>N16*N$10*454*1000000/$F$35/0.0283/60/1000000*(21-7)/(21-$F$36)</f>
        <v>4753796.920103167</v>
      </c>
      <c r="P43" s="84">
        <f>P16*P$10*454*1000000/$F$35/0.0283/60/1000000*(21-7)/(21-$F$36)</f>
        <v>113053.65201903312</v>
      </c>
      <c r="T43" s="84">
        <f>T16*T$10*454*1000000/$F$35/0.0283/60/1000000*(21-7)/(21-$F$36)</f>
        <v>5851215.640960055</v>
      </c>
      <c r="U43" s="84"/>
      <c r="V43" s="84">
        <f>SUM(T43,R43,P43,N43,L43,J43,H43,F43)</f>
        <v>16731817.323062522</v>
      </c>
      <c r="X43" s="84"/>
      <c r="Y43" s="84"/>
      <c r="Z43" s="84">
        <f>Z16*Z$10*454*1000000/$F$35/0.0283/60/1000000*(21-7)/(21-$F$36)</f>
        <v>26975095.836290415</v>
      </c>
      <c r="AA43" s="84"/>
      <c r="AB43" s="80">
        <f>AB16*454/60/0.0283/AB$35*(21-7)/(21-AB$36)*1000000</f>
        <v>27562089.501184247</v>
      </c>
      <c r="AC43" s="80"/>
      <c r="AD43" s="80">
        <f>AD16*454/60/0.0283/AD$35*(21-7)/(21-AD$36)*1000000</f>
        <v>25426539.96714853</v>
      </c>
      <c r="AE43" s="80"/>
      <c r="AF43" s="80">
        <f>AF16*454/60/0.0283/AF$35*(21-7)/(21-AF$36)*1000000</f>
        <v>26635630.36502504</v>
      </c>
      <c r="AG43" s="80"/>
      <c r="AH43" s="80">
        <f>AH16*454/60/0.0283/AH$35*(21-7)/(21-AH$36)*1000000</f>
        <v>26526428.453090463</v>
      </c>
    </row>
    <row r="44" spans="2:34" ht="12.75">
      <c r="B44" s="12" t="s">
        <v>100</v>
      </c>
      <c r="D44" s="12" t="s">
        <v>63</v>
      </c>
      <c r="G44" s="16"/>
      <c r="H44" s="84">
        <f t="shared" si="0"/>
        <v>1041.657909777163</v>
      </c>
      <c r="I44" s="13"/>
      <c r="J44" s="84">
        <f t="shared" si="1"/>
        <v>3.065737736543935</v>
      </c>
      <c r="K44" s="31">
        <v>100</v>
      </c>
      <c r="L44" s="84">
        <f aca="true" t="shared" si="2" ref="L44:L57">L17*L$10*454*1000000/$F$35/0.0283/60/1000000*(21-7)/(21-$F$36)</f>
        <v>0.5197368826249145</v>
      </c>
      <c r="M44" s="31">
        <v>100</v>
      </c>
      <c r="N44" s="84">
        <f aca="true" t="shared" si="3" ref="N44:N57">N17*N$10*454*1000000/$F$35/0.0283/60/1000000*(21-7)/(21-$F$36)</f>
        <v>0.41857331371977585</v>
      </c>
      <c r="O44" s="31">
        <v>100</v>
      </c>
      <c r="P44" s="84">
        <f aca="true" t="shared" si="4" ref="P44:P57">P17*P$10*454*1000000/$F$35/0.0283/60/1000000*(21-7)/(21-$F$36)</f>
        <v>1.2118842505055136</v>
      </c>
      <c r="T44" s="84">
        <f aca="true" t="shared" si="5" ref="T44:T57">T17*T$10*454*1000000/$F$35/0.0283/60/1000000*(21-7)/(21-$F$36)</f>
        <v>18.684220792489384</v>
      </c>
      <c r="U44" s="84">
        <f>SUM((T44*S44/100),(P44*O44/100),(N44*M44/100),(L44*K44/100),(J44*I44/100),(H44*G44/100))/V44*100</f>
        <v>0.20179045347325503</v>
      </c>
      <c r="V44" s="84">
        <f>SUM(T44,R44,P44,N44,L44,J44,H44,F44)</f>
        <v>1065.5580627530464</v>
      </c>
      <c r="X44" s="84"/>
      <c r="Y44" s="84"/>
      <c r="Z44" s="84">
        <f>Z17*Z$10*454*1000000/$F$35/0.0283/60/1000000*(21-7)/(21-$F$36)</f>
        <v>4648.958725139834</v>
      </c>
      <c r="AA44" s="84"/>
      <c r="AB44" s="34">
        <f>AB17*454/60/0.0283/AB$35*(21-7)/(21-AB$36)*1000000</f>
        <v>4627.549209146551</v>
      </c>
      <c r="AD44" s="34">
        <f>AD17*454/60/0.0283/AD$35*(21-7)/(21-AD$36)*1000000</f>
        <v>4478.080304182552</v>
      </c>
      <c r="AF44" s="34">
        <f>AF17*454/60/0.0283/AF$35*(21-7)/(21-AF$36)*1000000</f>
        <v>4606.29990088973</v>
      </c>
      <c r="AG44" s="31">
        <f aca="true" t="shared" si="6" ref="AG44:AG60">SUM(V44*U44/100)/AH44*100</f>
        <v>0.047033387778283406</v>
      </c>
      <c r="AH44" s="34">
        <f>AH17*454/60/0.0283/AH$35*(21-7)/(21-AH$36)*1000000</f>
        <v>4571.634212245725</v>
      </c>
    </row>
    <row r="45" spans="2:34" ht="12.75">
      <c r="B45" s="12" t="s">
        <v>95</v>
      </c>
      <c r="D45" s="12" t="s">
        <v>63</v>
      </c>
      <c r="G45" s="16">
        <v>100</v>
      </c>
      <c r="H45" s="84">
        <f t="shared" si="0"/>
        <v>204.7954472332059</v>
      </c>
      <c r="I45" s="16">
        <v>100</v>
      </c>
      <c r="J45" s="84">
        <f t="shared" si="1"/>
        <v>201.36208450206473</v>
      </c>
      <c r="K45" s="32"/>
      <c r="L45" s="84">
        <f t="shared" si="2"/>
        <v>242.54387855829347</v>
      </c>
      <c r="M45" s="32"/>
      <c r="N45" s="84">
        <f t="shared" si="3"/>
        <v>164.43951610419765</v>
      </c>
      <c r="O45" s="31">
        <v>100</v>
      </c>
      <c r="P45" s="84">
        <f t="shared" si="4"/>
        <v>605.9421252527569</v>
      </c>
      <c r="S45" s="31">
        <v>100</v>
      </c>
      <c r="T45" s="84">
        <f t="shared" si="5"/>
        <v>158.67703433112013</v>
      </c>
      <c r="U45" s="84">
        <f aca="true" t="shared" si="7" ref="U45:U60">SUM((T45*S45/100),(P45*O45/100),(N45*M45/100),(L45*K45/100),(J45*I45/100),(H45*G45/100))/V45*100</f>
        <v>74.20498856077492</v>
      </c>
      <c r="V45" s="84">
        <f aca="true" t="shared" si="8" ref="V45:V57">SUM(T45,R45,P45,N45,L45,J45,H45,F45)</f>
        <v>1577.760085981639</v>
      </c>
      <c r="X45" s="84"/>
      <c r="Y45" s="84"/>
      <c r="Z45" s="84"/>
      <c r="AA45" s="84"/>
      <c r="AG45" s="31">
        <f t="shared" si="6"/>
        <v>74.20498856077492</v>
      </c>
      <c r="AH45" s="80">
        <f>SUM(V45,Z45)</f>
        <v>1577.760085981639</v>
      </c>
    </row>
    <row r="46" spans="2:34" ht="12.75">
      <c r="B46" s="12" t="s">
        <v>96</v>
      </c>
      <c r="D46" s="12" t="s">
        <v>63</v>
      </c>
      <c r="G46" s="16"/>
      <c r="H46" s="84">
        <f t="shared" si="0"/>
        <v>368.6318050197707</v>
      </c>
      <c r="I46" s="16">
        <v>100</v>
      </c>
      <c r="J46" s="84">
        <f t="shared" si="1"/>
        <v>201.36208450206473</v>
      </c>
      <c r="K46" s="32">
        <v>100</v>
      </c>
      <c r="L46" s="84">
        <f t="shared" si="2"/>
        <v>173.24562754163816</v>
      </c>
      <c r="M46" s="32">
        <v>100</v>
      </c>
      <c r="N46" s="84">
        <f t="shared" si="3"/>
        <v>149.49046918563425</v>
      </c>
      <c r="O46" s="32">
        <v>100</v>
      </c>
      <c r="P46" s="84">
        <f t="shared" si="4"/>
        <v>605.9421252527569</v>
      </c>
      <c r="S46" s="32">
        <v>100</v>
      </c>
      <c r="T46" s="84">
        <f t="shared" si="5"/>
        <v>158.67703433112013</v>
      </c>
      <c r="U46" s="84">
        <f t="shared" si="7"/>
        <v>77.75774610035498</v>
      </c>
      <c r="V46" s="84">
        <f t="shared" si="8"/>
        <v>1657.349145832985</v>
      </c>
      <c r="X46" s="84"/>
      <c r="Y46" s="84"/>
      <c r="Z46" s="84"/>
      <c r="AA46" s="84"/>
      <c r="AG46" s="31">
        <f t="shared" si="6"/>
        <v>77.75774610035498</v>
      </c>
      <c r="AH46" s="80">
        <f aca="true" t="shared" si="9" ref="AH46:AH57">SUM(V46,Z46)</f>
        <v>1657.349145832985</v>
      </c>
    </row>
    <row r="47" spans="2:34" ht="12.75">
      <c r="B47" s="12" t="s">
        <v>97</v>
      </c>
      <c r="D47" s="12" t="s">
        <v>63</v>
      </c>
      <c r="G47" s="16">
        <v>100</v>
      </c>
      <c r="H47" s="84">
        <f t="shared" si="0"/>
        <v>204.7954472332059</v>
      </c>
      <c r="I47" s="16"/>
      <c r="J47" s="84">
        <f t="shared" si="1"/>
        <v>855.7888591337747</v>
      </c>
      <c r="K47" s="32">
        <v>100</v>
      </c>
      <c r="L47" s="84">
        <f t="shared" si="2"/>
        <v>173.24562754163816</v>
      </c>
      <c r="M47" s="32">
        <v>100</v>
      </c>
      <c r="N47" s="84">
        <f t="shared" si="3"/>
        <v>149.49046918563425</v>
      </c>
      <c r="O47" s="32">
        <v>100</v>
      </c>
      <c r="P47" s="84">
        <f t="shared" si="4"/>
        <v>605.9421252527569</v>
      </c>
      <c r="S47" s="32">
        <v>100</v>
      </c>
      <c r="T47" s="84">
        <f t="shared" si="5"/>
        <v>158.67703433112013</v>
      </c>
      <c r="U47" s="84">
        <f t="shared" si="7"/>
        <v>60.15768441516364</v>
      </c>
      <c r="V47" s="84">
        <f t="shared" si="8"/>
        <v>2147.93956267813</v>
      </c>
      <c r="X47" s="84"/>
      <c r="Y47" s="84"/>
      <c r="Z47" s="84"/>
      <c r="AA47" s="84"/>
      <c r="AG47" s="31">
        <f t="shared" si="6"/>
        <v>60.15768441516364</v>
      </c>
      <c r="AH47" s="80">
        <f t="shared" si="9"/>
        <v>2147.93956267813</v>
      </c>
    </row>
    <row r="48" spans="2:34" ht="12.75">
      <c r="B48" s="12" t="s">
        <v>98</v>
      </c>
      <c r="D48" s="12" t="s">
        <v>63</v>
      </c>
      <c r="G48" s="16">
        <v>100</v>
      </c>
      <c r="H48" s="84">
        <f t="shared" si="0"/>
        <v>102.39772361660295</v>
      </c>
      <c r="I48" s="16">
        <v>100</v>
      </c>
      <c r="J48" s="84">
        <f t="shared" si="1"/>
        <v>100.68104225103237</v>
      </c>
      <c r="K48" s="32">
        <v>100</v>
      </c>
      <c r="L48" s="84">
        <f t="shared" si="2"/>
        <v>86.62281377081908</v>
      </c>
      <c r="M48" s="32">
        <v>100</v>
      </c>
      <c r="N48" s="84">
        <f t="shared" si="3"/>
        <v>74.74523459281713</v>
      </c>
      <c r="O48" s="32">
        <v>100</v>
      </c>
      <c r="P48" s="84">
        <f t="shared" si="4"/>
        <v>302.97106262637845</v>
      </c>
      <c r="S48" s="32">
        <v>100</v>
      </c>
      <c r="T48" s="84">
        <f t="shared" si="5"/>
        <v>79.33851716556006</v>
      </c>
      <c r="U48" s="84">
        <f t="shared" si="7"/>
        <v>100</v>
      </c>
      <c r="V48" s="84">
        <f t="shared" si="8"/>
        <v>746.7563940232101</v>
      </c>
      <c r="X48" s="84"/>
      <c r="Y48" s="84"/>
      <c r="Z48" s="84"/>
      <c r="AA48" s="84"/>
      <c r="AG48" s="31">
        <f t="shared" si="6"/>
        <v>99.99999999999999</v>
      </c>
      <c r="AH48" s="80">
        <f t="shared" si="9"/>
        <v>746.7563940232101</v>
      </c>
    </row>
    <row r="49" spans="2:34" ht="12.75">
      <c r="B49" s="12" t="s">
        <v>99</v>
      </c>
      <c r="D49" s="12" t="s">
        <v>63</v>
      </c>
      <c r="G49" s="16">
        <v>100</v>
      </c>
      <c r="H49" s="84">
        <f t="shared" si="0"/>
        <v>40.95908944664118</v>
      </c>
      <c r="I49" s="16">
        <v>100</v>
      </c>
      <c r="J49" s="84">
        <f t="shared" si="1"/>
        <v>40.27241690041294</v>
      </c>
      <c r="K49" s="32">
        <v>100</v>
      </c>
      <c r="L49" s="84">
        <f t="shared" si="2"/>
        <v>34.649125508327636</v>
      </c>
      <c r="M49" s="32">
        <v>100</v>
      </c>
      <c r="N49" s="84">
        <f t="shared" si="3"/>
        <v>29.89809383712684</v>
      </c>
      <c r="O49" s="32">
        <v>100</v>
      </c>
      <c r="P49" s="84">
        <f t="shared" si="4"/>
        <v>121.1884250505514</v>
      </c>
      <c r="S49" s="32">
        <v>100</v>
      </c>
      <c r="T49" s="84">
        <f t="shared" si="5"/>
        <v>31.735406866224018</v>
      </c>
      <c r="U49" s="84">
        <f t="shared" si="7"/>
        <v>100</v>
      </c>
      <c r="V49" s="84">
        <f t="shared" si="8"/>
        <v>298.70255760928404</v>
      </c>
      <c r="X49" s="84"/>
      <c r="Y49" s="84"/>
      <c r="Z49" s="84"/>
      <c r="AA49" s="84"/>
      <c r="AG49" s="31">
        <f t="shared" si="6"/>
        <v>100</v>
      </c>
      <c r="AH49" s="80">
        <f t="shared" si="9"/>
        <v>298.70255760928404</v>
      </c>
    </row>
    <row r="50" spans="2:34" ht="12.75">
      <c r="B50" s="12" t="s">
        <v>112</v>
      </c>
      <c r="D50" s="12" t="s">
        <v>63</v>
      </c>
      <c r="G50" s="16"/>
      <c r="H50" s="84">
        <f t="shared" si="0"/>
        <v>84525.90758805184</v>
      </c>
      <c r="I50" s="16"/>
      <c r="J50" s="84">
        <f t="shared" si="1"/>
        <v>201.36208450206473</v>
      </c>
      <c r="K50" s="32">
        <v>100</v>
      </c>
      <c r="L50" s="84">
        <f t="shared" si="2"/>
        <v>173.24562754163816</v>
      </c>
      <c r="M50" s="32">
        <v>100</v>
      </c>
      <c r="N50" s="84">
        <f t="shared" si="3"/>
        <v>149.49046918563425</v>
      </c>
      <c r="O50" s="32">
        <v>100</v>
      </c>
      <c r="P50" s="84">
        <f t="shared" si="4"/>
        <v>605.9421252527569</v>
      </c>
      <c r="S50" s="32">
        <v>100</v>
      </c>
      <c r="T50" s="84">
        <f t="shared" si="5"/>
        <v>158.67703433112013</v>
      </c>
      <c r="U50" s="84">
        <f t="shared" si="7"/>
        <v>1.2670978370091335</v>
      </c>
      <c r="V50" s="84">
        <f t="shared" si="8"/>
        <v>85814.62492886504</v>
      </c>
      <c r="X50" s="84"/>
      <c r="Y50" s="84"/>
      <c r="Z50" s="84">
        <f>Z23*Z$10*454*1000000/$F$35/0.0283/60/1000000*(21-7)/(21-$F$36)</f>
        <v>1308389.58132678</v>
      </c>
      <c r="AA50" s="84"/>
      <c r="AG50" s="31">
        <f t="shared" si="6"/>
        <v>0.07799110427527782</v>
      </c>
      <c r="AH50" s="80">
        <f t="shared" si="9"/>
        <v>1394204.206255645</v>
      </c>
    </row>
    <row r="51" spans="2:34" ht="12.75">
      <c r="B51" s="12" t="s">
        <v>110</v>
      </c>
      <c r="D51" s="12" t="s">
        <v>63</v>
      </c>
      <c r="G51" s="16">
        <v>100</v>
      </c>
      <c r="H51" s="84">
        <f t="shared" si="0"/>
        <v>204.7954472332059</v>
      </c>
      <c r="I51" s="16">
        <v>100</v>
      </c>
      <c r="J51" s="84">
        <f t="shared" si="1"/>
        <v>201.36208450206473</v>
      </c>
      <c r="K51" s="32">
        <v>100</v>
      </c>
      <c r="L51" s="84">
        <f t="shared" si="2"/>
        <v>173.24562754163816</v>
      </c>
      <c r="M51" s="32">
        <v>100</v>
      </c>
      <c r="N51" s="84">
        <f t="shared" si="3"/>
        <v>149.49046918563425</v>
      </c>
      <c r="O51" s="32">
        <v>100</v>
      </c>
      <c r="P51" s="84">
        <f t="shared" si="4"/>
        <v>605.9421252527569</v>
      </c>
      <c r="S51" s="32">
        <v>100</v>
      </c>
      <c r="T51" s="84">
        <f t="shared" si="5"/>
        <v>158.67703433112013</v>
      </c>
      <c r="U51" s="84">
        <f t="shared" si="7"/>
        <v>100</v>
      </c>
      <c r="V51" s="84">
        <f t="shared" si="8"/>
        <v>1493.5127880464202</v>
      </c>
      <c r="X51" s="84"/>
      <c r="Y51" s="84"/>
      <c r="Z51" s="84"/>
      <c r="AA51" s="84"/>
      <c r="AG51" s="31">
        <f t="shared" si="6"/>
        <v>99.99999999999999</v>
      </c>
      <c r="AH51" s="80">
        <f t="shared" si="9"/>
        <v>1493.5127880464202</v>
      </c>
    </row>
    <row r="52" spans="2:34" ht="12.75">
      <c r="B52" s="12" t="s">
        <v>94</v>
      </c>
      <c r="D52" s="12" t="s">
        <v>63</v>
      </c>
      <c r="G52" s="16">
        <v>100</v>
      </c>
      <c r="H52" s="84">
        <f t="shared" si="0"/>
        <v>204.7954472332059</v>
      </c>
      <c r="I52" s="16">
        <v>100</v>
      </c>
      <c r="J52" s="84">
        <f t="shared" si="1"/>
        <v>201.36208450206473</v>
      </c>
      <c r="K52" s="32">
        <v>100</v>
      </c>
      <c r="L52" s="84">
        <f t="shared" si="2"/>
        <v>173.24562754163816</v>
      </c>
      <c r="M52" s="32">
        <v>100</v>
      </c>
      <c r="N52" s="84">
        <f t="shared" si="3"/>
        <v>149.49046918563425</v>
      </c>
      <c r="O52" s="32">
        <v>100</v>
      </c>
      <c r="P52" s="84">
        <f t="shared" si="4"/>
        <v>605.9421252527569</v>
      </c>
      <c r="S52" s="32">
        <v>100</v>
      </c>
      <c r="T52" s="84">
        <f t="shared" si="5"/>
        <v>158.67703433112013</v>
      </c>
      <c r="U52" s="84">
        <f t="shared" si="7"/>
        <v>100</v>
      </c>
      <c r="V52" s="84">
        <f t="shared" si="8"/>
        <v>1493.5127880464202</v>
      </c>
      <c r="X52" s="84"/>
      <c r="Y52" s="84"/>
      <c r="Z52" s="84">
        <f>Z25*Z$10*454*1000000/$F$35/0.0283/60/1000000*(21-7)/(21-$F$36)</f>
        <v>3136423.251691146</v>
      </c>
      <c r="AA52" s="84"/>
      <c r="AG52" s="31">
        <f t="shared" si="6"/>
        <v>0.0475956789215313</v>
      </c>
      <c r="AH52" s="80">
        <f t="shared" si="9"/>
        <v>3137916.7644791924</v>
      </c>
    </row>
    <row r="53" spans="2:34" ht="12.75">
      <c r="B53" s="12" t="s">
        <v>156</v>
      </c>
      <c r="D53" s="12" t="s">
        <v>63</v>
      </c>
      <c r="G53" s="16">
        <v>100</v>
      </c>
      <c r="H53" s="84">
        <f t="shared" si="0"/>
        <v>204.7954472332059</v>
      </c>
      <c r="I53" s="16">
        <v>100</v>
      </c>
      <c r="J53" s="84">
        <f t="shared" si="1"/>
        <v>201.36208450206473</v>
      </c>
      <c r="K53" s="32">
        <v>100</v>
      </c>
      <c r="L53" s="84">
        <f t="shared" si="2"/>
        <v>173.24562754163816</v>
      </c>
      <c r="M53" s="32">
        <v>100</v>
      </c>
      <c r="N53" s="84">
        <f t="shared" si="3"/>
        <v>149.49046918563425</v>
      </c>
      <c r="O53" s="32">
        <v>100</v>
      </c>
      <c r="P53" s="84">
        <f t="shared" si="4"/>
        <v>605.9421252527569</v>
      </c>
      <c r="S53" s="32">
        <v>100</v>
      </c>
      <c r="T53" s="84">
        <f t="shared" si="5"/>
        <v>158.67703433112013</v>
      </c>
      <c r="U53" s="84">
        <f t="shared" si="7"/>
        <v>100</v>
      </c>
      <c r="V53" s="84">
        <f t="shared" si="8"/>
        <v>1493.5127880464202</v>
      </c>
      <c r="X53" s="84"/>
      <c r="Y53" s="84"/>
      <c r="Z53" s="84"/>
      <c r="AA53" s="84"/>
      <c r="AG53" s="31">
        <f t="shared" si="6"/>
        <v>99.99999999999999</v>
      </c>
      <c r="AH53" s="80">
        <f t="shared" si="9"/>
        <v>1493.5127880464202</v>
      </c>
    </row>
    <row r="54" spans="2:34" ht="12.75">
      <c r="B54" s="12" t="s">
        <v>101</v>
      </c>
      <c r="D54" s="12" t="s">
        <v>63</v>
      </c>
      <c r="G54" s="16">
        <v>100</v>
      </c>
      <c r="H54" s="84">
        <f t="shared" si="0"/>
        <v>204.7954472332059</v>
      </c>
      <c r="I54" s="16">
        <v>100</v>
      </c>
      <c r="J54" s="84">
        <f t="shared" si="1"/>
        <v>201.36208450206473</v>
      </c>
      <c r="K54" s="32">
        <v>100</v>
      </c>
      <c r="L54" s="84">
        <f t="shared" si="2"/>
        <v>173.24562754163816</v>
      </c>
      <c r="M54" s="32">
        <v>100</v>
      </c>
      <c r="N54" s="84">
        <f t="shared" si="3"/>
        <v>149.49046918563425</v>
      </c>
      <c r="O54" s="32">
        <v>100</v>
      </c>
      <c r="P54" s="84">
        <f t="shared" si="4"/>
        <v>605.9421252527569</v>
      </c>
      <c r="S54" s="32">
        <v>100</v>
      </c>
      <c r="T54" s="84">
        <f t="shared" si="5"/>
        <v>158.67703433112013</v>
      </c>
      <c r="U54" s="84">
        <f t="shared" si="7"/>
        <v>100</v>
      </c>
      <c r="V54" s="84">
        <f t="shared" si="8"/>
        <v>1493.5127880464202</v>
      </c>
      <c r="X54" s="84"/>
      <c r="Y54" s="84"/>
      <c r="Z54" s="84"/>
      <c r="AA54" s="84"/>
      <c r="AG54" s="31">
        <f t="shared" si="6"/>
        <v>99.99999999999999</v>
      </c>
      <c r="AH54" s="80">
        <f t="shared" si="9"/>
        <v>1493.5127880464202</v>
      </c>
    </row>
    <row r="55" spans="2:34" ht="12.75">
      <c r="B55" s="12" t="s">
        <v>102</v>
      </c>
      <c r="D55" s="12" t="s">
        <v>63</v>
      </c>
      <c r="G55" s="16">
        <v>100</v>
      </c>
      <c r="H55" s="84">
        <f t="shared" si="0"/>
        <v>204.7954472332059</v>
      </c>
      <c r="I55" s="16">
        <v>100</v>
      </c>
      <c r="J55" s="84">
        <f t="shared" si="1"/>
        <v>201.36208450206473</v>
      </c>
      <c r="K55" s="32">
        <v>100</v>
      </c>
      <c r="L55" s="84">
        <f t="shared" si="2"/>
        <v>173.24562754163816</v>
      </c>
      <c r="M55" s="32">
        <v>100</v>
      </c>
      <c r="N55" s="84">
        <f t="shared" si="3"/>
        <v>149.49046918563425</v>
      </c>
      <c r="O55" s="32">
        <v>100</v>
      </c>
      <c r="P55" s="84">
        <f t="shared" si="4"/>
        <v>605.9421252527569</v>
      </c>
      <c r="S55" s="32">
        <v>100</v>
      </c>
      <c r="T55" s="84">
        <f t="shared" si="5"/>
        <v>158.67703433112013</v>
      </c>
      <c r="U55" s="84">
        <f t="shared" si="7"/>
        <v>100</v>
      </c>
      <c r="V55" s="84">
        <f t="shared" si="8"/>
        <v>1493.5127880464202</v>
      </c>
      <c r="X55" s="84"/>
      <c r="Y55" s="84"/>
      <c r="Z55" s="84"/>
      <c r="AA55" s="84"/>
      <c r="AG55" s="31">
        <f t="shared" si="6"/>
        <v>99.99999999999999</v>
      </c>
      <c r="AH55" s="80">
        <f t="shared" si="9"/>
        <v>1493.5127880464202</v>
      </c>
    </row>
    <row r="56" spans="2:34" ht="12.75">
      <c r="B56" s="12" t="s">
        <v>103</v>
      </c>
      <c r="D56" s="12" t="s">
        <v>63</v>
      </c>
      <c r="G56" s="16">
        <v>100</v>
      </c>
      <c r="H56" s="84">
        <f t="shared" si="0"/>
        <v>204.7954472332059</v>
      </c>
      <c r="I56" s="16">
        <v>100</v>
      </c>
      <c r="J56" s="84">
        <f t="shared" si="1"/>
        <v>201.36208450206473</v>
      </c>
      <c r="K56" s="32">
        <v>100</v>
      </c>
      <c r="L56" s="84">
        <f t="shared" si="2"/>
        <v>173.24562754163816</v>
      </c>
      <c r="M56" s="32">
        <v>100</v>
      </c>
      <c r="N56" s="84">
        <f t="shared" si="3"/>
        <v>149.49046918563425</v>
      </c>
      <c r="O56" s="32">
        <v>100</v>
      </c>
      <c r="P56" s="84">
        <f t="shared" si="4"/>
        <v>605.9421252527569</v>
      </c>
      <c r="S56" s="32">
        <v>100</v>
      </c>
      <c r="T56" s="84">
        <f t="shared" si="5"/>
        <v>158.67703433112013</v>
      </c>
      <c r="U56" s="84">
        <f t="shared" si="7"/>
        <v>100</v>
      </c>
      <c r="V56" s="84">
        <f t="shared" si="8"/>
        <v>1493.5127880464202</v>
      </c>
      <c r="X56" s="84"/>
      <c r="Y56" s="84"/>
      <c r="Z56" s="84"/>
      <c r="AA56" s="84"/>
      <c r="AG56" s="31">
        <f t="shared" si="6"/>
        <v>99.99999999999999</v>
      </c>
      <c r="AH56" s="80">
        <f t="shared" si="9"/>
        <v>1493.5127880464202</v>
      </c>
    </row>
    <row r="57" spans="2:34" ht="12.75">
      <c r="B57" s="12" t="s">
        <v>104</v>
      </c>
      <c r="D57" s="12" t="s">
        <v>63</v>
      </c>
      <c r="G57" s="16">
        <v>100</v>
      </c>
      <c r="H57" s="84">
        <f t="shared" si="0"/>
        <v>204.7954472332059</v>
      </c>
      <c r="I57" s="16">
        <v>100</v>
      </c>
      <c r="J57" s="84">
        <f t="shared" si="1"/>
        <v>201.36208450206473</v>
      </c>
      <c r="K57" s="32">
        <v>100</v>
      </c>
      <c r="L57" s="84">
        <f t="shared" si="2"/>
        <v>173.24562754163816</v>
      </c>
      <c r="M57" s="32">
        <v>100</v>
      </c>
      <c r="N57" s="84">
        <f t="shared" si="3"/>
        <v>149.49046918563425</v>
      </c>
      <c r="O57" s="32">
        <v>100</v>
      </c>
      <c r="P57" s="84">
        <f t="shared" si="4"/>
        <v>605.9421252527569</v>
      </c>
      <c r="S57" s="32">
        <v>100</v>
      </c>
      <c r="T57" s="84">
        <f t="shared" si="5"/>
        <v>158.67703433112013</v>
      </c>
      <c r="U57" s="84">
        <f t="shared" si="7"/>
        <v>100</v>
      </c>
      <c r="V57" s="84">
        <f t="shared" si="8"/>
        <v>1493.5127880464202</v>
      </c>
      <c r="X57" s="84"/>
      <c r="Y57" s="84"/>
      <c r="Z57" s="84"/>
      <c r="AA57" s="84"/>
      <c r="AG57" s="31">
        <f t="shared" si="6"/>
        <v>99.99999999999999</v>
      </c>
      <c r="AH57" s="80">
        <f t="shared" si="9"/>
        <v>1493.5127880464202</v>
      </c>
    </row>
    <row r="58" spans="8:22" ht="12.75">
      <c r="H58" s="35"/>
      <c r="I58" s="35"/>
      <c r="J58" s="32"/>
      <c r="K58" s="32"/>
      <c r="M58" s="32"/>
      <c r="O58" s="32"/>
      <c r="S58" s="32"/>
      <c r="U58" s="84"/>
      <c r="V58" s="84"/>
    </row>
    <row r="59" spans="2:34" ht="12.75">
      <c r="B59" s="12" t="s">
        <v>64</v>
      </c>
      <c r="D59" s="12" t="s">
        <v>63</v>
      </c>
      <c r="G59" s="21">
        <v>100</v>
      </c>
      <c r="H59" s="35">
        <f>(H52+H49)</f>
        <v>245.75453667984706</v>
      </c>
      <c r="I59" s="14">
        <v>100</v>
      </c>
      <c r="J59" s="35">
        <f>(J52+J49)</f>
        <v>241.63450140247767</v>
      </c>
      <c r="K59" s="32">
        <v>100</v>
      </c>
      <c r="L59" s="35">
        <f>(L52+L49)</f>
        <v>207.8947530499658</v>
      </c>
      <c r="M59" s="32">
        <v>100</v>
      </c>
      <c r="N59" s="35">
        <f>(N52+N49)</f>
        <v>179.3885630227611</v>
      </c>
      <c r="O59" s="32">
        <v>100</v>
      </c>
      <c r="P59" s="35">
        <f>(P52+P49)</f>
        <v>727.1305503033083</v>
      </c>
      <c r="S59" s="32">
        <v>100</v>
      </c>
      <c r="T59" s="35">
        <f>(T52+T49)</f>
        <v>190.41244119734415</v>
      </c>
      <c r="U59" s="84">
        <f t="shared" si="7"/>
        <v>100.00000000000003</v>
      </c>
      <c r="V59" s="84">
        <f>SUM(T59,R59,P59,N59,L59,J59,H59,F59)</f>
        <v>1792.2153456557041</v>
      </c>
      <c r="X59" s="35"/>
      <c r="Y59" s="35"/>
      <c r="Z59" s="80">
        <f>Z52</f>
        <v>3136423.251691146</v>
      </c>
      <c r="AA59" s="80"/>
      <c r="AB59" s="34">
        <f>AB32*454/60/0.0283/AB$35*(21-7)/(21-AB$36)*1000000</f>
        <v>2770987.5503871567</v>
      </c>
      <c r="AD59" s="34">
        <f>AD32*454/60/0.0283/AD$35*(21-7)/(21-AD$36)*1000000</f>
        <v>3188393.1765779774</v>
      </c>
      <c r="AF59" s="34">
        <f>AF32*454/60/0.0283/AF$35*(21-7)/(21-AF$36)*1000000</f>
        <v>3282333.4623106453</v>
      </c>
      <c r="AG59" s="31">
        <f t="shared" si="6"/>
        <v>0.05810851047041839</v>
      </c>
      <c r="AH59" s="34">
        <f>AH32*454/60/0.0283/AH$35*(21-7)/(21-AH$36)*1000000</f>
        <v>3084256.2150480137</v>
      </c>
    </row>
    <row r="60" spans="2:34" ht="12.75">
      <c r="B60" s="12" t="s">
        <v>65</v>
      </c>
      <c r="D60" s="12" t="s">
        <v>63</v>
      </c>
      <c r="G60" s="37">
        <f>H48/H60*100</f>
        <v>0.12047225122480124</v>
      </c>
      <c r="H60" s="13">
        <f>(H46+H48+H50)</f>
        <v>84996.9371166882</v>
      </c>
      <c r="I60" s="14">
        <f>SUM(J48,J46)/J60*100</f>
        <v>60.00000000000001</v>
      </c>
      <c r="J60" s="13">
        <f>(J46+J48+J50)</f>
        <v>503.4052112551618</v>
      </c>
      <c r="K60" s="32">
        <v>100</v>
      </c>
      <c r="L60" s="13">
        <f>(L46+L48+L50)</f>
        <v>433.11406885409536</v>
      </c>
      <c r="M60" s="32">
        <v>100</v>
      </c>
      <c r="N60" s="13">
        <f>(N46+N48+N50)</f>
        <v>373.72617296408566</v>
      </c>
      <c r="O60" s="32">
        <v>100</v>
      </c>
      <c r="P60" s="13">
        <f>(P46+P48+P50)</f>
        <v>1514.8553131318922</v>
      </c>
      <c r="S60" s="32">
        <v>100</v>
      </c>
      <c r="T60" s="13">
        <f>(T46+T48+T50)</f>
        <v>396.6925858278003</v>
      </c>
      <c r="U60" s="84">
        <f t="shared" si="7"/>
        <v>3.539870699289649</v>
      </c>
      <c r="V60" s="84">
        <f>SUM(T60,R60,P60,N60,L60,J60,H60,F60)</f>
        <v>88218.73046872125</v>
      </c>
      <c r="X60" s="34"/>
      <c r="Y60" s="34"/>
      <c r="Z60" s="80">
        <f>Z50</f>
        <v>1308389.58132678</v>
      </c>
      <c r="AA60" s="80"/>
      <c r="AB60" s="34">
        <f>AB33*454/60/0.0283/AB$35*(21-7)/(21-AB$36)*1000000</f>
        <v>1182288.0214985202</v>
      </c>
      <c r="AD60" s="34">
        <f>AD33*454/60/0.0283/AD$35*(21-7)/(21-AD$36)*1000000</f>
        <v>1316555.6094296705</v>
      </c>
      <c r="AF60" s="34">
        <f>AF33*454/60/0.0283/AF$35*(21-7)/(21-AF$36)*1000000</f>
        <v>1360743.284095169</v>
      </c>
      <c r="AG60" s="31">
        <f t="shared" si="6"/>
        <v>0.24271428725324137</v>
      </c>
      <c r="AH60" s="34">
        <f>AH33*454/60/0.0283/AH$35*(21-7)/(21-AH$36)*1000000</f>
        <v>1286627.5926679585</v>
      </c>
    </row>
    <row r="61" spans="8:11" ht="12.75">
      <c r="H61" s="13"/>
      <c r="I61" s="35"/>
      <c r="J61" s="32"/>
      <c r="K61" s="32"/>
    </row>
    <row r="62" ht="12.75">
      <c r="I62" s="32"/>
    </row>
    <row r="63" spans="8:15" ht="12.75">
      <c r="H63" s="13"/>
      <c r="I63" s="13"/>
      <c r="L63" s="34"/>
      <c r="M63" s="34"/>
      <c r="N63" s="34"/>
      <c r="O63" s="34"/>
    </row>
    <row r="64" spans="8:15" ht="12.75">
      <c r="H64" s="13"/>
      <c r="N64" s="13"/>
      <c r="O64" s="13"/>
    </row>
    <row r="65" spans="8:15" ht="12.75">
      <c r="H65" s="13"/>
      <c r="N65" s="13"/>
      <c r="O65" s="13"/>
    </row>
    <row r="66" spans="2:15" ht="12.75">
      <c r="B66" s="48"/>
      <c r="C66" s="48"/>
      <c r="H66" s="13"/>
      <c r="N66" s="13"/>
      <c r="O66" s="13"/>
    </row>
    <row r="67" spans="8:9" ht="12.75">
      <c r="H67" s="13"/>
      <c r="I67" s="13"/>
    </row>
    <row r="68" spans="8:11" ht="12.75">
      <c r="H68" s="14"/>
      <c r="I68" s="14"/>
      <c r="J68" s="14"/>
      <c r="K68" s="14"/>
    </row>
    <row r="69" spans="8:9" ht="12.75">
      <c r="H69" s="13"/>
      <c r="I69" s="13"/>
    </row>
    <row r="70" spans="8:9" ht="12.75">
      <c r="H70" s="13"/>
      <c r="I70" s="13"/>
    </row>
    <row r="71" spans="7:9" ht="12.75">
      <c r="G71" s="33"/>
      <c r="H71" s="13"/>
      <c r="I71" s="13"/>
    </row>
    <row r="72" spans="7:9" ht="12.75">
      <c r="G72" s="33"/>
      <c r="H72" s="13"/>
      <c r="I72" s="13"/>
    </row>
    <row r="73" spans="7:9" ht="12.75">
      <c r="G73" s="33"/>
      <c r="H73" s="13"/>
      <c r="I73" s="13"/>
    </row>
    <row r="74" spans="8:9" ht="12.75">
      <c r="H74" s="13"/>
      <c r="I74" s="13"/>
    </row>
    <row r="75" spans="8:9" ht="12.75">
      <c r="H75" s="13"/>
      <c r="I75" s="13"/>
    </row>
    <row r="76" spans="8:9" ht="12.75">
      <c r="H76" s="13"/>
      <c r="I76" s="13"/>
    </row>
    <row r="77" spans="8:9" ht="12.75">
      <c r="H77" s="13"/>
      <c r="I77" s="13"/>
    </row>
    <row r="78" spans="8:9" ht="12.75">
      <c r="H78" s="13"/>
      <c r="I78" s="13"/>
    </row>
    <row r="79" spans="8:9" ht="12.75">
      <c r="H79" s="13"/>
      <c r="I79" s="13"/>
    </row>
    <row r="80" spans="8:9" ht="12.75">
      <c r="H80" s="13"/>
      <c r="I80" s="13"/>
    </row>
    <row r="81" spans="8:9" ht="12.75">
      <c r="H81" s="13"/>
      <c r="I81" s="13"/>
    </row>
    <row r="82" spans="8:9" ht="12.75">
      <c r="H82" s="13"/>
      <c r="I82" s="13"/>
    </row>
    <row r="83" spans="8:9" ht="12.75">
      <c r="H83" s="13"/>
      <c r="I83" s="13"/>
    </row>
    <row r="85" spans="2:3" ht="12.75">
      <c r="B85" s="30"/>
      <c r="C85" s="3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152"/>
  <sheetViews>
    <sheetView workbookViewId="0" topLeftCell="B1">
      <selection activeCell="C2" sqref="C2"/>
    </sheetView>
  </sheetViews>
  <sheetFormatPr defaultColWidth="9.140625" defaultRowHeight="12.75"/>
  <cols>
    <col min="1" max="1" width="9.140625" style="64" hidden="1" customWidth="1"/>
    <col min="2" max="2" width="15.140625" style="64" customWidth="1"/>
    <col min="3" max="3" width="2.7109375" style="64" customWidth="1"/>
    <col min="4" max="4" width="8.00390625" style="64" customWidth="1"/>
    <col min="5" max="5" width="4.00390625" style="66" customWidth="1"/>
    <col min="6" max="6" width="10.421875" style="64" customWidth="1"/>
    <col min="7" max="7" width="3.7109375" style="66" customWidth="1"/>
    <col min="8" max="8" width="8.7109375" style="64" customWidth="1"/>
    <col min="9" max="9" width="4.140625" style="66" customWidth="1"/>
    <col min="10" max="10" width="9.7109375" style="64" customWidth="1"/>
    <col min="11" max="11" width="3.7109375" style="66" customWidth="1"/>
    <col min="12" max="12" width="9.7109375" style="64" customWidth="1"/>
    <col min="13" max="13" width="3.8515625" style="66" customWidth="1"/>
    <col min="14" max="14" width="9.57421875" style="64" customWidth="1"/>
    <col min="15" max="15" width="4.140625" style="66" customWidth="1"/>
    <col min="16" max="16" width="12.140625" style="64" bestFit="1" customWidth="1"/>
    <col min="17" max="17" width="4.00390625" style="66" customWidth="1"/>
    <col min="18" max="18" width="9.00390625" style="64" customWidth="1"/>
    <col min="19" max="19" width="4.140625" style="66" customWidth="1"/>
    <col min="20" max="20" width="12.140625" style="64" bestFit="1" customWidth="1"/>
    <col min="21" max="21" width="4.00390625" style="66" customWidth="1"/>
    <col min="22" max="22" width="12.140625" style="64" bestFit="1" customWidth="1"/>
    <col min="23" max="23" width="3.8515625" style="66" customWidth="1"/>
    <col min="24" max="24" width="12.140625" style="64" bestFit="1" customWidth="1"/>
    <col min="25" max="25" width="4.421875" style="66" customWidth="1"/>
    <col min="26" max="26" width="12.140625" style="64" bestFit="1" customWidth="1"/>
    <col min="27" max="27" width="4.00390625" style="66" customWidth="1"/>
    <col min="28" max="28" width="11.140625" style="64" customWidth="1"/>
    <col min="29" max="29" width="4.00390625" style="66" customWidth="1"/>
    <col min="30" max="30" width="11.7109375" style="64" customWidth="1"/>
    <col min="31" max="31" width="3.8515625" style="66" customWidth="1"/>
    <col min="32" max="32" width="12.140625" style="64" bestFit="1" customWidth="1"/>
    <col min="33" max="33" width="4.28125" style="66" customWidth="1"/>
    <col min="34" max="34" width="12.140625" style="64" bestFit="1" customWidth="1"/>
    <col min="35" max="35" width="5.00390625" style="64" customWidth="1"/>
    <col min="36" max="36" width="8.140625" style="64" customWidth="1"/>
    <col min="37" max="37" width="4.7109375" style="64" customWidth="1"/>
    <col min="38" max="38" width="8.8515625" style="64" customWidth="1"/>
    <col min="39" max="39" width="4.7109375" style="64" customWidth="1"/>
    <col min="40" max="40" width="10.00390625" style="64" customWidth="1"/>
    <col min="41" max="41" width="4.28125" style="64" customWidth="1"/>
    <col min="42" max="42" width="9.7109375" style="64" customWidth="1"/>
    <col min="43" max="43" width="3.7109375" style="64" customWidth="1"/>
    <col min="44" max="44" width="11.7109375" style="64" customWidth="1"/>
    <col min="45" max="45" width="3.7109375" style="64" customWidth="1"/>
    <col min="46" max="46" width="10.28125" style="64" customWidth="1"/>
    <col min="47" max="47" width="4.140625" style="64" customWidth="1"/>
    <col min="48" max="48" width="12.28125" style="64" customWidth="1"/>
    <col min="49" max="54" width="12.140625" style="64" bestFit="1" customWidth="1"/>
    <col min="55" max="60" width="6.140625" style="64" bestFit="1" customWidth="1"/>
    <col min="61" max="16384" width="9.140625" style="64" customWidth="1"/>
  </cols>
  <sheetData>
    <row r="1" ht="12.75">
      <c r="B1" s="65" t="s">
        <v>286</v>
      </c>
    </row>
    <row r="2" ht="12.75">
      <c r="A2" s="64" t="s">
        <v>234</v>
      </c>
    </row>
    <row r="4" spans="2:48" ht="12.75">
      <c r="B4" s="65" t="s">
        <v>196</v>
      </c>
      <c r="F4" s="74" t="s">
        <v>218</v>
      </c>
      <c r="G4" s="75"/>
      <c r="H4" s="74" t="s">
        <v>219</v>
      </c>
      <c r="I4" s="75"/>
      <c r="J4" s="74" t="s">
        <v>220</v>
      </c>
      <c r="K4" s="75"/>
      <c r="L4" s="74" t="s">
        <v>218</v>
      </c>
      <c r="M4" s="75"/>
      <c r="N4" s="74" t="s">
        <v>219</v>
      </c>
      <c r="O4" s="75"/>
      <c r="P4" s="74" t="s">
        <v>220</v>
      </c>
      <c r="Q4" s="75"/>
      <c r="R4" s="74" t="s">
        <v>218</v>
      </c>
      <c r="S4" s="75"/>
      <c r="T4" s="74" t="s">
        <v>219</v>
      </c>
      <c r="U4" s="75"/>
      <c r="V4" s="74" t="s">
        <v>220</v>
      </c>
      <c r="W4" s="75"/>
      <c r="X4" s="74" t="s">
        <v>218</v>
      </c>
      <c r="Y4" s="75"/>
      <c r="Z4" s="74" t="s">
        <v>219</v>
      </c>
      <c r="AA4" s="75"/>
      <c r="AB4" s="74" t="s">
        <v>220</v>
      </c>
      <c r="AC4" s="75"/>
      <c r="AD4" s="74" t="s">
        <v>218</v>
      </c>
      <c r="AE4" s="75"/>
      <c r="AF4" s="74" t="s">
        <v>219</v>
      </c>
      <c r="AG4" s="75"/>
      <c r="AH4" s="74" t="s">
        <v>220</v>
      </c>
      <c r="AI4" s="74"/>
      <c r="AJ4" s="74" t="s">
        <v>218</v>
      </c>
      <c r="AK4" s="75"/>
      <c r="AL4" s="74" t="s">
        <v>219</v>
      </c>
      <c r="AM4" s="75"/>
      <c r="AN4" s="74" t="s">
        <v>220</v>
      </c>
      <c r="AO4" s="74"/>
      <c r="AP4" s="74" t="s">
        <v>218</v>
      </c>
      <c r="AQ4" s="74"/>
      <c r="AR4" s="74" t="s">
        <v>219</v>
      </c>
      <c r="AS4" s="74"/>
      <c r="AT4" s="74" t="s">
        <v>220</v>
      </c>
      <c r="AU4" s="74"/>
      <c r="AV4" s="74" t="s">
        <v>221</v>
      </c>
    </row>
    <row r="5" spans="2:48" ht="12.75">
      <c r="B5" s="65"/>
      <c r="F5" s="74"/>
      <c r="G5" s="75"/>
      <c r="H5" s="74"/>
      <c r="I5" s="75"/>
      <c r="J5" s="74"/>
      <c r="K5" s="75"/>
      <c r="L5" s="74"/>
      <c r="M5" s="75"/>
      <c r="N5" s="74"/>
      <c r="O5" s="75"/>
      <c r="P5" s="74"/>
      <c r="Q5" s="75"/>
      <c r="R5" s="74"/>
      <c r="S5" s="75"/>
      <c r="T5" s="74"/>
      <c r="U5" s="75"/>
      <c r="V5" s="74"/>
      <c r="W5" s="75"/>
      <c r="X5" s="74"/>
      <c r="Y5" s="75"/>
      <c r="Z5" s="74"/>
      <c r="AA5" s="75"/>
      <c r="AB5" s="74"/>
      <c r="AC5" s="75"/>
      <c r="AD5" s="74"/>
      <c r="AE5" s="75"/>
      <c r="AF5" s="74"/>
      <c r="AG5" s="75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</row>
    <row r="6" spans="2:48" ht="12.75">
      <c r="B6" s="12" t="s">
        <v>328</v>
      </c>
      <c r="F6" s="74" t="s">
        <v>331</v>
      </c>
      <c r="G6" s="75"/>
      <c r="H6" s="74" t="s">
        <v>331</v>
      </c>
      <c r="I6" s="75"/>
      <c r="J6" s="74" t="s">
        <v>331</v>
      </c>
      <c r="K6" s="75"/>
      <c r="L6" s="74" t="s">
        <v>333</v>
      </c>
      <c r="M6" s="75"/>
      <c r="N6" s="74" t="s">
        <v>333</v>
      </c>
      <c r="O6" s="75"/>
      <c r="P6" s="74" t="s">
        <v>333</v>
      </c>
      <c r="Q6" s="75"/>
      <c r="R6" s="74" t="s">
        <v>335</v>
      </c>
      <c r="S6" s="75"/>
      <c r="T6" s="74" t="s">
        <v>335</v>
      </c>
      <c r="U6" s="75"/>
      <c r="V6" s="74" t="s">
        <v>335</v>
      </c>
      <c r="W6" s="75"/>
      <c r="X6" s="74" t="s">
        <v>336</v>
      </c>
      <c r="Y6" s="75"/>
      <c r="Z6" s="74" t="s">
        <v>336</v>
      </c>
      <c r="AA6" s="75"/>
      <c r="AB6" s="74" t="s">
        <v>336</v>
      </c>
      <c r="AC6" s="75"/>
      <c r="AD6" s="74" t="s">
        <v>338</v>
      </c>
      <c r="AE6" s="75"/>
      <c r="AF6" s="74" t="s">
        <v>338</v>
      </c>
      <c r="AG6" s="75"/>
      <c r="AH6" s="74" t="s">
        <v>338</v>
      </c>
      <c r="AI6" s="74"/>
      <c r="AJ6" s="74"/>
      <c r="AK6" s="74"/>
      <c r="AL6" s="74"/>
      <c r="AM6" s="74"/>
      <c r="AN6" s="74"/>
      <c r="AO6" s="74"/>
      <c r="AP6" s="74" t="s">
        <v>339</v>
      </c>
      <c r="AQ6" s="74"/>
      <c r="AR6" s="74" t="s">
        <v>339</v>
      </c>
      <c r="AS6" s="74"/>
      <c r="AT6" s="74" t="s">
        <v>339</v>
      </c>
      <c r="AU6" s="74"/>
      <c r="AV6" s="74" t="s">
        <v>339</v>
      </c>
    </row>
    <row r="7" spans="2:48" ht="12.75">
      <c r="B7" s="12" t="s">
        <v>329</v>
      </c>
      <c r="F7" s="64" t="s">
        <v>330</v>
      </c>
      <c r="H7" s="64" t="s">
        <v>330</v>
      </c>
      <c r="J7" s="64" t="s">
        <v>330</v>
      </c>
      <c r="L7" s="64" t="s">
        <v>334</v>
      </c>
      <c r="N7" s="64" t="s">
        <v>334</v>
      </c>
      <c r="P7" s="64" t="s">
        <v>334</v>
      </c>
      <c r="R7" s="64" t="s">
        <v>334</v>
      </c>
      <c r="T7" s="64" t="s">
        <v>334</v>
      </c>
      <c r="V7" s="64" t="s">
        <v>334</v>
      </c>
      <c r="X7" s="64" t="s">
        <v>334</v>
      </c>
      <c r="Z7" s="64" t="s">
        <v>334</v>
      </c>
      <c r="AB7" s="64" t="s">
        <v>334</v>
      </c>
      <c r="AD7" s="64" t="s">
        <v>337</v>
      </c>
      <c r="AF7" s="64" t="s">
        <v>337</v>
      </c>
      <c r="AH7" s="64" t="s">
        <v>337</v>
      </c>
      <c r="AP7" s="64" t="s">
        <v>24</v>
      </c>
      <c r="AR7" s="64" t="s">
        <v>24</v>
      </c>
      <c r="AT7" s="64" t="s">
        <v>24</v>
      </c>
      <c r="AV7" s="64" t="s">
        <v>24</v>
      </c>
    </row>
    <row r="8" spans="2:48" ht="12.75">
      <c r="B8" s="12" t="s">
        <v>345</v>
      </c>
      <c r="AJ8" s="64" t="s">
        <v>73</v>
      </c>
      <c r="AL8" s="64" t="s">
        <v>73</v>
      </c>
      <c r="AN8" s="64" t="s">
        <v>73</v>
      </c>
      <c r="AP8" s="64" t="s">
        <v>24</v>
      </c>
      <c r="AR8" s="64" t="s">
        <v>24</v>
      </c>
      <c r="AT8" s="64" t="s">
        <v>24</v>
      </c>
      <c r="AV8" s="64" t="s">
        <v>24</v>
      </c>
    </row>
    <row r="9" spans="2:49" ht="12.75">
      <c r="B9" s="12" t="s">
        <v>46</v>
      </c>
      <c r="F9" s="64" t="s">
        <v>229</v>
      </c>
      <c r="H9" s="64" t="s">
        <v>229</v>
      </c>
      <c r="J9" s="64" t="s">
        <v>229</v>
      </c>
      <c r="L9" s="64" t="s">
        <v>230</v>
      </c>
      <c r="N9" s="64" t="s">
        <v>230</v>
      </c>
      <c r="P9" s="64" t="s">
        <v>230</v>
      </c>
      <c r="R9" s="64" t="s">
        <v>231</v>
      </c>
      <c r="T9" s="64" t="s">
        <v>231</v>
      </c>
      <c r="V9" s="64" t="s">
        <v>231</v>
      </c>
      <c r="X9" s="64" t="s">
        <v>232</v>
      </c>
      <c r="Z9" s="64" t="s">
        <v>232</v>
      </c>
      <c r="AB9" s="64" t="s">
        <v>232</v>
      </c>
      <c r="AD9" s="64" t="s">
        <v>233</v>
      </c>
      <c r="AF9" s="64" t="s">
        <v>233</v>
      </c>
      <c r="AH9" s="64" t="s">
        <v>233</v>
      </c>
      <c r="AP9" s="64" t="s">
        <v>24</v>
      </c>
      <c r="AR9" s="64" t="s">
        <v>24</v>
      </c>
      <c r="AT9" s="64" t="s">
        <v>24</v>
      </c>
      <c r="AV9" s="64" t="s">
        <v>24</v>
      </c>
      <c r="AW9" s="64" t="s">
        <v>357</v>
      </c>
    </row>
    <row r="10" spans="1:34" ht="12.75">
      <c r="A10" s="64" t="s">
        <v>196</v>
      </c>
      <c r="B10" s="12" t="s">
        <v>119</v>
      </c>
      <c r="D10" s="64" t="s">
        <v>54</v>
      </c>
      <c r="F10" s="66">
        <v>195.2</v>
      </c>
      <c r="H10" s="66"/>
      <c r="J10" s="66"/>
      <c r="L10" s="66">
        <v>1541.4</v>
      </c>
      <c r="N10" s="66">
        <v>1901.4</v>
      </c>
      <c r="P10" s="66">
        <v>1958.4</v>
      </c>
      <c r="R10" s="66">
        <v>6044.4</v>
      </c>
      <c r="T10" s="66">
        <v>5423.4</v>
      </c>
      <c r="V10" s="66">
        <v>4658.4</v>
      </c>
      <c r="X10" s="66">
        <v>907.8</v>
      </c>
      <c r="Z10" s="66">
        <v>746.4</v>
      </c>
      <c r="AB10" s="66">
        <v>684</v>
      </c>
      <c r="AD10" s="66">
        <v>1900.2</v>
      </c>
      <c r="AF10" s="66">
        <v>3902.4</v>
      </c>
      <c r="AH10" s="66">
        <v>3642</v>
      </c>
    </row>
    <row r="11" spans="1:34" ht="12.75">
      <c r="A11" s="64" t="s">
        <v>196</v>
      </c>
      <c r="B11" s="12" t="s">
        <v>47</v>
      </c>
      <c r="D11" s="64" t="s">
        <v>237</v>
      </c>
      <c r="F11" s="66">
        <v>1699</v>
      </c>
      <c r="H11" s="66"/>
      <c r="J11" s="66"/>
      <c r="L11" s="66">
        <v>200</v>
      </c>
      <c r="N11" s="66">
        <v>200</v>
      </c>
      <c r="P11" s="66">
        <v>200</v>
      </c>
      <c r="R11" s="66">
        <v>11152</v>
      </c>
      <c r="T11" s="66">
        <v>11168</v>
      </c>
      <c r="V11" s="66">
        <v>12500</v>
      </c>
      <c r="X11" s="66">
        <v>9926</v>
      </c>
      <c r="Z11" s="66">
        <v>9134</v>
      </c>
      <c r="AB11" s="66">
        <v>8883</v>
      </c>
      <c r="AD11" s="66">
        <v>200</v>
      </c>
      <c r="AF11" s="66">
        <v>200</v>
      </c>
      <c r="AH11" s="66">
        <v>200</v>
      </c>
    </row>
    <row r="12" spans="1:34" ht="12.75">
      <c r="A12" s="64" t="s">
        <v>196</v>
      </c>
      <c r="B12" s="64" t="s">
        <v>49</v>
      </c>
      <c r="D12" s="64" t="s">
        <v>238</v>
      </c>
      <c r="F12" s="64">
        <v>31.24</v>
      </c>
      <c r="L12" s="64">
        <v>1.51</v>
      </c>
      <c r="N12" s="64">
        <v>0.4</v>
      </c>
      <c r="P12" s="64">
        <v>0.38</v>
      </c>
      <c r="R12" s="64">
        <v>0.24</v>
      </c>
      <c r="T12" s="64">
        <v>0.21</v>
      </c>
      <c r="V12" s="64">
        <v>0.18</v>
      </c>
      <c r="X12" s="64">
        <v>0.03</v>
      </c>
      <c r="Z12" s="64">
        <v>0.11</v>
      </c>
      <c r="AB12" s="64">
        <v>0.18</v>
      </c>
      <c r="AD12" s="64">
        <v>3.37</v>
      </c>
      <c r="AF12" s="64">
        <v>3.39</v>
      </c>
      <c r="AH12" s="64">
        <v>4.18</v>
      </c>
    </row>
    <row r="13" spans="1:49" ht="12.75">
      <c r="A13" s="64" t="s">
        <v>196</v>
      </c>
      <c r="B13" s="64" t="s">
        <v>50</v>
      </c>
      <c r="D13" s="64" t="s">
        <v>54</v>
      </c>
      <c r="AP13" s="67">
        <v>2068.4</v>
      </c>
      <c r="AQ13" s="67"/>
      <c r="AR13" s="67">
        <v>2071.5</v>
      </c>
      <c r="AS13" s="67"/>
      <c r="AT13" s="67">
        <v>2168.3</v>
      </c>
      <c r="AW13" s="64" t="s">
        <v>54</v>
      </c>
    </row>
    <row r="14" spans="1:49" ht="12.75">
      <c r="A14" s="64" t="s">
        <v>196</v>
      </c>
      <c r="B14" s="64" t="s">
        <v>95</v>
      </c>
      <c r="D14" s="64" t="s">
        <v>239</v>
      </c>
      <c r="F14" s="64">
        <v>8.5</v>
      </c>
      <c r="L14" s="64">
        <v>1274.0768676055764</v>
      </c>
      <c r="N14" s="64">
        <v>11.112094363097178</v>
      </c>
      <c r="P14" s="64">
        <v>8.6876374111487</v>
      </c>
      <c r="Q14" s="66" t="s">
        <v>161</v>
      </c>
      <c r="R14" s="64">
        <v>2.9</v>
      </c>
      <c r="S14" s="66" t="s">
        <v>161</v>
      </c>
      <c r="T14" s="64">
        <v>2.9</v>
      </c>
      <c r="U14" s="66" t="s">
        <v>161</v>
      </c>
      <c r="V14" s="64">
        <v>2.9</v>
      </c>
      <c r="W14" s="66" t="s">
        <v>161</v>
      </c>
      <c r="X14" s="64">
        <v>3</v>
      </c>
      <c r="Y14" s="66" t="s">
        <v>161</v>
      </c>
      <c r="Z14" s="64">
        <v>2.8</v>
      </c>
      <c r="AA14" s="66" t="s">
        <v>161</v>
      </c>
      <c r="AB14" s="64">
        <v>1.72</v>
      </c>
      <c r="AC14" s="66" t="s">
        <v>161</v>
      </c>
      <c r="AD14" s="64">
        <v>2.7</v>
      </c>
      <c r="AE14" s="66" t="s">
        <v>161</v>
      </c>
      <c r="AF14" s="64">
        <v>2.6</v>
      </c>
      <c r="AG14" s="66" t="s">
        <v>161</v>
      </c>
      <c r="AH14" s="64">
        <v>2.8</v>
      </c>
      <c r="AP14" s="64">
        <v>0.38</v>
      </c>
      <c r="AR14" s="64">
        <v>7.55</v>
      </c>
      <c r="AT14" s="64">
        <v>4.27</v>
      </c>
      <c r="AW14" s="64" t="s">
        <v>54</v>
      </c>
    </row>
    <row r="15" spans="1:49" ht="12.75">
      <c r="A15" s="64" t="s">
        <v>196</v>
      </c>
      <c r="B15" s="64" t="s">
        <v>96</v>
      </c>
      <c r="D15" s="64" t="s">
        <v>239</v>
      </c>
      <c r="F15" s="64">
        <v>66</v>
      </c>
      <c r="L15" s="64">
        <v>3332.201038353046</v>
      </c>
      <c r="N15" s="64">
        <v>151.52855949678</v>
      </c>
      <c r="P15" s="64">
        <v>161.63046346323168</v>
      </c>
      <c r="Q15" s="66" t="s">
        <v>161</v>
      </c>
      <c r="R15" s="64">
        <v>2.4</v>
      </c>
      <c r="S15" s="66" t="s">
        <v>161</v>
      </c>
      <c r="T15" s="64">
        <v>2.5</v>
      </c>
      <c r="U15" s="66" t="s">
        <v>161</v>
      </c>
      <c r="V15" s="64">
        <v>2.4</v>
      </c>
      <c r="W15" s="66" t="s">
        <v>161</v>
      </c>
      <c r="X15" s="64">
        <v>2.5</v>
      </c>
      <c r="Y15" s="66" t="s">
        <v>161</v>
      </c>
      <c r="Z15" s="64">
        <v>2.3</v>
      </c>
      <c r="AA15" s="66" t="s">
        <v>161</v>
      </c>
      <c r="AB15" s="64">
        <v>1.43</v>
      </c>
      <c r="AC15" s="66" t="s">
        <v>161</v>
      </c>
      <c r="AD15" s="64">
        <v>2.3</v>
      </c>
      <c r="AE15" s="66" t="s">
        <v>161</v>
      </c>
      <c r="AF15" s="64">
        <v>2.2</v>
      </c>
      <c r="AG15" s="66" t="s">
        <v>161</v>
      </c>
      <c r="AH15" s="64">
        <v>2.4</v>
      </c>
      <c r="AP15" s="64">
        <v>1.49</v>
      </c>
      <c r="AR15" s="64">
        <v>5.02</v>
      </c>
      <c r="AT15" s="64">
        <v>3.07</v>
      </c>
      <c r="AW15" s="64" t="s">
        <v>54</v>
      </c>
    </row>
    <row r="16" spans="1:49" ht="12.75">
      <c r="A16" s="64" t="s">
        <v>196</v>
      </c>
      <c r="B16" s="64" t="s">
        <v>97</v>
      </c>
      <c r="D16" s="64" t="s">
        <v>239</v>
      </c>
      <c r="F16" s="64">
        <v>811</v>
      </c>
      <c r="L16" s="64">
        <v>4959.099192372474</v>
      </c>
      <c r="N16" s="64">
        <v>52.22684350655674</v>
      </c>
      <c r="P16" s="64">
        <v>42.42799665909832</v>
      </c>
      <c r="R16" s="64">
        <v>7.92</v>
      </c>
      <c r="T16" s="64">
        <v>14.8</v>
      </c>
      <c r="V16" s="64">
        <v>1.57</v>
      </c>
      <c r="X16" s="64">
        <v>2.62</v>
      </c>
      <c r="Z16" s="64">
        <v>2.55</v>
      </c>
      <c r="AB16" s="64">
        <v>14.5</v>
      </c>
      <c r="AD16" s="64">
        <v>21.9</v>
      </c>
      <c r="AF16" s="64">
        <v>41.1</v>
      </c>
      <c r="AH16" s="64">
        <v>27.6</v>
      </c>
      <c r="AP16" s="64">
        <v>2.9</v>
      </c>
      <c r="AR16" s="64">
        <v>130.12</v>
      </c>
      <c r="AT16" s="64">
        <v>73.32</v>
      </c>
      <c r="AW16" s="64" t="s">
        <v>54</v>
      </c>
    </row>
    <row r="17" spans="1:49" ht="12.75">
      <c r="A17" s="64" t="s">
        <v>196</v>
      </c>
      <c r="B17" s="64" t="s">
        <v>98</v>
      </c>
      <c r="D17" s="64" t="s">
        <v>239</v>
      </c>
      <c r="F17" s="64">
        <v>71.5</v>
      </c>
      <c r="L17" s="64">
        <v>176.41064320692595</v>
      </c>
      <c r="N17" s="64">
        <v>0.6808683273388635</v>
      </c>
      <c r="P17" s="64">
        <v>0.44549396492053234</v>
      </c>
      <c r="R17" s="64">
        <v>0.293</v>
      </c>
      <c r="T17" s="64">
        <v>0.294</v>
      </c>
      <c r="V17" s="64">
        <v>0.382</v>
      </c>
      <c r="X17" s="64">
        <v>0.346</v>
      </c>
      <c r="Z17" s="64">
        <v>0.093</v>
      </c>
      <c r="AB17" s="64">
        <v>0.409</v>
      </c>
      <c r="AD17" s="64">
        <v>14.4</v>
      </c>
      <c r="AF17" s="64">
        <v>26</v>
      </c>
      <c r="AH17" s="64">
        <v>16.9</v>
      </c>
      <c r="AP17" s="64">
        <v>0.03</v>
      </c>
      <c r="AR17" s="64">
        <v>0.6</v>
      </c>
      <c r="AT17" s="64">
        <v>0.34</v>
      </c>
      <c r="AW17" s="64" t="s">
        <v>54</v>
      </c>
    </row>
    <row r="18" spans="1:49" ht="12.75">
      <c r="A18" s="64" t="s">
        <v>196</v>
      </c>
      <c r="B18" s="64" t="s">
        <v>99</v>
      </c>
      <c r="D18" s="64" t="s">
        <v>239</v>
      </c>
      <c r="F18" s="64">
        <v>0.769</v>
      </c>
      <c r="L18" s="64">
        <v>293.03767954928253</v>
      </c>
      <c r="N18" s="64">
        <v>35.65972100157549</v>
      </c>
      <c r="P18" s="64">
        <v>41.3167872227886</v>
      </c>
      <c r="Q18" s="66" t="s">
        <v>161</v>
      </c>
      <c r="R18" s="64">
        <v>0.147</v>
      </c>
      <c r="T18" s="64">
        <v>0.294</v>
      </c>
      <c r="U18" s="66" t="s">
        <v>161</v>
      </c>
      <c r="V18" s="64">
        <v>0.143</v>
      </c>
      <c r="W18" s="66" t="s">
        <v>161</v>
      </c>
      <c r="X18" s="64">
        <v>0.148</v>
      </c>
      <c r="Y18" s="66" t="s">
        <v>161</v>
      </c>
      <c r="Z18" s="64">
        <v>0.139</v>
      </c>
      <c r="AA18" s="66" t="s">
        <v>161</v>
      </c>
      <c r="AB18" s="64">
        <v>0.097</v>
      </c>
      <c r="AD18" s="64">
        <v>1.09</v>
      </c>
      <c r="AF18" s="64">
        <v>2.28</v>
      </c>
      <c r="AH18" s="64">
        <v>1.52</v>
      </c>
      <c r="AP18" s="64">
        <v>0.88</v>
      </c>
      <c r="AR18" s="64">
        <v>0.92</v>
      </c>
      <c r="AT18" s="64">
        <v>0.54</v>
      </c>
      <c r="AW18" s="64" t="s">
        <v>54</v>
      </c>
    </row>
    <row r="19" spans="1:49" ht="12.75">
      <c r="A19" s="64" t="s">
        <v>196</v>
      </c>
      <c r="B19" s="64" t="s">
        <v>112</v>
      </c>
      <c r="D19" s="64" t="s">
        <v>239</v>
      </c>
      <c r="F19" s="64">
        <v>89.2</v>
      </c>
      <c r="L19" s="64">
        <v>5184.512792025768</v>
      </c>
      <c r="N19" s="64">
        <v>438.42263214401595</v>
      </c>
      <c r="P19" s="64">
        <v>505.0951983226</v>
      </c>
      <c r="R19" s="64">
        <v>1.12</v>
      </c>
      <c r="T19" s="64">
        <v>1.81</v>
      </c>
      <c r="V19" s="64">
        <v>0.286</v>
      </c>
      <c r="X19" s="64">
        <v>0.346</v>
      </c>
      <c r="Z19" s="64">
        <v>0.278</v>
      </c>
      <c r="AB19" s="64">
        <v>3.6</v>
      </c>
      <c r="AD19" s="64">
        <v>47.8</v>
      </c>
      <c r="AF19" s="64">
        <v>73.3</v>
      </c>
      <c r="AH19" s="64">
        <v>49.8</v>
      </c>
      <c r="AP19" s="64">
        <v>9.6</v>
      </c>
      <c r="AR19" s="64">
        <v>67.74</v>
      </c>
      <c r="AT19" s="64">
        <v>40.34</v>
      </c>
      <c r="AW19" s="64" t="s">
        <v>54</v>
      </c>
    </row>
    <row r="20" spans="1:49" ht="12.75">
      <c r="A20" s="64" t="s">
        <v>196</v>
      </c>
      <c r="B20" s="64" t="s">
        <v>94</v>
      </c>
      <c r="D20" s="64" t="s">
        <v>239</v>
      </c>
      <c r="F20" s="64">
        <v>380</v>
      </c>
      <c r="L20" s="64">
        <v>960.45794634882</v>
      </c>
      <c r="N20" s="64">
        <v>8.586618371484183</v>
      </c>
      <c r="P20" s="64">
        <v>7.273370855845426</v>
      </c>
      <c r="R20" s="64">
        <v>5.9</v>
      </c>
      <c r="T20" s="64">
        <v>8.8</v>
      </c>
      <c r="V20" s="64">
        <v>5.2</v>
      </c>
      <c r="W20" s="66" t="s">
        <v>161</v>
      </c>
      <c r="X20" s="64">
        <v>2.5</v>
      </c>
      <c r="Y20" s="66" t="s">
        <v>161</v>
      </c>
      <c r="Z20" s="64">
        <v>2.3</v>
      </c>
      <c r="AA20" s="66" t="s">
        <v>161</v>
      </c>
      <c r="AB20" s="64">
        <v>6.27</v>
      </c>
      <c r="AD20" s="64">
        <v>50</v>
      </c>
      <c r="AF20" s="64">
        <v>92</v>
      </c>
      <c r="AH20" s="64">
        <v>62</v>
      </c>
      <c r="AP20" s="64">
        <v>3.88</v>
      </c>
      <c r="AR20" s="64">
        <v>166.54</v>
      </c>
      <c r="AT20" s="64">
        <v>94.46</v>
      </c>
      <c r="AW20" s="64" t="s">
        <v>54</v>
      </c>
    </row>
    <row r="21" spans="1:49" ht="12.75">
      <c r="A21" s="64" t="s">
        <v>196</v>
      </c>
      <c r="B21" s="64" t="s">
        <v>100</v>
      </c>
      <c r="D21" s="64" t="s">
        <v>239</v>
      </c>
      <c r="F21" s="64">
        <v>0.914</v>
      </c>
      <c r="L21" s="64">
        <v>20.679247620367434</v>
      </c>
      <c r="N21" s="64">
        <v>15.051836910013451</v>
      </c>
      <c r="P21" s="64">
        <v>32.1240546133173</v>
      </c>
      <c r="Q21" s="66" t="s">
        <v>161</v>
      </c>
      <c r="R21" s="64">
        <v>0.133</v>
      </c>
      <c r="T21" s="64">
        <v>0.159</v>
      </c>
      <c r="U21" s="66" t="s">
        <v>161</v>
      </c>
      <c r="V21" s="64">
        <v>0.153</v>
      </c>
      <c r="W21" s="66" t="s">
        <v>161</v>
      </c>
      <c r="X21" s="64">
        <v>0.105</v>
      </c>
      <c r="Y21" s="66" t="s">
        <v>161</v>
      </c>
      <c r="Z21" s="64">
        <v>0.133</v>
      </c>
      <c r="AA21" s="66" t="s">
        <v>161</v>
      </c>
      <c r="AB21" s="64">
        <v>0.097</v>
      </c>
      <c r="AD21" s="64">
        <v>0.184</v>
      </c>
      <c r="AE21" s="66" t="s">
        <v>161</v>
      </c>
      <c r="AF21" s="64">
        <v>0.133</v>
      </c>
      <c r="AG21" s="66" t="s">
        <v>161</v>
      </c>
      <c r="AH21" s="64">
        <v>0.167</v>
      </c>
      <c r="AP21" s="64">
        <v>0.75</v>
      </c>
      <c r="AR21" s="64">
        <v>3.39</v>
      </c>
      <c r="AT21" s="64">
        <v>1.93</v>
      </c>
      <c r="AW21" s="64" t="s">
        <v>54</v>
      </c>
    </row>
    <row r="22" spans="1:49" ht="12.75">
      <c r="A22" s="64" t="s">
        <v>196</v>
      </c>
      <c r="B22" s="64" t="s">
        <v>103</v>
      </c>
      <c r="D22" s="64" t="s">
        <v>239</v>
      </c>
      <c r="F22" s="64">
        <v>13</v>
      </c>
      <c r="L22" s="64">
        <v>28.421714738893627</v>
      </c>
      <c r="N22" s="64">
        <v>0.43438187055743516</v>
      </c>
      <c r="P22" s="64">
        <v>0.24244569519484752</v>
      </c>
      <c r="Q22" s="66" t="s">
        <v>161</v>
      </c>
      <c r="R22" s="64">
        <v>1</v>
      </c>
      <c r="S22" s="66" t="s">
        <v>161</v>
      </c>
      <c r="T22" s="64">
        <v>0.98</v>
      </c>
      <c r="U22" s="66" t="s">
        <v>161</v>
      </c>
      <c r="V22" s="64">
        <v>0.95</v>
      </c>
      <c r="W22" s="66" t="s">
        <v>161</v>
      </c>
      <c r="X22" s="64">
        <v>0.99</v>
      </c>
      <c r="Y22" s="66" t="s">
        <v>161</v>
      </c>
      <c r="Z22" s="64">
        <v>0.93</v>
      </c>
      <c r="AA22" s="66" t="s">
        <v>161</v>
      </c>
      <c r="AB22" s="64">
        <v>0.563</v>
      </c>
      <c r="AC22" s="66" t="s">
        <v>161</v>
      </c>
      <c r="AD22" s="64">
        <v>0.91</v>
      </c>
      <c r="AE22" s="66" t="s">
        <v>161</v>
      </c>
      <c r="AF22" s="64">
        <v>0.88</v>
      </c>
      <c r="AG22" s="66" t="s">
        <v>161</v>
      </c>
      <c r="AH22" s="64">
        <v>0.95</v>
      </c>
      <c r="AP22" s="64">
        <v>0</v>
      </c>
      <c r="AR22" s="64">
        <v>1.22</v>
      </c>
      <c r="AT22" s="64">
        <v>1.83</v>
      </c>
      <c r="AW22" s="64" t="s">
        <v>54</v>
      </c>
    </row>
    <row r="23" spans="1:49" ht="12.75">
      <c r="A23" s="64" t="s">
        <v>196</v>
      </c>
      <c r="B23" s="64" t="s">
        <v>104</v>
      </c>
      <c r="D23" s="64" t="s">
        <v>239</v>
      </c>
      <c r="E23" s="66" t="s">
        <v>161</v>
      </c>
      <c r="F23" s="64">
        <v>11</v>
      </c>
      <c r="L23" s="64">
        <v>98.00591289273665</v>
      </c>
      <c r="M23" s="66" t="s">
        <v>161</v>
      </c>
      <c r="N23" s="64">
        <v>1.0101903966452</v>
      </c>
      <c r="P23" s="64">
        <v>1.111209436309718</v>
      </c>
      <c r="Q23" s="66" t="s">
        <v>161</v>
      </c>
      <c r="R23" s="64">
        <v>4.9</v>
      </c>
      <c r="S23" s="66" t="s">
        <v>161</v>
      </c>
      <c r="T23" s="64">
        <v>4.9</v>
      </c>
      <c r="U23" s="66" t="s">
        <v>161</v>
      </c>
      <c r="V23" s="64">
        <v>4.8</v>
      </c>
      <c r="W23" s="66" t="s">
        <v>161</v>
      </c>
      <c r="X23" s="64">
        <v>4.9</v>
      </c>
      <c r="Y23" s="66" t="s">
        <v>161</v>
      </c>
      <c r="Z23" s="64">
        <v>4.6</v>
      </c>
      <c r="AA23" s="66" t="s">
        <v>161</v>
      </c>
      <c r="AB23" s="64">
        <v>2.82</v>
      </c>
      <c r="AC23" s="66" t="s">
        <v>161</v>
      </c>
      <c r="AD23" s="64">
        <v>4.6</v>
      </c>
      <c r="AE23" s="66" t="s">
        <v>161</v>
      </c>
      <c r="AF23" s="64">
        <v>4.4</v>
      </c>
      <c r="AG23" s="66" t="s">
        <v>161</v>
      </c>
      <c r="AH23" s="64">
        <v>4.7</v>
      </c>
      <c r="AP23" s="64">
        <v>0.15</v>
      </c>
      <c r="AR23" s="64">
        <v>1.22</v>
      </c>
      <c r="AT23" s="64">
        <v>0.76</v>
      </c>
      <c r="AW23" s="64" t="s">
        <v>54</v>
      </c>
    </row>
    <row r="25" spans="2:46" ht="12.75">
      <c r="B25" s="62" t="s">
        <v>69</v>
      </c>
      <c r="C25" s="62"/>
      <c r="D25" s="62" t="s">
        <v>16</v>
      </c>
      <c r="F25" s="66">
        <f>'emiss 2'!$G$30</f>
        <v>34258</v>
      </c>
      <c r="H25" s="66">
        <f>'emiss 2'!$I$30</f>
        <v>32783</v>
      </c>
      <c r="J25" s="66">
        <f>'emiss 2'!$K$30</f>
        <v>31149</v>
      </c>
      <c r="L25" s="66">
        <f>'emiss 2'!$G$30</f>
        <v>34258</v>
      </c>
      <c r="N25" s="66">
        <f>'emiss 2'!$I$30</f>
        <v>32783</v>
      </c>
      <c r="P25" s="66">
        <f>'emiss 2'!$K$30</f>
        <v>31149</v>
      </c>
      <c r="R25" s="66">
        <f>'emiss 2'!$G$30</f>
        <v>34258</v>
      </c>
      <c r="T25" s="66">
        <f>'emiss 2'!$I$30</f>
        <v>32783</v>
      </c>
      <c r="V25" s="66">
        <f>'emiss 2'!$K$30</f>
        <v>31149</v>
      </c>
      <c r="X25" s="66">
        <f>'emiss 2'!$G$30</f>
        <v>34258</v>
      </c>
      <c r="Z25" s="66">
        <f>'emiss 2'!$I$30</f>
        <v>32783</v>
      </c>
      <c r="AB25" s="66">
        <f>'emiss 2'!$K$30</f>
        <v>31149</v>
      </c>
      <c r="AD25" s="66">
        <f>'emiss 2'!$G$30</f>
        <v>34258</v>
      </c>
      <c r="AF25" s="66">
        <f>'emiss 2'!$I$30</f>
        <v>32783</v>
      </c>
      <c r="AH25" s="66">
        <f>'emiss 2'!$K$30</f>
        <v>31149</v>
      </c>
      <c r="AI25" s="66"/>
      <c r="AJ25" s="66"/>
      <c r="AK25" s="66"/>
      <c r="AL25" s="66"/>
      <c r="AM25" s="66"/>
      <c r="AN25" s="66"/>
      <c r="AO25" s="66"/>
      <c r="AP25" s="66">
        <f>'emiss 2'!$G$30</f>
        <v>34258</v>
      </c>
      <c r="AQ25" s="66"/>
      <c r="AR25" s="66">
        <f>'emiss 2'!$I$30</f>
        <v>32783</v>
      </c>
      <c r="AS25" s="66"/>
      <c r="AT25" s="66">
        <f>'emiss 2'!$K$30</f>
        <v>31149</v>
      </c>
    </row>
    <row r="26" spans="2:46" ht="12.75">
      <c r="B26" s="62" t="s">
        <v>70</v>
      </c>
      <c r="C26" s="62"/>
      <c r="D26" s="62" t="s">
        <v>17</v>
      </c>
      <c r="F26" s="64">
        <f>'emiss 2'!$G$31</f>
        <v>9.91</v>
      </c>
      <c r="H26" s="64">
        <f>'emiss 2'!$I$31</f>
        <v>9.42</v>
      </c>
      <c r="J26" s="64">
        <f>'emiss 2'!$K$31</f>
        <v>9.59</v>
      </c>
      <c r="L26" s="64">
        <f>'emiss 2'!$G$31</f>
        <v>9.91</v>
      </c>
      <c r="N26" s="64">
        <f>'emiss 2'!$I$31</f>
        <v>9.42</v>
      </c>
      <c r="P26" s="64">
        <f>'emiss 2'!$K$31</f>
        <v>9.59</v>
      </c>
      <c r="R26" s="64">
        <f>'emiss 2'!$G$31</f>
        <v>9.91</v>
      </c>
      <c r="T26" s="64">
        <f>'emiss 2'!$I$31</f>
        <v>9.42</v>
      </c>
      <c r="V26" s="64">
        <f>'emiss 2'!$K$31</f>
        <v>9.59</v>
      </c>
      <c r="X26" s="64">
        <f>'emiss 2'!$G$31</f>
        <v>9.91</v>
      </c>
      <c r="Z26" s="64">
        <f>'emiss 2'!$I$31</f>
        <v>9.42</v>
      </c>
      <c r="AB26" s="64">
        <f>'emiss 2'!$K$31</f>
        <v>9.59</v>
      </c>
      <c r="AD26" s="64">
        <f>'emiss 2'!$G$31</f>
        <v>9.91</v>
      </c>
      <c r="AF26" s="64">
        <f>'emiss 2'!$I$31</f>
        <v>9.42</v>
      </c>
      <c r="AH26" s="64">
        <f>'emiss 2'!$K$31</f>
        <v>9.59</v>
      </c>
      <c r="AP26" s="64">
        <f>'emiss 2'!$G$31</f>
        <v>9.91</v>
      </c>
      <c r="AQ26" s="66"/>
      <c r="AR26" s="64">
        <f>'emiss 2'!$I$31</f>
        <v>9.42</v>
      </c>
      <c r="AS26" s="66"/>
      <c r="AT26" s="64">
        <f>'emiss 2'!$K$31</f>
        <v>9.59</v>
      </c>
    </row>
    <row r="28" ht="12.75">
      <c r="B28" s="48" t="s">
        <v>87</v>
      </c>
    </row>
    <row r="29" spans="2:48" ht="12.75">
      <c r="B29" s="64" t="s">
        <v>49</v>
      </c>
      <c r="D29" s="64" t="s">
        <v>71</v>
      </c>
      <c r="F29" s="66">
        <f>F12/100*F10*454/60/0.0283/F25*(21-7)/(21-F26)*1000</f>
        <v>600.818767387695</v>
      </c>
      <c r="H29" s="66">
        <f>H12/100*H10*454/60/0.0283/H25*(21-7)/(21-H26)*1000</f>
        <v>0</v>
      </c>
      <c r="J29" s="66">
        <f>J12/100*J10*454/60/0.0283/J25*(21-7)/(21-J26)*1000</f>
        <v>0</v>
      </c>
      <c r="L29" s="66">
        <f>L12/100*L10*454/60/0.0283/L25*(21-7)/(21-L26)*1000</f>
        <v>229.3215948050267</v>
      </c>
      <c r="N29" s="66">
        <f>N12/100*N10*454/60/0.0283/N25*(21-7)/(21-N26)*1000</f>
        <v>74.99329408495446</v>
      </c>
      <c r="P29" s="66">
        <f>P12/100*P10*454/60/0.0283/P25*(21-7)/(21-P26)*1000</f>
        <v>78.37931192073621</v>
      </c>
      <c r="R29" s="64">
        <f>R12/100*R10*454/60/0.0283/R25*(21-7)/(21-R26)*1000</f>
        <v>142.92792543180434</v>
      </c>
      <c r="T29" s="66">
        <f>T12/100*T10*454/60/0.0283/T25*(21-7)/(21-T26)*1000</f>
        <v>112.3000322650045</v>
      </c>
      <c r="V29" s="66">
        <f>V12/100*V10*454/60/0.0283/V25*(21-7)/(21-V26)*1000</f>
        <v>88.31322239056632</v>
      </c>
      <c r="X29" s="66">
        <f>X12/100*X10*454/60/0.0283/X25*(21-7)/(21-X26)*1000</f>
        <v>2.6832682050119114</v>
      </c>
      <c r="Z29" s="66">
        <f>Z12/100*Z10*454/60/0.0283/Z25*(21-7)/(21-Z26)*1000</f>
        <v>8.095678733500447</v>
      </c>
      <c r="AB29" s="66">
        <f>AB12/100*AB10*454/60/0.0283/AB25*(21-7)/(21-AB26)*1000</f>
        <v>12.967165575121799</v>
      </c>
      <c r="AD29" s="66">
        <f>AD12/100*AD10*454/60/0.0283/AD25*(21-7)/(21-AD26)*1000</f>
        <v>630.9309994661619</v>
      </c>
      <c r="AF29" s="66">
        <f>AF12/100*AF10*454/60/0.0283/AF25*(21-7)/(21-AF26)*1000</f>
        <v>1304.4289556877275</v>
      </c>
      <c r="AH29" s="66">
        <f>AH12/100*AH10*454/60/0.0283/AH25*(21-7)/(21-AH26)*1000</f>
        <v>1603.3660100942263</v>
      </c>
      <c r="AI29" s="66"/>
      <c r="AJ29" s="66">
        <f>SUM(X29,AD29,R29,L29,F29)</f>
        <v>1606.6825552956998</v>
      </c>
      <c r="AK29" s="66"/>
      <c r="AL29" s="66">
        <f>SUM(Z29,AF29,T29,N29,H29)</f>
        <v>1499.8179607711868</v>
      </c>
      <c r="AM29" s="66"/>
      <c r="AN29" s="66">
        <f>SUM(AB29,AH29,V29,P29,J29)</f>
        <v>1783.0257099806506</v>
      </c>
      <c r="AP29" s="66">
        <f>SUM(AD29,X29,R29,L29,F29)</f>
        <v>1606.6825552956998</v>
      </c>
      <c r="AQ29" s="67"/>
      <c r="AR29" s="66">
        <f>SUM(AF29,Z29,T29,N29,H29)</f>
        <v>1499.8179607711868</v>
      </c>
      <c r="AS29" s="66"/>
      <c r="AT29" s="66">
        <f>SUM(AH29,AB29,V29,P29,J29)</f>
        <v>1783.0257099806506</v>
      </c>
      <c r="AU29" s="67"/>
      <c r="AV29" s="66">
        <f>AVERAGE(AT29,AR29,AP29)</f>
        <v>1629.8420753491791</v>
      </c>
    </row>
    <row r="30" spans="2:48" ht="12.75">
      <c r="B30" s="64" t="s">
        <v>50</v>
      </c>
      <c r="D30" s="64" t="s">
        <v>63</v>
      </c>
      <c r="L30" s="66"/>
      <c r="AP30" s="66">
        <f aca="true" t="shared" si="0" ref="AP30:AP40">AP13*454/60/0.0283/AP$25*(21-7)/(21-AP$26)*1000000</f>
        <v>20379202.303174853</v>
      </c>
      <c r="AR30" s="66">
        <f aca="true" t="shared" si="1" ref="AR30:AR40">AR13*454/60/0.0283/AR$25*(21-7)/(21-AR$26)*1000000</f>
        <v>20425555.99781518</v>
      </c>
      <c r="AS30" s="66"/>
      <c r="AT30" s="66">
        <f aca="true" t="shared" si="2" ref="AT30:AT40">AT13*454/60/0.0283/AT$25*(21-7)/(21-AT$26)*1000000</f>
        <v>22836830.016680144</v>
      </c>
      <c r="AU30" s="66"/>
      <c r="AV30" s="66">
        <f>AVERAGE(AT30,AR30,AP30)</f>
        <v>21213862.772556726</v>
      </c>
    </row>
    <row r="31" spans="2:48" ht="12.75">
      <c r="B31" s="64" t="s">
        <v>95</v>
      </c>
      <c r="D31" s="64" t="s">
        <v>63</v>
      </c>
      <c r="F31" s="66">
        <f aca="true" t="shared" si="3" ref="F31:F40">F14/1000000*F$10*454/60/0.0283/F$25*(21-7)/(21-F$26)*1000000</f>
        <v>16.34750167348081</v>
      </c>
      <c r="L31" s="66">
        <f aca="true" t="shared" si="4" ref="L31:L40">L14/1000000*L$10*454/60/0.0283/L$25*(21-7)/(21-L$26)*1000000</f>
        <v>19349.227760496928</v>
      </c>
      <c r="N31" s="66">
        <f aca="true" t="shared" si="5" ref="N31:N40">N14/1000000*N$10*454/60/0.0283/N$25*(21-7)/(21-N$26)*1000000</f>
        <v>208.3331401178779</v>
      </c>
      <c r="P31" s="66">
        <f aca="true" t="shared" si="6" ref="P31:P40">P14/1000000*P$10*454/60/0.0283/P$25*(21-7)/(21-P$26)*1000000</f>
        <v>179.19237960596868</v>
      </c>
      <c r="Q31" s="66">
        <v>100</v>
      </c>
      <c r="R31" s="66">
        <f aca="true" t="shared" si="7" ref="R31:R40">R14/1000000*R$10*454/60/0.0283/R$25*(21-7)/(21-R$26)*1000000</f>
        <v>172.70457656343027</v>
      </c>
      <c r="S31" s="66">
        <v>100</v>
      </c>
      <c r="T31" s="66">
        <f aca="true" t="shared" si="8" ref="T31:T40">T14/1000000*T$10*454/60/0.0283/T$25*(21-7)/(21-T$26)*1000000</f>
        <v>155.0809969373871</v>
      </c>
      <c r="U31" s="66">
        <v>100</v>
      </c>
      <c r="V31" s="66">
        <f aca="true" t="shared" si="9" ref="V31:V40">V14/1000000*V$10*454/60/0.0283/V$25*(21-7)/(21-V$26)*1000000</f>
        <v>142.28241385146802</v>
      </c>
      <c r="W31" s="66">
        <v>100</v>
      </c>
      <c r="X31" s="66">
        <f aca="true" t="shared" si="10" ref="X31:X40">X14/1000000*X$10*454/60/0.0283/X$25*(21-7)/(21-X$26)*1000000</f>
        <v>26.83268205011912</v>
      </c>
      <c r="Y31" s="66">
        <v>100</v>
      </c>
      <c r="Z31" s="66">
        <f aca="true" t="shared" si="11" ref="Z31:Z40">Z14/1000000*Z$10*454/60/0.0283/Z$25*(21-7)/(21-Z$26)*1000000</f>
        <v>20.607182230728412</v>
      </c>
      <c r="AA31" s="66">
        <v>100</v>
      </c>
      <c r="AB31" s="66">
        <f aca="true" t="shared" si="12" ref="AB31:AB40">AB14/1000000*AB$10*454/60/0.0283/AB$25*(21-7)/(21-AB$26)*1000000</f>
        <v>12.390847105116384</v>
      </c>
      <c r="AC31" s="66">
        <v>100</v>
      </c>
      <c r="AD31" s="66">
        <f aca="true" t="shared" si="13" ref="AD31:AD40">AD14/1000000*AD$10*454/60/0.0283/AD$25*(21-7)/(21-AD$26)*1000000</f>
        <v>50.54936790975184</v>
      </c>
      <c r="AE31" s="66">
        <v>100</v>
      </c>
      <c r="AF31" s="66">
        <f aca="true" t="shared" si="14" ref="AF31:AF40">AF14/1000000*AF$10*454/60/0.0283/AF$25*(21-7)/(21-AF$26)*1000000</f>
        <v>100.04469866631538</v>
      </c>
      <c r="AG31" s="66">
        <v>100</v>
      </c>
      <c r="AH31" s="66">
        <f aca="true" t="shared" si="15" ref="AH31:AH40">AH14/1000000*AH$10*454/60/0.0283/AH$25*(21-7)/(21-AH$26)*1000000</f>
        <v>107.4025078532018</v>
      </c>
      <c r="AI31" s="67">
        <f>SUM((AD31*AC31/100),(X31*W31/100),(R31*Q31/100),(L31*K31/100),(F31*E31/100))/AJ31*100</f>
        <v>1.274933407510704</v>
      </c>
      <c r="AJ31" s="66">
        <f>SUM(X31,AD31,R31,L31,F31)</f>
        <v>19615.66188869371</v>
      </c>
      <c r="AK31" s="67">
        <f>SUM((AF31*AE31/100),(Z31*Y31/100),(T31*S31/100),(N31*M31/100),(H31*G31/100))/AL31*100</f>
        <v>56.96183322283876</v>
      </c>
      <c r="AL31" s="66">
        <f>SUM(Z31,AF31,T31,N31,H31)</f>
        <v>484.0660179523088</v>
      </c>
      <c r="AM31" s="66">
        <f>SUM((AH31*AG31/100),(AB31*AA31/100),(V31*U31/100),(P31*O31/100),(J31*I31/100))/AN31*100</f>
        <v>59.3914991940146</v>
      </c>
      <c r="AN31" s="66">
        <f>SUM(AB31,AH31,V31,P31,J31)</f>
        <v>441.2681484157549</v>
      </c>
      <c r="AO31" s="67">
        <f aca="true" t="shared" si="16" ref="AO31:AO38">AI31*AJ31/AP31</f>
        <v>6.6796578947368435</v>
      </c>
      <c r="AP31" s="66">
        <f t="shared" si="0"/>
        <v>3744.0035173111787</v>
      </c>
      <c r="AQ31" s="66">
        <f aca="true" t="shared" si="17" ref="AQ31:AQ40">AK31*AL31/AR31</f>
        <v>0.370384370860927</v>
      </c>
      <c r="AR31" s="66">
        <f t="shared" si="1"/>
        <v>74445.06289331627</v>
      </c>
      <c r="AS31" s="66">
        <f aca="true" t="shared" si="18" ref="AS31:AS40">AM31*AN31/AT31</f>
        <v>0.5827503512880563</v>
      </c>
      <c r="AT31" s="66">
        <f t="shared" si="2"/>
        <v>44972.2197902616</v>
      </c>
      <c r="AU31" s="66">
        <f aca="true" t="shared" si="19" ref="AU31:AU40">SUM(AO31*AP31,AQ31*AR31,AS31*AT31)/SUM(AP31,AR31,AT31)</f>
        <v>0.6397264087372212</v>
      </c>
      <c r="AV31" s="66">
        <f aca="true" t="shared" si="20" ref="AV31:AV43">AVERAGE(AT31,AR31,AP31)</f>
        <v>41053.76206696302</v>
      </c>
    </row>
    <row r="32" spans="2:48" ht="12.75">
      <c r="B32" s="64" t="s">
        <v>96</v>
      </c>
      <c r="D32" s="64" t="s">
        <v>63</v>
      </c>
      <c r="F32" s="66">
        <f t="shared" si="3"/>
        <v>126.93354240585103</v>
      </c>
      <c r="L32" s="66">
        <f t="shared" si="4"/>
        <v>50605.67260437658</v>
      </c>
      <c r="N32" s="66">
        <f t="shared" si="5"/>
        <v>2840.906456152885</v>
      </c>
      <c r="P32" s="66">
        <f t="shared" si="6"/>
        <v>3333.811713599418</v>
      </c>
      <c r="Q32" s="66">
        <v>100</v>
      </c>
      <c r="R32" s="66">
        <f t="shared" si="7"/>
        <v>142.92792543180434</v>
      </c>
      <c r="S32" s="66">
        <v>100</v>
      </c>
      <c r="T32" s="66">
        <f t="shared" si="8"/>
        <v>133.69051460119584</v>
      </c>
      <c r="U32" s="66">
        <v>100</v>
      </c>
      <c r="V32" s="66">
        <f t="shared" si="9"/>
        <v>117.75096318742177</v>
      </c>
      <c r="W32" s="66">
        <v>100</v>
      </c>
      <c r="X32" s="66">
        <f t="shared" si="10"/>
        <v>22.360568375099263</v>
      </c>
      <c r="Y32" s="66">
        <v>100</v>
      </c>
      <c r="Z32" s="66">
        <f t="shared" si="11"/>
        <v>16.92732826095548</v>
      </c>
      <c r="AA32" s="66">
        <v>100</v>
      </c>
      <c r="AB32" s="66">
        <f t="shared" si="12"/>
        <v>10.301692651346762</v>
      </c>
      <c r="AC32" s="66">
        <v>100</v>
      </c>
      <c r="AD32" s="66">
        <f t="shared" si="13"/>
        <v>43.06057266386268</v>
      </c>
      <c r="AE32" s="66">
        <v>100</v>
      </c>
      <c r="AF32" s="66">
        <f t="shared" si="14"/>
        <v>84.65320656380533</v>
      </c>
      <c r="AG32" s="66">
        <v>100</v>
      </c>
      <c r="AH32" s="66">
        <f t="shared" si="15"/>
        <v>92.05929244560154</v>
      </c>
      <c r="AI32" s="67">
        <f>SUM((AD32*AC32/100),(X32*W32/100),(R32*Q32/100),(L32*K32/100),(F32*E32/100))/AJ32*100</f>
        <v>0.4090010986220387</v>
      </c>
      <c r="AJ32" s="66">
        <f aca="true" t="shared" si="21" ref="AJ32:AN40">SUM(X32,AD32,R32,L32,F32)</f>
        <v>50940.9552132532</v>
      </c>
      <c r="AK32" s="67">
        <f>SUM((AF32*AE32/100),(Z32*Y32/100),(T32*S32/100),(N32*M32/100),(H32*G32/100))/AL32*100</f>
        <v>7.64816233781301</v>
      </c>
      <c r="AL32" s="66">
        <f t="shared" si="21"/>
        <v>3076.1775055788416</v>
      </c>
      <c r="AM32" s="66">
        <f>SUM((AH32*AG32/100),(AB32*AA32/100),(V32*U32/100),(P32*O32/100),(J32*I32/100))/AN32*100</f>
        <v>6.193491172730982</v>
      </c>
      <c r="AN32" s="66">
        <f t="shared" si="21"/>
        <v>3553.923661883788</v>
      </c>
      <c r="AO32" s="67">
        <f t="shared" si="16"/>
        <v>1.4192295302013418</v>
      </c>
      <c r="AP32" s="66">
        <f t="shared" si="0"/>
        <v>14680.434844193836</v>
      </c>
      <c r="AQ32" s="66">
        <f t="shared" si="17"/>
        <v>0.4753087649402391</v>
      </c>
      <c r="AR32" s="66">
        <f t="shared" si="1"/>
        <v>49498.57161913213</v>
      </c>
      <c r="AS32" s="66">
        <f t="shared" si="18"/>
        <v>0.6807517915309447</v>
      </c>
      <c r="AT32" s="66">
        <f t="shared" si="2"/>
        <v>32333.65685154639</v>
      </c>
      <c r="AU32" s="66">
        <f t="shared" si="19"/>
        <v>0.6877150017253887</v>
      </c>
      <c r="AV32" s="66">
        <f t="shared" si="20"/>
        <v>32170.887771624122</v>
      </c>
    </row>
    <row r="33" spans="2:48" ht="12.75">
      <c r="B33" s="64" t="s">
        <v>97</v>
      </c>
      <c r="D33" s="64" t="s">
        <v>63</v>
      </c>
      <c r="F33" s="66">
        <f t="shared" si="3"/>
        <v>1559.743983199169</v>
      </c>
      <c r="L33" s="66">
        <f t="shared" si="4"/>
        <v>75313.14805239573</v>
      </c>
      <c r="N33" s="66">
        <f t="shared" si="5"/>
        <v>979.165758554026</v>
      </c>
      <c r="P33" s="66">
        <f t="shared" si="6"/>
        <v>875.1255748198477</v>
      </c>
      <c r="R33" s="66">
        <f t="shared" si="7"/>
        <v>471.66215392495445</v>
      </c>
      <c r="T33" s="66">
        <f t="shared" si="8"/>
        <v>791.4478464390792</v>
      </c>
      <c r="V33" s="66">
        <f t="shared" si="9"/>
        <v>77.02875508510509</v>
      </c>
      <c r="X33" s="66">
        <f t="shared" si="10"/>
        <v>23.433875657104025</v>
      </c>
      <c r="Z33" s="66">
        <f t="shared" si="11"/>
        <v>18.767255245841945</v>
      </c>
      <c r="AB33" s="66">
        <f t="shared" si="12"/>
        <v>104.45772268848117</v>
      </c>
      <c r="AD33" s="66">
        <f t="shared" si="13"/>
        <v>410.0115397124315</v>
      </c>
      <c r="AF33" s="66">
        <f t="shared" si="14"/>
        <v>1581.475813532909</v>
      </c>
      <c r="AH33" s="66">
        <f t="shared" si="15"/>
        <v>1058.6818631244178</v>
      </c>
      <c r="AI33" s="67"/>
      <c r="AJ33" s="66">
        <f t="shared" si="21"/>
        <v>77777.99960488938</v>
      </c>
      <c r="AK33" s="67"/>
      <c r="AL33" s="66">
        <f t="shared" si="21"/>
        <v>3370.856673771856</v>
      </c>
      <c r="AM33" s="66"/>
      <c r="AN33" s="66">
        <f t="shared" si="21"/>
        <v>2115.2939157178516</v>
      </c>
      <c r="AO33" s="67">
        <f t="shared" si="16"/>
        <v>0</v>
      </c>
      <c r="AP33" s="66">
        <f t="shared" si="0"/>
        <v>28572.658421585314</v>
      </c>
      <c r="AQ33" s="66">
        <f t="shared" si="17"/>
        <v>0</v>
      </c>
      <c r="AR33" s="66">
        <f t="shared" si="1"/>
        <v>1283018.7528050744</v>
      </c>
      <c r="AS33" s="66">
        <f t="shared" si="18"/>
        <v>0</v>
      </c>
      <c r="AT33" s="66">
        <f t="shared" si="2"/>
        <v>772216.1955554988</v>
      </c>
      <c r="AU33" s="66">
        <f t="shared" si="19"/>
        <v>0</v>
      </c>
      <c r="AV33" s="66">
        <f t="shared" si="20"/>
        <v>694602.5355940529</v>
      </c>
    </row>
    <row r="34" spans="2:48" ht="12.75">
      <c r="B34" s="64" t="s">
        <v>98</v>
      </c>
      <c r="D34" s="64" t="s">
        <v>63</v>
      </c>
      <c r="F34" s="66">
        <f t="shared" si="3"/>
        <v>137.5113376063386</v>
      </c>
      <c r="L34" s="66">
        <f t="shared" si="4"/>
        <v>2679.123843761112</v>
      </c>
      <c r="N34" s="66">
        <f t="shared" si="5"/>
        <v>12.765139676313607</v>
      </c>
      <c r="P34" s="66">
        <f t="shared" si="6"/>
        <v>9.188818535608402</v>
      </c>
      <c r="R34" s="66">
        <f t="shared" si="7"/>
        <v>17.44911756313278</v>
      </c>
      <c r="T34" s="66">
        <f t="shared" si="8"/>
        <v>15.722004517100627</v>
      </c>
      <c r="V34" s="66">
        <f t="shared" si="9"/>
        <v>18.7420283073313</v>
      </c>
      <c r="X34" s="66">
        <f t="shared" si="10"/>
        <v>3.0947026631137384</v>
      </c>
      <c r="Z34" s="66">
        <f t="shared" si="11"/>
        <v>0.6844528383777652</v>
      </c>
      <c r="AB34" s="66">
        <f t="shared" si="12"/>
        <v>2.9464281779026753</v>
      </c>
      <c r="AD34" s="66">
        <f t="shared" si="13"/>
        <v>269.5966288520098</v>
      </c>
      <c r="AF34" s="66">
        <f t="shared" si="14"/>
        <v>1000.4469866631537</v>
      </c>
      <c r="AH34" s="66">
        <f t="shared" si="15"/>
        <v>648.2508509711107</v>
      </c>
      <c r="AI34" s="67"/>
      <c r="AJ34" s="66">
        <f t="shared" si="21"/>
        <v>3106.775630445707</v>
      </c>
      <c r="AK34" s="67"/>
      <c r="AL34" s="66">
        <f t="shared" si="21"/>
        <v>1029.6185836949455</v>
      </c>
      <c r="AM34" s="66"/>
      <c r="AN34" s="66">
        <f t="shared" si="21"/>
        <v>679.1281259919532</v>
      </c>
      <c r="AO34" s="67">
        <f t="shared" si="16"/>
        <v>0</v>
      </c>
      <c r="AP34" s="66">
        <f t="shared" si="0"/>
        <v>295.5792250508826</v>
      </c>
      <c r="AQ34" s="66">
        <f t="shared" si="17"/>
        <v>0</v>
      </c>
      <c r="AR34" s="66">
        <f t="shared" si="1"/>
        <v>5916.163938541689</v>
      </c>
      <c r="AS34" s="66">
        <f t="shared" si="18"/>
        <v>0</v>
      </c>
      <c r="AT34" s="66">
        <f t="shared" si="2"/>
        <v>3580.926165969308</v>
      </c>
      <c r="AU34" s="66">
        <f t="shared" si="19"/>
        <v>0</v>
      </c>
      <c r="AV34" s="66">
        <f t="shared" si="20"/>
        <v>3264.2231098539596</v>
      </c>
    </row>
    <row r="35" spans="2:48" ht="12.75">
      <c r="B35" s="64" t="s">
        <v>99</v>
      </c>
      <c r="D35" s="64" t="s">
        <v>63</v>
      </c>
      <c r="F35" s="66">
        <f t="shared" si="3"/>
        <v>1.478968092577264</v>
      </c>
      <c r="L35" s="66">
        <f t="shared" si="4"/>
        <v>4450.322384914292</v>
      </c>
      <c r="N35" s="66">
        <f t="shared" si="5"/>
        <v>668.5599860146444</v>
      </c>
      <c r="P35" s="66">
        <f t="shared" si="6"/>
        <v>852.2056192888515</v>
      </c>
      <c r="Q35" s="66">
        <v>100</v>
      </c>
      <c r="R35" s="66">
        <f t="shared" si="7"/>
        <v>8.754335432698015</v>
      </c>
      <c r="T35" s="66">
        <f t="shared" si="8"/>
        <v>15.722004517100627</v>
      </c>
      <c r="U35" s="66">
        <v>100</v>
      </c>
      <c r="V35" s="66">
        <f t="shared" si="9"/>
        <v>7.015994889917216</v>
      </c>
      <c r="W35" s="66">
        <v>100</v>
      </c>
      <c r="X35" s="66">
        <f t="shared" si="10"/>
        <v>1.3237456478058767</v>
      </c>
      <c r="Y35" s="66">
        <v>100</v>
      </c>
      <c r="Z35" s="66">
        <f t="shared" si="11"/>
        <v>1.022999403596875</v>
      </c>
      <c r="AA35" s="66">
        <v>100</v>
      </c>
      <c r="AB35" s="66">
        <f t="shared" si="12"/>
        <v>0.6987861448815637</v>
      </c>
      <c r="AD35" s="66">
        <f t="shared" si="13"/>
        <v>20.406967045047967</v>
      </c>
      <c r="AF35" s="66">
        <f t="shared" si="14"/>
        <v>87.73150498430734</v>
      </c>
      <c r="AH35" s="66">
        <f t="shared" si="15"/>
        <v>58.304218548880975</v>
      </c>
      <c r="AI35" s="67">
        <f>SUM((AD35*AC35/100),(X35*W35/100),(R35*Q35/100),(L35*K35/100),(F35*E35/100))/AJ35*100</f>
        <v>0.2248424169851737</v>
      </c>
      <c r="AJ35" s="66">
        <f t="shared" si="21"/>
        <v>4482.286401132421</v>
      </c>
      <c r="AK35" s="67">
        <f>SUM((AF35*AE35/100),(Z35*Y35/100),(T35*S35/100),(N35*M35/100),(H35*G35/100))/AL35*100</f>
        <v>0.13233520154869366</v>
      </c>
      <c r="AL35" s="66">
        <f t="shared" si="21"/>
        <v>773.0364949196493</v>
      </c>
      <c r="AM35" s="66">
        <f>SUM((AH35*AG35/100),(AB35*AA35/100),(V35*U35/100),(P35*O35/100),(J35*I35/100))/AN35*100</f>
        <v>0.8401845121808647</v>
      </c>
      <c r="AN35" s="66">
        <f t="shared" si="21"/>
        <v>918.2246188725312</v>
      </c>
      <c r="AO35" s="67">
        <f t="shared" si="16"/>
        <v>0.11623649999999999</v>
      </c>
      <c r="AP35" s="66">
        <f t="shared" si="0"/>
        <v>8670.323934825889</v>
      </c>
      <c r="AQ35" s="66">
        <f t="shared" si="17"/>
        <v>0.011277130434782609</v>
      </c>
      <c r="AR35" s="66">
        <f t="shared" si="1"/>
        <v>9071.45137243059</v>
      </c>
      <c r="AS35" s="66">
        <f t="shared" si="18"/>
        <v>0.135648</v>
      </c>
      <c r="AT35" s="66">
        <f t="shared" si="2"/>
        <v>5687.353322421842</v>
      </c>
      <c r="AU35" s="66">
        <f t="shared" si="19"/>
        <v>0.08030969404071212</v>
      </c>
      <c r="AV35" s="66">
        <f t="shared" si="20"/>
        <v>7809.709543226108</v>
      </c>
    </row>
    <row r="36" spans="2:48" ht="12.75">
      <c r="B36" s="64" t="s">
        <v>112</v>
      </c>
      <c r="D36" s="64" t="s">
        <v>63</v>
      </c>
      <c r="F36" s="66">
        <f t="shared" si="3"/>
        <v>171.55260579699862</v>
      </c>
      <c r="L36" s="66">
        <f t="shared" si="4"/>
        <v>78736.47296386825</v>
      </c>
      <c r="N36" s="66">
        <f t="shared" si="5"/>
        <v>8219.689346469</v>
      </c>
      <c r="P36" s="66">
        <f t="shared" si="6"/>
        <v>10418.161604998206</v>
      </c>
      <c r="R36" s="66">
        <f t="shared" si="7"/>
        <v>66.69969853484204</v>
      </c>
      <c r="T36" s="66">
        <f t="shared" si="8"/>
        <v>96.79193257126576</v>
      </c>
      <c r="V36" s="66">
        <f t="shared" si="9"/>
        <v>14.031989779834433</v>
      </c>
      <c r="X36" s="66">
        <f t="shared" si="10"/>
        <v>3.0947026631137384</v>
      </c>
      <c r="Z36" s="66">
        <f t="shared" si="11"/>
        <v>2.04599880719375</v>
      </c>
      <c r="AB36" s="66">
        <f t="shared" si="12"/>
        <v>25.934331150243594</v>
      </c>
      <c r="AD36" s="66">
        <f t="shared" si="13"/>
        <v>894.9110318837546</v>
      </c>
      <c r="AF36" s="66">
        <f t="shared" si="14"/>
        <v>2820.4909277849674</v>
      </c>
      <c r="AH36" s="66">
        <f t="shared" si="15"/>
        <v>1910.230318246232</v>
      </c>
      <c r="AI36" s="67"/>
      <c r="AJ36" s="66">
        <f t="shared" si="21"/>
        <v>79872.73100274695</v>
      </c>
      <c r="AK36" s="67"/>
      <c r="AL36" s="66">
        <f t="shared" si="21"/>
        <v>11139.018205632427</v>
      </c>
      <c r="AM36" s="66"/>
      <c r="AN36" s="66">
        <f t="shared" si="21"/>
        <v>12368.358244174517</v>
      </c>
      <c r="AO36" s="67">
        <f t="shared" si="16"/>
        <v>0</v>
      </c>
      <c r="AP36" s="66">
        <f t="shared" si="0"/>
        <v>94585.35201628241</v>
      </c>
      <c r="AQ36" s="66">
        <f t="shared" si="17"/>
        <v>0</v>
      </c>
      <c r="AR36" s="66">
        <f t="shared" si="1"/>
        <v>667934.9086613568</v>
      </c>
      <c r="AS36" s="66">
        <f t="shared" si="18"/>
        <v>0</v>
      </c>
      <c r="AT36" s="66">
        <f t="shared" si="2"/>
        <v>424866.3574564761</v>
      </c>
      <c r="AU36" s="66">
        <f t="shared" si="19"/>
        <v>0</v>
      </c>
      <c r="AV36" s="66">
        <f t="shared" si="20"/>
        <v>395795.53937803843</v>
      </c>
    </row>
    <row r="37" spans="2:48" ht="12.75">
      <c r="B37" s="64" t="s">
        <v>94</v>
      </c>
      <c r="D37" s="64" t="s">
        <v>63</v>
      </c>
      <c r="F37" s="66">
        <f t="shared" si="3"/>
        <v>730.8294865791422</v>
      </c>
      <c r="L37" s="66">
        <f t="shared" si="4"/>
        <v>14586.340927143845</v>
      </c>
      <c r="N37" s="66">
        <f t="shared" si="5"/>
        <v>160.98469918199655</v>
      </c>
      <c r="P37" s="66">
        <f t="shared" si="6"/>
        <v>150.02152711197385</v>
      </c>
      <c r="Q37" s="66">
        <v>100</v>
      </c>
      <c r="R37" s="66">
        <f t="shared" si="7"/>
        <v>351.36448335318573</v>
      </c>
      <c r="T37" s="66">
        <f t="shared" si="8"/>
        <v>470.5906113962092</v>
      </c>
      <c r="U37" s="66">
        <v>100</v>
      </c>
      <c r="V37" s="66">
        <f t="shared" si="9"/>
        <v>255.12708690608054</v>
      </c>
      <c r="W37" s="66">
        <v>100</v>
      </c>
      <c r="X37" s="66">
        <f t="shared" si="10"/>
        <v>22.360568375099263</v>
      </c>
      <c r="Y37" s="66">
        <v>100</v>
      </c>
      <c r="Z37" s="66">
        <f t="shared" si="11"/>
        <v>16.92732826095548</v>
      </c>
      <c r="AA37" s="66">
        <v>100</v>
      </c>
      <c r="AB37" s="66">
        <f t="shared" si="12"/>
        <v>45.168960086674254</v>
      </c>
      <c r="AD37" s="66">
        <f t="shared" si="13"/>
        <v>936.0994057361452</v>
      </c>
      <c r="AF37" s="66">
        <f t="shared" si="14"/>
        <v>3540.043183577314</v>
      </c>
      <c r="AH37" s="66">
        <f t="shared" si="15"/>
        <v>2378.1983881780397</v>
      </c>
      <c r="AI37" s="67">
        <f>SUM((AD37*AC37/100),(X37*W37/100),(R37*Q37/100),(L37*K37/100),(F37*E37/100))/AJ37*100</f>
        <v>2.2477005293115573</v>
      </c>
      <c r="AJ37" s="66">
        <f t="shared" si="21"/>
        <v>16626.994871187417</v>
      </c>
      <c r="AK37" s="67">
        <f>SUM((AF37*AE37/100),(Z37*Y37/100),(T37*S37/100),(N37*M37/100),(H37*G37/100))/AL37*100</f>
        <v>0.40413377288038577</v>
      </c>
      <c r="AL37" s="66">
        <f t="shared" si="21"/>
        <v>4188.545822416475</v>
      </c>
      <c r="AM37" s="66">
        <f>SUM((AH37*AG37/100),(AB37*AA37/100),(V37*U37/100),(P37*O37/100),(J37*I37/100))/AN37*100</f>
        <v>10.616735100564867</v>
      </c>
      <c r="AN37" s="66">
        <f t="shared" si="21"/>
        <v>2828.515962282768</v>
      </c>
      <c r="AO37" s="67">
        <f t="shared" si="16"/>
        <v>0.9776149484536081</v>
      </c>
      <c r="AP37" s="66">
        <f t="shared" si="0"/>
        <v>38228.24643991415</v>
      </c>
      <c r="AQ37" s="66">
        <f t="shared" si="17"/>
        <v>0.0010308154197189866</v>
      </c>
      <c r="AR37" s="66">
        <f t="shared" si="1"/>
        <v>1642129.9038745547</v>
      </c>
      <c r="AS37" s="66">
        <f t="shared" si="18"/>
        <v>0.030184586068177005</v>
      </c>
      <c r="AT37" s="66">
        <f t="shared" si="2"/>
        <v>994865.5459925316</v>
      </c>
      <c r="AU37" s="66">
        <f t="shared" si="19"/>
        <v>0.02582768790272797</v>
      </c>
      <c r="AV37" s="66">
        <f t="shared" si="20"/>
        <v>891741.2321023336</v>
      </c>
    </row>
    <row r="38" spans="2:48" ht="12.75">
      <c r="B38" s="64" t="s">
        <v>100</v>
      </c>
      <c r="D38" s="64" t="s">
        <v>63</v>
      </c>
      <c r="F38" s="66">
        <f t="shared" si="3"/>
        <v>1.7578372387719365</v>
      </c>
      <c r="L38" s="66">
        <f t="shared" si="4"/>
        <v>314.0528505742194</v>
      </c>
      <c r="N38" s="66">
        <f t="shared" si="5"/>
        <v>282.19670797785267</v>
      </c>
      <c r="P38" s="66">
        <f t="shared" si="6"/>
        <v>662.5950780778846</v>
      </c>
      <c r="Q38" s="66">
        <v>100</v>
      </c>
      <c r="R38" s="66">
        <f t="shared" si="7"/>
        <v>7.9205892010124925</v>
      </c>
      <c r="T38" s="66">
        <f t="shared" si="8"/>
        <v>8.502716728636054</v>
      </c>
      <c r="U38" s="66">
        <v>100</v>
      </c>
      <c r="V38" s="66">
        <f t="shared" si="9"/>
        <v>7.506623903198138</v>
      </c>
      <c r="W38" s="66">
        <v>100</v>
      </c>
      <c r="X38" s="66">
        <f t="shared" si="10"/>
        <v>0.9391438717541692</v>
      </c>
      <c r="Y38" s="66">
        <v>100</v>
      </c>
      <c r="Z38" s="66">
        <f t="shared" si="11"/>
        <v>0.9788411559595995</v>
      </c>
      <c r="AA38" s="66">
        <v>100</v>
      </c>
      <c r="AB38" s="66">
        <f t="shared" si="12"/>
        <v>0.6987861448815637</v>
      </c>
      <c r="AD38" s="66">
        <f t="shared" si="13"/>
        <v>3.4448458131090143</v>
      </c>
      <c r="AE38" s="66">
        <v>100</v>
      </c>
      <c r="AF38" s="66">
        <f t="shared" si="14"/>
        <v>5.1176711240845965</v>
      </c>
      <c r="AG38" s="66">
        <v>100</v>
      </c>
      <c r="AH38" s="66">
        <f t="shared" si="15"/>
        <v>6.405792432673109</v>
      </c>
      <c r="AI38" s="67">
        <f>SUM((AD38*AC38/100),(X38*W38/100),(R38*Q38/100),(L38*K38/100),(F38*E38/100))/AJ38*100</f>
        <v>2.7001892237150376</v>
      </c>
      <c r="AJ38" s="66">
        <f t="shared" si="21"/>
        <v>328.115266698867</v>
      </c>
      <c r="AK38" s="67">
        <f>SUM((AF38*AE38/100),(Z38*Y38/100),(T38*S38/100),(N38*M38/100),(H38*G38/100))/AL38*100</f>
        <v>2.0541090764058625</v>
      </c>
      <c r="AL38" s="66">
        <f t="shared" si="21"/>
        <v>296.7959369865329</v>
      </c>
      <c r="AM38" s="66">
        <f>SUM((AH38*AG38/100),(AB38*AA38/100),(V38*U38/100),(P38*O38/100),(J38*I38/100))/AN38*100</f>
        <v>2.1575704331477574</v>
      </c>
      <c r="AN38" s="66">
        <f t="shared" si="21"/>
        <v>677.2062805586374</v>
      </c>
      <c r="AO38" s="67">
        <f t="shared" si="16"/>
        <v>0.11989656000000003</v>
      </c>
      <c r="AP38" s="66">
        <f t="shared" si="0"/>
        <v>7389.480626272063</v>
      </c>
      <c r="AQ38" s="66">
        <f t="shared" si="17"/>
        <v>0.018238654867256645</v>
      </c>
      <c r="AR38" s="66">
        <f t="shared" si="1"/>
        <v>33426.32625276055</v>
      </c>
      <c r="AS38" s="66">
        <f t="shared" si="18"/>
        <v>0.07188068393782383</v>
      </c>
      <c r="AT38" s="66">
        <f t="shared" si="2"/>
        <v>20327.02205976695</v>
      </c>
      <c r="AU38" s="66">
        <f t="shared" si="19"/>
        <v>0.04835799773536644</v>
      </c>
      <c r="AV38" s="66">
        <f t="shared" si="20"/>
        <v>20380.942979599855</v>
      </c>
    </row>
    <row r="39" spans="2:48" ht="12.75">
      <c r="B39" s="64" t="s">
        <v>103</v>
      </c>
      <c r="D39" s="64" t="s">
        <v>63</v>
      </c>
      <c r="F39" s="66">
        <f t="shared" si="3"/>
        <v>25.002061382970656</v>
      </c>
      <c r="L39" s="66">
        <f t="shared" si="4"/>
        <v>431.63661927262376</v>
      </c>
      <c r="N39" s="66">
        <f t="shared" si="5"/>
        <v>8.14393184097159</v>
      </c>
      <c r="P39" s="66">
        <f t="shared" si="6"/>
        <v>5.000717570399127</v>
      </c>
      <c r="Q39" s="66">
        <v>100</v>
      </c>
      <c r="R39" s="66">
        <f t="shared" si="7"/>
        <v>59.55330226325182</v>
      </c>
      <c r="S39" s="66">
        <v>100</v>
      </c>
      <c r="T39" s="66">
        <f t="shared" si="8"/>
        <v>52.40668172366876</v>
      </c>
      <c r="U39" s="66">
        <v>100</v>
      </c>
      <c r="V39" s="66">
        <f t="shared" si="9"/>
        <v>46.60975626168778</v>
      </c>
      <c r="W39" s="66">
        <v>100</v>
      </c>
      <c r="X39" s="66">
        <f t="shared" si="10"/>
        <v>8.854785076539311</v>
      </c>
      <c r="Y39" s="66">
        <v>100</v>
      </c>
      <c r="Z39" s="66">
        <f t="shared" si="11"/>
        <v>6.844528383777653</v>
      </c>
      <c r="AA39" s="66">
        <v>100</v>
      </c>
      <c r="AB39" s="66">
        <f t="shared" si="12"/>
        <v>4.055841232663095</v>
      </c>
      <c r="AC39" s="66">
        <v>100</v>
      </c>
      <c r="AD39" s="66">
        <f t="shared" si="13"/>
        <v>17.037009184397842</v>
      </c>
      <c r="AE39" s="66">
        <v>100</v>
      </c>
      <c r="AF39" s="66">
        <f t="shared" si="14"/>
        <v>33.861282625522136</v>
      </c>
      <c r="AG39" s="66">
        <v>100</v>
      </c>
      <c r="AH39" s="66">
        <f t="shared" si="15"/>
        <v>36.4401365930506</v>
      </c>
      <c r="AI39" s="67">
        <f>SUM((AD39*AC39/100),(X39*W39/100),(R39*Q39/100),(L39*K39/100),(F39*E39/100))/AJ39*100</f>
        <v>15.762341564383489</v>
      </c>
      <c r="AJ39" s="66">
        <f t="shared" si="21"/>
        <v>542.0837771797834</v>
      </c>
      <c r="AK39" s="67">
        <f>SUM((AF39*AE39/100),(Z39*Y39/100),(T39*S39/100),(N39*M39/100),(H39*G39/100))/AL39*100</f>
        <v>91.95712086888406</v>
      </c>
      <c r="AL39" s="66">
        <f t="shared" si="21"/>
        <v>101.25642457394014</v>
      </c>
      <c r="AM39" s="66">
        <f>SUM((AH39*AG39/100),(AB39*AA39/100),(V39*U39/100),(P39*O39/100),(J39*I39/100))/AN39*100</f>
        <v>94.57071955287336</v>
      </c>
      <c r="AN39" s="66">
        <f t="shared" si="21"/>
        <v>92.1064516578006</v>
      </c>
      <c r="AO39" s="67"/>
      <c r="AP39" s="66">
        <f t="shared" si="0"/>
        <v>0</v>
      </c>
      <c r="AQ39" s="66">
        <f t="shared" si="17"/>
        <v>0.7740324590163934</v>
      </c>
      <c r="AR39" s="66">
        <f t="shared" si="1"/>
        <v>12029.533341701437</v>
      </c>
      <c r="AS39" s="66">
        <f t="shared" si="18"/>
        <v>0.45193836065573756</v>
      </c>
      <c r="AT39" s="66">
        <f t="shared" si="2"/>
        <v>19273.808481540687</v>
      </c>
      <c r="AU39" s="66">
        <f t="shared" si="19"/>
        <v>0.5757156147672434</v>
      </c>
      <c r="AV39" s="66">
        <f t="shared" si="20"/>
        <v>10434.447274414042</v>
      </c>
    </row>
    <row r="40" spans="2:48" ht="12.75">
      <c r="B40" s="64" t="s">
        <v>104</v>
      </c>
      <c r="D40" s="64" t="s">
        <v>63</v>
      </c>
      <c r="E40" s="66">
        <v>100</v>
      </c>
      <c r="F40" s="66">
        <f t="shared" si="3"/>
        <v>21.155590400975164</v>
      </c>
      <c r="L40" s="66">
        <f t="shared" si="4"/>
        <v>1488.4021354228407</v>
      </c>
      <c r="M40" s="66">
        <v>100</v>
      </c>
      <c r="N40" s="66">
        <f t="shared" si="5"/>
        <v>18.93937637435257</v>
      </c>
      <c r="P40" s="66">
        <f t="shared" si="6"/>
        <v>22.91995553099601</v>
      </c>
      <c r="Q40" s="66">
        <v>100</v>
      </c>
      <c r="R40" s="66">
        <f t="shared" si="7"/>
        <v>291.8111810899339</v>
      </c>
      <c r="S40" s="66">
        <v>100</v>
      </c>
      <c r="T40" s="66">
        <f t="shared" si="8"/>
        <v>262.0334086183438</v>
      </c>
      <c r="U40" s="66">
        <v>100</v>
      </c>
      <c r="V40" s="66">
        <f t="shared" si="9"/>
        <v>235.50192637484355</v>
      </c>
      <c r="W40" s="66">
        <v>100</v>
      </c>
      <c r="X40" s="66">
        <f t="shared" si="10"/>
        <v>43.82671401519456</v>
      </c>
      <c r="Y40" s="66">
        <v>100</v>
      </c>
      <c r="Z40" s="66">
        <f t="shared" si="11"/>
        <v>33.85465652191096</v>
      </c>
      <c r="AA40" s="66">
        <v>100</v>
      </c>
      <c r="AB40" s="66">
        <f t="shared" si="12"/>
        <v>20.315226067690812</v>
      </c>
      <c r="AC40" s="66">
        <v>100</v>
      </c>
      <c r="AD40" s="66">
        <f t="shared" si="13"/>
        <v>86.12114532772536</v>
      </c>
      <c r="AE40" s="66">
        <v>100</v>
      </c>
      <c r="AF40" s="66">
        <f t="shared" si="14"/>
        <v>169.30641312761065</v>
      </c>
      <c r="AG40" s="66">
        <v>100</v>
      </c>
      <c r="AH40" s="66">
        <f t="shared" si="15"/>
        <v>180.28278103930302</v>
      </c>
      <c r="AI40" s="67">
        <f>SUM((AD40*AC40/100),(X40*W40/100),(R40*Q40/100),(L40*K40/100),(F40*E40/100))/AJ40*100</f>
        <v>22.933298077885897</v>
      </c>
      <c r="AJ40" s="66">
        <f t="shared" si="21"/>
        <v>1931.3167662566698</v>
      </c>
      <c r="AK40" s="66">
        <f>SUM((AF40*AE40/100),(Z40*Y40/100),(T40*S40/100),(N40*M40/100),(H40*G40/100))/AL40*100</f>
        <v>100</v>
      </c>
      <c r="AL40" s="66">
        <f t="shared" si="21"/>
        <v>484.13385464221795</v>
      </c>
      <c r="AM40" s="66">
        <f>SUM((AH40*AG40/100),(AB40*AA40/100),(V40*U40/100),(P40*O40/100),(J40*I40/100))/AN40*100</f>
        <v>95.00676199885638</v>
      </c>
      <c r="AN40" s="66">
        <f t="shared" si="21"/>
        <v>459.0198890128334</v>
      </c>
      <c r="AO40" s="67">
        <f>AI40*AJ40/AP40</f>
        <v>29.969266666666666</v>
      </c>
      <c r="AP40" s="66">
        <f t="shared" si="0"/>
        <v>1477.8961252544127</v>
      </c>
      <c r="AQ40" s="66">
        <f t="shared" si="17"/>
        <v>4.024543936080423</v>
      </c>
      <c r="AR40" s="66">
        <f t="shared" si="1"/>
        <v>12029.533341701437</v>
      </c>
      <c r="AS40" s="66">
        <f t="shared" si="18"/>
        <v>5.448236842105262</v>
      </c>
      <c r="AT40" s="66">
        <f t="shared" si="2"/>
        <v>8004.423194519628</v>
      </c>
      <c r="AU40" s="66">
        <f t="shared" si="19"/>
        <v>6.336731849224125</v>
      </c>
      <c r="AV40" s="66">
        <f t="shared" si="20"/>
        <v>7170.617553825159</v>
      </c>
    </row>
    <row r="41" spans="24:48" ht="12.75">
      <c r="X41" s="66"/>
      <c r="Z41" s="66"/>
      <c r="AB41" s="66"/>
      <c r="AD41" s="66"/>
      <c r="AF41" s="66"/>
      <c r="AH41" s="66"/>
      <c r="AI41" s="67"/>
      <c r="AJ41" s="66"/>
      <c r="AK41" s="67"/>
      <c r="AL41" s="66"/>
      <c r="AM41" s="66"/>
      <c r="AN41" s="66"/>
      <c r="AO41" s="67"/>
      <c r="AP41" s="66"/>
      <c r="AQ41" s="66"/>
      <c r="AR41" s="66"/>
      <c r="AS41" s="66"/>
      <c r="AT41" s="66"/>
      <c r="AU41" s="66"/>
      <c r="AV41" s="66"/>
    </row>
    <row r="42" spans="2:48" ht="12.75">
      <c r="B42" s="64" t="s">
        <v>64</v>
      </c>
      <c r="D42" s="64" t="s">
        <v>63</v>
      </c>
      <c r="F42" s="66">
        <f>F37+F35</f>
        <v>732.3084546717195</v>
      </c>
      <c r="H42" s="66"/>
      <c r="J42" s="66"/>
      <c r="L42" s="66">
        <f>L37+L35</f>
        <v>19036.66331205814</v>
      </c>
      <c r="N42" s="66">
        <f>N37+N35</f>
        <v>829.544685196641</v>
      </c>
      <c r="P42" s="66">
        <f>P37+P35</f>
        <v>1002.2271464008254</v>
      </c>
      <c r="Q42" s="66">
        <f>R38/R42*100</f>
        <v>2.1994377377211842</v>
      </c>
      <c r="R42" s="66">
        <f>R37+R35</f>
        <v>360.1188187858838</v>
      </c>
      <c r="T42" s="66">
        <f>T37+T35</f>
        <v>486.31261591330986</v>
      </c>
      <c r="U42" s="66">
        <f>V38/V42*100</f>
        <v>2.8635597978663667</v>
      </c>
      <c r="V42" s="66">
        <f>V37+V35</f>
        <v>262.1430817959978</v>
      </c>
      <c r="W42" s="66">
        <f>X38/X42*100</f>
        <v>3.9652567975830824</v>
      </c>
      <c r="X42" s="66">
        <f>X37+X35</f>
        <v>23.684314022905138</v>
      </c>
      <c r="Y42" s="66">
        <f>Z38/Z42*100</f>
        <v>5.453054530545306</v>
      </c>
      <c r="Z42" s="66">
        <f>Z37+Z35</f>
        <v>17.950327664552354</v>
      </c>
      <c r="AA42" s="66">
        <f>AB38/AB42*100</f>
        <v>1.5234804460499454</v>
      </c>
      <c r="AB42" s="66">
        <f>AB37+AB35</f>
        <v>45.86774623155582</v>
      </c>
      <c r="AD42" s="66">
        <f>AD37+AD35</f>
        <v>956.5063727811931</v>
      </c>
      <c r="AF42" s="66">
        <f>AF37+AF35</f>
        <v>3627.774688561621</v>
      </c>
      <c r="AH42" s="66">
        <f>AH37+AH35</f>
        <v>2436.502606726921</v>
      </c>
      <c r="AI42" s="66">
        <f>SUM((AD42*AC42/100),(X42*W42/100),(R42*Q42/100),(L42*K42/100),(F42*E42/100))/AJ42*100</f>
        <v>0.041970794545166466</v>
      </c>
      <c r="AJ42" s="66">
        <f>SUM(X42,AD42,R42,L42,F42)</f>
        <v>21109.28127231984</v>
      </c>
      <c r="AK42" s="66">
        <f>SUM((AF42*AE42/100),(Z42*Y42/100),(T42*S42/100),(N42*M42/100),(H42*G42/100))/AL42*100</f>
        <v>0.019728407055536665</v>
      </c>
      <c r="AL42" s="66">
        <f>SUM(Z42,AF42,T42,N42,H42)</f>
        <v>4961.582317336124</v>
      </c>
      <c r="AM42" s="66">
        <f>SUM((AH42*AG42/100),(AB42*AA42/100),(V42*U42/100),(P42*O42/100),(J42*I42/100))/AN42*100</f>
        <v>0.21900128579357309</v>
      </c>
      <c r="AN42" s="66">
        <f>SUM(AB42,AH42,V42,P42,J42)</f>
        <v>3746.7405811553</v>
      </c>
      <c r="AO42" s="66">
        <f>(AO35*AP35+AO37*AP37)/AP42</f>
        <v>0.818368512605042</v>
      </c>
      <c r="AP42" s="66">
        <f>AP35+AP37</f>
        <v>46898.57037474004</v>
      </c>
      <c r="AQ42" s="66">
        <f>(AQ35*AR35+AQ37*AR37)/AR42</f>
        <v>0.0010871071300609103</v>
      </c>
      <c r="AR42" s="66">
        <f>AR35+AR37</f>
        <v>1651201.3552469853</v>
      </c>
      <c r="AS42" s="66">
        <f>(AS35*AT35+AS37*AT37)/AT42</f>
        <v>0.030784062315789472</v>
      </c>
      <c r="AT42" s="66">
        <f>AT35+AT37</f>
        <v>1000552.8993149535</v>
      </c>
      <c r="AU42" s="66">
        <f>(AU35*AV35+AU37*AV37)/AV42</f>
        <v>0.02630068906761094</v>
      </c>
      <c r="AV42" s="66">
        <f>AVERAGE(AT42,AR42,AP42)</f>
        <v>899550.9416455595</v>
      </c>
    </row>
    <row r="43" spans="2:48" ht="12.75">
      <c r="B43" s="64" t="s">
        <v>65</v>
      </c>
      <c r="D43" s="64" t="s">
        <v>63</v>
      </c>
      <c r="F43" s="66">
        <f>SUM(F36,F34,F32)</f>
        <v>435.9974858091883</v>
      </c>
      <c r="H43" s="66"/>
      <c r="J43" s="66"/>
      <c r="L43" s="66">
        <f>SUM(L36,L34,L32)</f>
        <v>132021.26941200596</v>
      </c>
      <c r="N43" s="66">
        <f>SUM(N36,N34,N32)</f>
        <v>11073.360942298199</v>
      </c>
      <c r="P43" s="66">
        <f>SUM(P36,P34,P32)</f>
        <v>13761.162137133233</v>
      </c>
      <c r="Q43" s="66">
        <f>R32/R43*100</f>
        <v>62.94256490952006</v>
      </c>
      <c r="R43" s="66">
        <f>SUM(R36,R34,R32)</f>
        <v>227.07674152977916</v>
      </c>
      <c r="S43" s="66">
        <f>T32/T43*100</f>
        <v>54.30060816681147</v>
      </c>
      <c r="T43" s="66">
        <f>SUM(T36,T34,T32)</f>
        <v>246.20445168956223</v>
      </c>
      <c r="U43" s="66">
        <f>V32/V43*100</f>
        <v>78.22685788787483</v>
      </c>
      <c r="V43" s="66">
        <f>SUM(V36,V34,V32)</f>
        <v>150.5249812745875</v>
      </c>
      <c r="W43" s="66">
        <f>X32/X43*100</f>
        <v>78.32080200501254</v>
      </c>
      <c r="X43" s="66">
        <f>SUM(X36,X34,X32)</f>
        <v>28.54997370132674</v>
      </c>
      <c r="Y43" s="66">
        <f>Z32/Z43*100</f>
        <v>86.11007113440658</v>
      </c>
      <c r="Z43" s="66">
        <f>SUM(Z36,Z34,Z32)</f>
        <v>19.657779906526997</v>
      </c>
      <c r="AA43" s="66">
        <f>AB32/AB43*100</f>
        <v>26.29159772016915</v>
      </c>
      <c r="AB43" s="66">
        <f>SUM(AB36,AB34,AB32)</f>
        <v>39.18245197949303</v>
      </c>
      <c r="AC43" s="66">
        <f>AD32/AD43*100</f>
        <v>3.5658914728682176</v>
      </c>
      <c r="AD43" s="66">
        <f>SUM(AD36,AD34,AD32)</f>
        <v>1207.5682333996272</v>
      </c>
      <c r="AE43" s="66">
        <f>AF32/AF43*100</f>
        <v>2.167487684729065</v>
      </c>
      <c r="AF43" s="66">
        <f>SUM(AF36,AF34,AF32)</f>
        <v>3905.591121011926</v>
      </c>
      <c r="AG43" s="66">
        <f>AH32/AH43*100</f>
        <v>3.473227206946455</v>
      </c>
      <c r="AH43" s="66">
        <f>SUM(AH36,AH34,AH32)</f>
        <v>2650.540461662944</v>
      </c>
      <c r="AI43" s="66">
        <f>SUM((AD43*AC43/100),(X43*W43/100),(R43*Q43/100),(L43*K43/100),(F43*E43/100))/AJ43*100</f>
        <v>0.15557672337604445</v>
      </c>
      <c r="AJ43" s="66">
        <f>SUM(X43,AD43,R43,L43,F43)</f>
        <v>133920.4618464459</v>
      </c>
      <c r="AK43" s="66">
        <f>SUM((AF43*AE43/100),(Z43*Y43/100),(T43*S43/100),(N43*M43/100),(H43*G43/100))/AL43*100</f>
        <v>1.5432857683584134</v>
      </c>
      <c r="AL43" s="66">
        <f>SUM(Z43,AF43,T43,N43,H43)</f>
        <v>15244.814294906215</v>
      </c>
      <c r="AM43" s="66">
        <f>SUM((AH43*AG43/100),(AB43*AA43/100),(V43*U43/100),(P43*O43/100),(J43*I43/100))/AN43*100</f>
        <v>1.3258629710333496</v>
      </c>
      <c r="AN43" s="66">
        <f>SUM(AB43,AH43,V43,P43,J43)</f>
        <v>16601.41003205026</v>
      </c>
      <c r="AO43" s="66">
        <f>(AO32*AP32+AO34*AP34+AO36*AP36)/AP43</f>
        <v>0.1901665467625899</v>
      </c>
      <c r="AP43" s="66">
        <f>AP32+AP34+AP36</f>
        <v>109561.36608552713</v>
      </c>
      <c r="AQ43" s="66">
        <f>(AQ32*AR32+AQ34*AR34+AQ36*AR36)/AR43</f>
        <v>0.03252521810250818</v>
      </c>
      <c r="AR43" s="66">
        <f>AR32+AR34+AR36</f>
        <v>723349.6442190306</v>
      </c>
      <c r="AS43" s="66">
        <f>(AS32*AT32+AS34*AT34+AS36*AT36)/AT43</f>
        <v>0.04776932571428571</v>
      </c>
      <c r="AT43" s="66">
        <f>AT32+AT34+AT36</f>
        <v>460780.9404739918</v>
      </c>
      <c r="AU43" s="66">
        <f>(AU32*AV32+AU34*AV34+AU36*AV36)/AV43</f>
        <v>0.05130526349658866</v>
      </c>
      <c r="AV43" s="66">
        <f t="shared" si="20"/>
        <v>431230.6502595166</v>
      </c>
    </row>
    <row r="45" spans="2:48" ht="12.75">
      <c r="B45" s="65" t="s">
        <v>205</v>
      </c>
      <c r="F45" s="74" t="s">
        <v>218</v>
      </c>
      <c r="G45" s="75"/>
      <c r="H45" s="74" t="s">
        <v>219</v>
      </c>
      <c r="I45" s="75"/>
      <c r="J45" s="74" t="s">
        <v>220</v>
      </c>
      <c r="K45" s="75"/>
      <c r="L45" s="74" t="s">
        <v>218</v>
      </c>
      <c r="M45" s="75"/>
      <c r="N45" s="74" t="s">
        <v>219</v>
      </c>
      <c r="O45" s="75"/>
      <c r="P45" s="74" t="s">
        <v>220</v>
      </c>
      <c r="Q45" s="75"/>
      <c r="R45" s="74" t="s">
        <v>218</v>
      </c>
      <c r="S45" s="75"/>
      <c r="T45" s="74" t="s">
        <v>219</v>
      </c>
      <c r="U45" s="75"/>
      <c r="V45" s="74" t="s">
        <v>220</v>
      </c>
      <c r="W45" s="75"/>
      <c r="X45" s="74" t="s">
        <v>218</v>
      </c>
      <c r="Y45" s="75"/>
      <c r="Z45" s="74" t="s">
        <v>219</v>
      </c>
      <c r="AA45" s="75"/>
      <c r="AB45" s="74" t="s">
        <v>220</v>
      </c>
      <c r="AC45" s="75"/>
      <c r="AD45" s="74" t="s">
        <v>218</v>
      </c>
      <c r="AE45" s="75"/>
      <c r="AF45" s="74" t="s">
        <v>219</v>
      </c>
      <c r="AG45" s="75"/>
      <c r="AH45" s="74" t="s">
        <v>220</v>
      </c>
      <c r="AI45" s="74"/>
      <c r="AJ45" s="74" t="s">
        <v>218</v>
      </c>
      <c r="AK45" s="75"/>
      <c r="AL45" s="74" t="s">
        <v>219</v>
      </c>
      <c r="AM45" s="75"/>
      <c r="AN45" s="74" t="s">
        <v>220</v>
      </c>
      <c r="AO45" s="74"/>
      <c r="AP45" s="74" t="s">
        <v>218</v>
      </c>
      <c r="AQ45" s="74"/>
      <c r="AR45" s="74" t="s">
        <v>219</v>
      </c>
      <c r="AS45" s="74"/>
      <c r="AT45" s="74" t="s">
        <v>220</v>
      </c>
      <c r="AU45" s="74"/>
      <c r="AV45" s="74" t="s">
        <v>221</v>
      </c>
    </row>
    <row r="46" spans="2:48" ht="12.75">
      <c r="B46" s="65"/>
      <c r="F46" s="74"/>
      <c r="G46" s="75"/>
      <c r="H46" s="74"/>
      <c r="I46" s="75"/>
      <c r="J46" s="74"/>
      <c r="K46" s="75"/>
      <c r="L46" s="74"/>
      <c r="M46" s="75"/>
      <c r="N46" s="74"/>
      <c r="O46" s="75"/>
      <c r="P46" s="74"/>
      <c r="Q46" s="75"/>
      <c r="R46" s="74"/>
      <c r="S46" s="75"/>
      <c r="T46" s="74"/>
      <c r="U46" s="75"/>
      <c r="V46" s="74"/>
      <c r="W46" s="75"/>
      <c r="X46" s="74"/>
      <c r="Y46" s="75"/>
      <c r="Z46" s="74"/>
      <c r="AA46" s="75"/>
      <c r="AB46" s="74"/>
      <c r="AC46" s="75"/>
      <c r="AD46" s="74"/>
      <c r="AE46" s="75"/>
      <c r="AF46" s="74"/>
      <c r="AG46" s="75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</row>
    <row r="47" spans="2:48" ht="12.75">
      <c r="B47" s="12" t="s">
        <v>328</v>
      </c>
      <c r="F47" s="74" t="s">
        <v>331</v>
      </c>
      <c r="G47" s="75"/>
      <c r="H47" s="74" t="s">
        <v>331</v>
      </c>
      <c r="I47" s="75"/>
      <c r="J47" s="74" t="s">
        <v>331</v>
      </c>
      <c r="K47" s="75"/>
      <c r="L47" s="74" t="s">
        <v>333</v>
      </c>
      <c r="M47" s="75"/>
      <c r="N47" s="74" t="s">
        <v>333</v>
      </c>
      <c r="O47" s="75"/>
      <c r="P47" s="74" t="s">
        <v>333</v>
      </c>
      <c r="Q47" s="75"/>
      <c r="R47" s="74" t="s">
        <v>335</v>
      </c>
      <c r="S47" s="75"/>
      <c r="T47" s="74" t="s">
        <v>335</v>
      </c>
      <c r="U47" s="75"/>
      <c r="V47" s="74" t="s">
        <v>335</v>
      </c>
      <c r="W47" s="75"/>
      <c r="X47" s="74" t="s">
        <v>336</v>
      </c>
      <c r="Y47" s="75"/>
      <c r="Z47" s="74" t="s">
        <v>336</v>
      </c>
      <c r="AA47" s="75"/>
      <c r="AB47" s="74" t="s">
        <v>336</v>
      </c>
      <c r="AC47" s="75"/>
      <c r="AD47" s="74" t="s">
        <v>338</v>
      </c>
      <c r="AE47" s="75"/>
      <c r="AF47" s="74" t="s">
        <v>338</v>
      </c>
      <c r="AG47" s="75"/>
      <c r="AH47" s="74" t="s">
        <v>338</v>
      </c>
      <c r="AI47" s="74"/>
      <c r="AJ47" s="74"/>
      <c r="AK47" s="74"/>
      <c r="AL47" s="74"/>
      <c r="AM47" s="74"/>
      <c r="AN47" s="74"/>
      <c r="AO47" s="74"/>
      <c r="AP47" s="74" t="s">
        <v>339</v>
      </c>
      <c r="AQ47" s="74"/>
      <c r="AR47" s="74" t="s">
        <v>339</v>
      </c>
      <c r="AS47" s="74"/>
      <c r="AT47" s="74" t="s">
        <v>339</v>
      </c>
      <c r="AU47" s="74"/>
      <c r="AV47" s="74" t="s">
        <v>339</v>
      </c>
    </row>
    <row r="48" spans="2:48" ht="12.75">
      <c r="B48" s="12" t="s">
        <v>329</v>
      </c>
      <c r="F48" s="64" t="s">
        <v>330</v>
      </c>
      <c r="H48" s="64" t="s">
        <v>330</v>
      </c>
      <c r="J48" s="64" t="s">
        <v>330</v>
      </c>
      <c r="L48" s="64" t="s">
        <v>334</v>
      </c>
      <c r="N48" s="64" t="s">
        <v>334</v>
      </c>
      <c r="P48" s="64" t="s">
        <v>334</v>
      </c>
      <c r="R48" s="64" t="s">
        <v>334</v>
      </c>
      <c r="T48" s="64" t="s">
        <v>334</v>
      </c>
      <c r="V48" s="64" t="s">
        <v>334</v>
      </c>
      <c r="X48" s="64" t="s">
        <v>334</v>
      </c>
      <c r="Z48" s="64" t="s">
        <v>334</v>
      </c>
      <c r="AB48" s="64" t="s">
        <v>334</v>
      </c>
      <c r="AD48" s="64" t="s">
        <v>337</v>
      </c>
      <c r="AF48" s="64" t="s">
        <v>337</v>
      </c>
      <c r="AH48" s="64" t="s">
        <v>337</v>
      </c>
      <c r="AP48" s="64" t="s">
        <v>24</v>
      </c>
      <c r="AR48" s="64" t="s">
        <v>24</v>
      </c>
      <c r="AT48" s="64" t="s">
        <v>24</v>
      </c>
      <c r="AV48" s="64" t="s">
        <v>24</v>
      </c>
    </row>
    <row r="49" spans="2:48" ht="12.75">
      <c r="B49" s="12" t="s">
        <v>345</v>
      </c>
      <c r="AJ49" s="64" t="s">
        <v>73</v>
      </c>
      <c r="AL49" s="64" t="s">
        <v>73</v>
      </c>
      <c r="AN49" s="64" t="s">
        <v>73</v>
      </c>
      <c r="AP49" s="64" t="s">
        <v>24</v>
      </c>
      <c r="AR49" s="64" t="s">
        <v>24</v>
      </c>
      <c r="AT49" s="64" t="s">
        <v>24</v>
      </c>
      <c r="AV49" s="64" t="s">
        <v>24</v>
      </c>
    </row>
    <row r="50" spans="2:49" ht="12.75">
      <c r="B50" s="12" t="s">
        <v>46</v>
      </c>
      <c r="F50" s="64" t="s">
        <v>229</v>
      </c>
      <c r="H50" s="64" t="s">
        <v>229</v>
      </c>
      <c r="J50" s="64" t="s">
        <v>229</v>
      </c>
      <c r="L50" s="64" t="s">
        <v>230</v>
      </c>
      <c r="N50" s="64" t="s">
        <v>230</v>
      </c>
      <c r="P50" s="64" t="s">
        <v>230</v>
      </c>
      <c r="R50" s="64" t="s">
        <v>231</v>
      </c>
      <c r="T50" s="64" t="s">
        <v>231</v>
      </c>
      <c r="V50" s="64" t="s">
        <v>231</v>
      </c>
      <c r="X50" s="64" t="s">
        <v>232</v>
      </c>
      <c r="Z50" s="64" t="s">
        <v>232</v>
      </c>
      <c r="AB50" s="64" t="s">
        <v>232</v>
      </c>
      <c r="AD50" s="64" t="s">
        <v>233</v>
      </c>
      <c r="AF50" s="64" t="s">
        <v>233</v>
      </c>
      <c r="AH50" s="64" t="s">
        <v>233</v>
      </c>
      <c r="AP50" s="64" t="s">
        <v>24</v>
      </c>
      <c r="AR50" s="64" t="s">
        <v>24</v>
      </c>
      <c r="AT50" s="64" t="s">
        <v>24</v>
      </c>
      <c r="AV50" s="64" t="s">
        <v>24</v>
      </c>
      <c r="AW50" s="64" t="s">
        <v>357</v>
      </c>
    </row>
    <row r="51" spans="1:34" ht="12.75">
      <c r="A51" s="64" t="s">
        <v>205</v>
      </c>
      <c r="B51" s="12" t="s">
        <v>119</v>
      </c>
      <c r="D51" s="64" t="s">
        <v>54</v>
      </c>
      <c r="F51" s="66">
        <v>591.6</v>
      </c>
      <c r="H51" s="66">
        <v>513.8</v>
      </c>
      <c r="J51" s="66">
        <v>608</v>
      </c>
      <c r="L51" s="66">
        <v>1141.8</v>
      </c>
      <c r="N51" s="66">
        <v>1296</v>
      </c>
      <c r="P51" s="66">
        <v>1297.2</v>
      </c>
      <c r="R51" s="66">
        <v>5148</v>
      </c>
      <c r="T51" s="66">
        <v>5988</v>
      </c>
      <c r="V51" s="66">
        <v>5889</v>
      </c>
      <c r="X51" s="66">
        <v>816</v>
      </c>
      <c r="Z51" s="66">
        <v>569.4</v>
      </c>
      <c r="AB51" s="66">
        <v>584.4</v>
      </c>
      <c r="AD51" s="66">
        <v>1147.2</v>
      </c>
      <c r="AF51" s="66">
        <v>867.6</v>
      </c>
      <c r="AH51" s="66">
        <v>1009.2</v>
      </c>
    </row>
    <row r="52" spans="1:34" ht="12.75">
      <c r="A52" s="64" t="s">
        <v>205</v>
      </c>
      <c r="B52" s="12" t="s">
        <v>47</v>
      </c>
      <c r="D52" s="64" t="s">
        <v>48</v>
      </c>
      <c r="F52" s="66">
        <v>3326</v>
      </c>
      <c r="H52" s="66">
        <v>683</v>
      </c>
      <c r="J52" s="66">
        <v>4126</v>
      </c>
      <c r="L52" s="66">
        <v>200</v>
      </c>
      <c r="N52" s="66">
        <v>200</v>
      </c>
      <c r="P52" s="66">
        <v>200</v>
      </c>
      <c r="R52" s="66">
        <v>12060</v>
      </c>
      <c r="T52" s="66">
        <v>11450</v>
      </c>
      <c r="V52" s="66">
        <v>11525</v>
      </c>
      <c r="X52" s="66">
        <v>200</v>
      </c>
      <c r="Z52" s="66">
        <v>200</v>
      </c>
      <c r="AB52" s="66">
        <v>200</v>
      </c>
      <c r="AD52" s="66">
        <v>200</v>
      </c>
      <c r="AF52" s="66">
        <v>200</v>
      </c>
      <c r="AH52" s="66">
        <v>200</v>
      </c>
    </row>
    <row r="53" spans="1:34" ht="12.75">
      <c r="A53" s="64" t="s">
        <v>205</v>
      </c>
      <c r="B53" s="64" t="s">
        <v>49</v>
      </c>
      <c r="D53" s="64" t="s">
        <v>240</v>
      </c>
      <c r="F53" s="64">
        <v>58.84</v>
      </c>
      <c r="H53" s="64">
        <v>66.54</v>
      </c>
      <c r="J53" s="64">
        <v>57.65</v>
      </c>
      <c r="L53" s="64">
        <v>2.56</v>
      </c>
      <c r="N53" s="64">
        <v>1.27</v>
      </c>
      <c r="P53" s="64">
        <v>2.83</v>
      </c>
      <c r="R53" s="64">
        <v>0.12</v>
      </c>
      <c r="T53" s="64">
        <v>0.21</v>
      </c>
      <c r="V53" s="64">
        <v>0.09</v>
      </c>
      <c r="X53" s="64">
        <v>0.01</v>
      </c>
      <c r="Z53" s="64">
        <v>0.01</v>
      </c>
      <c r="AB53" s="64">
        <v>0.01</v>
      </c>
      <c r="AD53" s="64">
        <v>0.27</v>
      </c>
      <c r="AF53" s="64">
        <v>0.31</v>
      </c>
      <c r="AH53" s="64">
        <v>0.24</v>
      </c>
    </row>
    <row r="54" spans="1:49" ht="12.75">
      <c r="A54" s="64" t="s">
        <v>205</v>
      </c>
      <c r="B54" s="64" t="s">
        <v>50</v>
      </c>
      <c r="D54" s="64" t="s">
        <v>54</v>
      </c>
      <c r="AP54" s="64">
        <v>1616.2</v>
      </c>
      <c r="AR54" s="64">
        <v>2312</v>
      </c>
      <c r="AT54" s="64">
        <v>4383</v>
      </c>
      <c r="AW54" s="64" t="s">
        <v>54</v>
      </c>
    </row>
    <row r="55" spans="1:49" ht="12.75">
      <c r="A55" s="64" t="s">
        <v>205</v>
      </c>
      <c r="B55" s="64" t="s">
        <v>95</v>
      </c>
      <c r="D55" s="64" t="s">
        <v>239</v>
      </c>
      <c r="F55" s="64">
        <v>11</v>
      </c>
      <c r="G55" s="66" t="s">
        <v>161</v>
      </c>
      <c r="H55" s="64">
        <v>3.5</v>
      </c>
      <c r="I55" s="66" t="s">
        <v>161</v>
      </c>
      <c r="J55" s="64">
        <v>4.1</v>
      </c>
      <c r="L55" s="64">
        <v>8.3372025231551</v>
      </c>
      <c r="N55" s="64">
        <v>4.939063806382377</v>
      </c>
      <c r="P55" s="64">
        <v>3.141120327681673</v>
      </c>
      <c r="Q55" s="66" t="s">
        <v>161</v>
      </c>
      <c r="R55" s="64">
        <v>2.9</v>
      </c>
      <c r="S55" s="66" t="s">
        <v>161</v>
      </c>
      <c r="T55" s="64">
        <v>2.9</v>
      </c>
      <c r="U55" s="66" t="s">
        <v>161</v>
      </c>
      <c r="V55" s="64">
        <v>3</v>
      </c>
      <c r="W55" s="66" t="s">
        <v>161</v>
      </c>
      <c r="X55" s="64">
        <v>0.6051350550501444</v>
      </c>
      <c r="Y55" s="66" t="s">
        <v>161</v>
      </c>
      <c r="Z55" s="64">
        <v>0.6041590307678055</v>
      </c>
      <c r="AB55" s="64">
        <v>0.07059908975585019</v>
      </c>
      <c r="AC55" s="66" t="s">
        <v>161</v>
      </c>
      <c r="AD55" s="64">
        <v>2.9</v>
      </c>
      <c r="AE55" s="66" t="s">
        <v>161</v>
      </c>
      <c r="AF55" s="64">
        <v>3</v>
      </c>
      <c r="AG55" s="66" t="s">
        <v>161</v>
      </c>
      <c r="AH55" s="64">
        <v>2.9</v>
      </c>
      <c r="AP55" s="64">
        <v>0.61</v>
      </c>
      <c r="AR55" s="64">
        <v>0.38</v>
      </c>
      <c r="AT55" s="64">
        <v>0.99</v>
      </c>
      <c r="AW55" s="64" t="s">
        <v>54</v>
      </c>
    </row>
    <row r="56" spans="1:49" ht="12.75">
      <c r="A56" s="64" t="s">
        <v>205</v>
      </c>
      <c r="B56" s="64" t="s">
        <v>96</v>
      </c>
      <c r="D56" s="64" t="s">
        <v>239</v>
      </c>
      <c r="E56" s="66" t="s">
        <v>161</v>
      </c>
      <c r="F56" s="64">
        <v>33</v>
      </c>
      <c r="H56" s="64">
        <v>370</v>
      </c>
      <c r="I56" s="66" t="s">
        <v>161</v>
      </c>
      <c r="J56" s="64">
        <v>34</v>
      </c>
      <c r="L56" s="64">
        <v>29.775723296982466</v>
      </c>
      <c r="N56" s="64">
        <v>19.756255225529507</v>
      </c>
      <c r="P56" s="64">
        <v>14.72400153600784</v>
      </c>
      <c r="Q56" s="66" t="s">
        <v>161</v>
      </c>
      <c r="R56" s="64">
        <v>2.5</v>
      </c>
      <c r="S56" s="66" t="s">
        <v>161</v>
      </c>
      <c r="T56" s="64">
        <v>2.4</v>
      </c>
      <c r="U56" s="66" t="s">
        <v>161</v>
      </c>
      <c r="V56" s="64">
        <v>2.5</v>
      </c>
      <c r="W56" s="66" t="s">
        <v>161</v>
      </c>
      <c r="X56" s="64">
        <v>0.5042792125417871</v>
      </c>
      <c r="Y56" s="66" t="s">
        <v>161</v>
      </c>
      <c r="Z56" s="64">
        <v>0.5034658589731713</v>
      </c>
      <c r="AB56" s="64">
        <v>0.13111259526086463</v>
      </c>
      <c r="AC56" s="66" t="s">
        <v>161</v>
      </c>
      <c r="AD56" s="64">
        <v>2.5</v>
      </c>
      <c r="AE56" s="66" t="s">
        <v>161</v>
      </c>
      <c r="AF56" s="64">
        <v>2.5</v>
      </c>
      <c r="AH56" s="64">
        <v>2.9</v>
      </c>
      <c r="AP56" s="64">
        <v>5.73</v>
      </c>
      <c r="AR56" s="64">
        <v>2.95</v>
      </c>
      <c r="AT56" s="64">
        <v>12.98</v>
      </c>
      <c r="AW56" s="64" t="s">
        <v>54</v>
      </c>
    </row>
    <row r="57" spans="1:49" ht="12.75">
      <c r="A57" s="64" t="s">
        <v>205</v>
      </c>
      <c r="B57" s="64" t="s">
        <v>97</v>
      </c>
      <c r="D57" s="64" t="s">
        <v>239</v>
      </c>
      <c r="F57" s="64">
        <v>741</v>
      </c>
      <c r="H57" s="64">
        <v>758</v>
      </c>
      <c r="J57" s="64">
        <v>450</v>
      </c>
      <c r="L57" s="64">
        <v>4.099124573884586</v>
      </c>
      <c r="N57" s="64">
        <v>22.620912233231284</v>
      </c>
      <c r="P57" s="64">
        <v>1.079760112640575</v>
      </c>
      <c r="R57" s="64">
        <v>2.06</v>
      </c>
      <c r="T57" s="64">
        <v>8.6</v>
      </c>
      <c r="V57" s="64">
        <v>12.8</v>
      </c>
      <c r="X57" s="64">
        <v>0.11295854360936</v>
      </c>
      <c r="Z57" s="64">
        <v>0.073506015410083</v>
      </c>
      <c r="AB57" s="64">
        <v>0.0312653111775908</v>
      </c>
      <c r="AD57" s="64">
        <v>0.197</v>
      </c>
      <c r="AF57" s="64">
        <v>5.48</v>
      </c>
      <c r="AH57" s="64">
        <v>0.477</v>
      </c>
      <c r="AP57">
        <v>7.23</v>
      </c>
      <c r="AQ57"/>
      <c r="AR57">
        <v>6</v>
      </c>
      <c r="AS57"/>
      <c r="AT57">
        <v>15.08</v>
      </c>
      <c r="AW57" s="64" t="s">
        <v>54</v>
      </c>
    </row>
    <row r="58" spans="1:49" ht="12.75">
      <c r="A58" s="64" t="s">
        <v>205</v>
      </c>
      <c r="B58" s="64" t="s">
        <v>98</v>
      </c>
      <c r="D58" s="64" t="s">
        <v>239</v>
      </c>
      <c r="F58" s="64">
        <v>93</v>
      </c>
      <c r="H58" s="64">
        <v>89.7</v>
      </c>
      <c r="J58" s="64">
        <v>58.2</v>
      </c>
      <c r="L58" s="64">
        <v>1.6376647813340357</v>
      </c>
      <c r="N58" s="64">
        <v>0.7645670772279919</v>
      </c>
      <c r="P58" s="64">
        <v>0.38184243983380334</v>
      </c>
      <c r="Q58" s="66" t="s">
        <v>161</v>
      </c>
      <c r="R58" s="64">
        <v>0.098</v>
      </c>
      <c r="S58" s="66" t="s">
        <v>161</v>
      </c>
      <c r="T58" s="64">
        <v>0.096</v>
      </c>
      <c r="V58" s="64">
        <v>0.1</v>
      </c>
      <c r="W58" s="66" t="s">
        <v>161</v>
      </c>
      <c r="X58" s="64">
        <v>0.020171168501671482</v>
      </c>
      <c r="Y58" s="66" t="s">
        <v>161</v>
      </c>
      <c r="Z58" s="64">
        <v>0.020138634358926853</v>
      </c>
      <c r="AA58" s="66" t="s">
        <v>161</v>
      </c>
      <c r="AB58" s="64">
        <v>0.0020171168501671483</v>
      </c>
      <c r="AD58" s="64">
        <v>0.688</v>
      </c>
      <c r="AE58" s="66" t="s">
        <v>161</v>
      </c>
      <c r="AF58" s="64">
        <v>0.1</v>
      </c>
      <c r="AG58" s="66" t="s">
        <v>161</v>
      </c>
      <c r="AH58" s="64">
        <v>0.095</v>
      </c>
      <c r="AP58">
        <v>0</v>
      </c>
      <c r="AQ58"/>
      <c r="AR58">
        <v>0</v>
      </c>
      <c r="AS58"/>
      <c r="AT58">
        <v>0</v>
      </c>
      <c r="AW58" s="64" t="s">
        <v>54</v>
      </c>
    </row>
    <row r="59" spans="1:49" ht="12.75">
      <c r="A59" s="64" t="s">
        <v>205</v>
      </c>
      <c r="B59" s="64" t="s">
        <v>99</v>
      </c>
      <c r="D59" s="64" t="s">
        <v>239</v>
      </c>
      <c r="E59" s="66" t="s">
        <v>161</v>
      </c>
      <c r="F59" s="64">
        <v>1.95</v>
      </c>
      <c r="G59" s="66" t="s">
        <v>161</v>
      </c>
      <c r="H59" s="64">
        <v>1.74</v>
      </c>
      <c r="J59" s="64">
        <v>4.11</v>
      </c>
      <c r="L59" s="64">
        <v>1.6178142991360474</v>
      </c>
      <c r="N59" s="64">
        <v>1.0273252717275343</v>
      </c>
      <c r="O59" s="66" t="s">
        <v>161</v>
      </c>
      <c r="P59" s="64">
        <v>0.02944800307201568</v>
      </c>
      <c r="Q59" s="66" t="s">
        <v>161</v>
      </c>
      <c r="R59" s="64">
        <v>0.147</v>
      </c>
      <c r="T59" s="64">
        <v>0.288</v>
      </c>
      <c r="V59" s="64">
        <v>0.398</v>
      </c>
      <c r="W59" s="66" t="s">
        <v>161</v>
      </c>
      <c r="X59" s="64">
        <v>0.030256752752507225</v>
      </c>
      <c r="Y59" s="66" t="s">
        <v>161</v>
      </c>
      <c r="Z59" s="64">
        <v>0.030207951538390277</v>
      </c>
      <c r="AA59" s="66" t="s">
        <v>161</v>
      </c>
      <c r="AB59" s="64">
        <v>0.0030256752752507226</v>
      </c>
      <c r="AC59" s="66" t="s">
        <v>161</v>
      </c>
      <c r="AD59" s="64">
        <v>0.147</v>
      </c>
      <c r="AE59" s="66" t="s">
        <v>161</v>
      </c>
      <c r="AF59" s="64">
        <v>0.149</v>
      </c>
      <c r="AG59" s="66" t="s">
        <v>161</v>
      </c>
      <c r="AH59" s="64">
        <v>0.143</v>
      </c>
      <c r="AP59">
        <v>0.25</v>
      </c>
      <c r="AQ59"/>
      <c r="AR59">
        <v>0.14</v>
      </c>
      <c r="AS59"/>
      <c r="AT59">
        <v>0.35</v>
      </c>
      <c r="AW59" s="64" t="s">
        <v>54</v>
      </c>
    </row>
    <row r="60" spans="1:49" ht="12.75">
      <c r="A60" s="64" t="s">
        <v>205</v>
      </c>
      <c r="B60" s="64" t="s">
        <v>112</v>
      </c>
      <c r="D60" s="64" t="s">
        <v>239</v>
      </c>
      <c r="F60" s="64">
        <v>352</v>
      </c>
      <c r="H60" s="64">
        <v>133</v>
      </c>
      <c r="J60" s="64">
        <v>452</v>
      </c>
      <c r="L60" s="64">
        <v>79.50118120294319</v>
      </c>
      <c r="N60" s="64">
        <v>51.9589512431426</v>
      </c>
      <c r="P60" s="64">
        <v>39.95112416770127</v>
      </c>
      <c r="R60" s="64">
        <v>0.884</v>
      </c>
      <c r="T60" s="64">
        <v>1.3</v>
      </c>
      <c r="V60" s="64">
        <v>1.54</v>
      </c>
      <c r="W60" s="66" t="s">
        <v>161</v>
      </c>
      <c r="X60" s="64">
        <v>0.040342337003343</v>
      </c>
      <c r="Y60" s="66" t="s">
        <v>161</v>
      </c>
      <c r="Z60" s="64">
        <v>0.040277268717853705</v>
      </c>
      <c r="AB60" s="64">
        <v>0.0080684674006686</v>
      </c>
      <c r="AC60" s="66" t="s">
        <v>161</v>
      </c>
      <c r="AD60" s="64">
        <v>0.197</v>
      </c>
      <c r="AE60" s="66" t="s">
        <v>161</v>
      </c>
      <c r="AF60" s="64">
        <v>0.199</v>
      </c>
      <c r="AG60" s="66" t="s">
        <v>161</v>
      </c>
      <c r="AH60" s="64">
        <v>0.194</v>
      </c>
      <c r="AP60">
        <v>8.87</v>
      </c>
      <c r="AQ60"/>
      <c r="AR60">
        <v>4.75</v>
      </c>
      <c r="AS60"/>
      <c r="AT60">
        <v>40.29</v>
      </c>
      <c r="AW60" s="64" t="s">
        <v>54</v>
      </c>
    </row>
    <row r="61" spans="1:49" ht="12.75">
      <c r="A61" s="64" t="s">
        <v>205</v>
      </c>
      <c r="B61" s="64" t="s">
        <v>94</v>
      </c>
      <c r="D61" s="64" t="s">
        <v>239</v>
      </c>
      <c r="F61" s="64">
        <v>720</v>
      </c>
      <c r="H61" s="64">
        <v>690</v>
      </c>
      <c r="J61" s="64">
        <v>250</v>
      </c>
      <c r="L61" s="64">
        <v>61.53649481376377</v>
      </c>
      <c r="N61" s="64">
        <v>14.81719141914713</v>
      </c>
      <c r="P61" s="64">
        <v>8.4417608806445</v>
      </c>
      <c r="R61" s="64">
        <v>2.9</v>
      </c>
      <c r="T61" s="64">
        <v>3.4</v>
      </c>
      <c r="V61" s="64">
        <v>8</v>
      </c>
      <c r="W61" s="66" t="s">
        <v>161</v>
      </c>
      <c r="X61" s="64">
        <v>0.5042792125417871</v>
      </c>
      <c r="Y61" s="66" t="s">
        <v>161</v>
      </c>
      <c r="Z61" s="64">
        <v>0.5034658589731713</v>
      </c>
      <c r="AA61" s="66" t="s">
        <v>161</v>
      </c>
      <c r="AB61" s="64">
        <v>0.5042792125417871</v>
      </c>
      <c r="AC61" s="66" t="s">
        <v>161</v>
      </c>
      <c r="AD61" s="64">
        <v>2.5</v>
      </c>
      <c r="AE61" s="66" t="s">
        <v>161</v>
      </c>
      <c r="AF61" s="64">
        <v>2.5</v>
      </c>
      <c r="AG61" s="66" t="s">
        <v>161</v>
      </c>
      <c r="AH61" s="64">
        <v>2.4</v>
      </c>
      <c r="AP61">
        <v>17</v>
      </c>
      <c r="AQ61"/>
      <c r="AR61">
        <v>13.03</v>
      </c>
      <c r="AS61"/>
      <c r="AT61">
        <v>32.56</v>
      </c>
      <c r="AW61" s="64" t="s">
        <v>54</v>
      </c>
    </row>
    <row r="62" spans="1:49" ht="12.75">
      <c r="A62" s="64" t="s">
        <v>205</v>
      </c>
      <c r="B62" s="64" t="s">
        <v>100</v>
      </c>
      <c r="D62" s="64" t="s">
        <v>239</v>
      </c>
      <c r="F62" s="64">
        <v>23.8</v>
      </c>
      <c r="H62" s="64">
        <v>7.05</v>
      </c>
      <c r="J62" s="64">
        <v>2.8</v>
      </c>
      <c r="L62" s="64">
        <v>0.1895721049907884</v>
      </c>
      <c r="N62" s="64">
        <v>0.0862360540594363</v>
      </c>
      <c r="O62" s="66" t="s">
        <v>161</v>
      </c>
      <c r="P62" s="64">
        <v>0.19632002048010455</v>
      </c>
      <c r="Q62" s="66" t="s">
        <v>161</v>
      </c>
      <c r="R62" s="64">
        <v>0.117</v>
      </c>
      <c r="S62" s="66" t="s">
        <v>161</v>
      </c>
      <c r="T62" s="64">
        <v>0.143</v>
      </c>
      <c r="V62" s="64">
        <v>0.128</v>
      </c>
      <c r="W62" s="66" t="s">
        <v>161</v>
      </c>
      <c r="X62" s="64">
        <v>0.00030256752752507224</v>
      </c>
      <c r="Y62" s="66" t="s">
        <v>161</v>
      </c>
      <c r="Z62" s="64">
        <v>0.00030207951538390273</v>
      </c>
      <c r="AA62" s="66" t="s">
        <v>161</v>
      </c>
      <c r="AB62" s="64">
        <v>0.00030256752752507224</v>
      </c>
      <c r="AC62" s="66" t="s">
        <v>161</v>
      </c>
      <c r="AD62" s="64">
        <v>0.154</v>
      </c>
      <c r="AE62" s="66" t="s">
        <v>161</v>
      </c>
      <c r="AF62" s="64">
        <v>0.154</v>
      </c>
      <c r="AG62" s="66" t="s">
        <v>161</v>
      </c>
      <c r="AH62" s="64">
        <v>0.0714</v>
      </c>
      <c r="AP62">
        <v>1.15</v>
      </c>
      <c r="AQ62"/>
      <c r="AR62">
        <v>0.81</v>
      </c>
      <c r="AS62"/>
      <c r="AT62">
        <v>2.05</v>
      </c>
      <c r="AW62" s="64" t="s">
        <v>54</v>
      </c>
    </row>
    <row r="63" spans="1:49" ht="12.75">
      <c r="A63" s="64" t="s">
        <v>205</v>
      </c>
      <c r="B63" s="64" t="s">
        <v>103</v>
      </c>
      <c r="D63" s="64" t="s">
        <v>239</v>
      </c>
      <c r="E63" s="66" t="s">
        <v>161</v>
      </c>
      <c r="F63" s="64">
        <v>1.3</v>
      </c>
      <c r="H63" s="64">
        <v>3.5</v>
      </c>
      <c r="I63" s="66" t="s">
        <v>161</v>
      </c>
      <c r="J63" s="64">
        <v>1.4</v>
      </c>
      <c r="K63" s="66" t="s">
        <v>161</v>
      </c>
      <c r="L63" s="64">
        <v>0.19850482197988312</v>
      </c>
      <c r="M63" s="66" t="s">
        <v>161</v>
      </c>
      <c r="N63" s="64">
        <v>0.19756255225529507</v>
      </c>
      <c r="O63" s="66" t="s">
        <v>161</v>
      </c>
      <c r="P63" s="64">
        <v>1.9632002048010453</v>
      </c>
      <c r="Q63" s="66" t="s">
        <v>161</v>
      </c>
      <c r="R63" s="64">
        <v>0.98</v>
      </c>
      <c r="S63" s="66" t="s">
        <v>161</v>
      </c>
      <c r="T63" s="64">
        <v>0.96</v>
      </c>
      <c r="U63" s="66" t="s">
        <v>161</v>
      </c>
      <c r="V63" s="64">
        <v>1</v>
      </c>
      <c r="W63" s="66" t="s">
        <v>161</v>
      </c>
      <c r="X63" s="64">
        <v>0.20171168501671485</v>
      </c>
      <c r="Y63" s="66" t="s">
        <v>161</v>
      </c>
      <c r="Z63" s="64">
        <v>0.20138634358926852</v>
      </c>
      <c r="AA63" s="66" t="s">
        <v>161</v>
      </c>
      <c r="AB63" s="64">
        <v>0.020171168501671482</v>
      </c>
      <c r="AC63" s="66" t="s">
        <v>161</v>
      </c>
      <c r="AD63" s="64">
        <v>0.98</v>
      </c>
      <c r="AE63" s="66" t="s">
        <v>161</v>
      </c>
      <c r="AF63" s="64">
        <v>1</v>
      </c>
      <c r="AG63" s="66" t="s">
        <v>161</v>
      </c>
      <c r="AH63" s="64">
        <v>0.95</v>
      </c>
      <c r="AP63">
        <v>0</v>
      </c>
      <c r="AQ63"/>
      <c r="AR63">
        <v>0</v>
      </c>
      <c r="AS63"/>
      <c r="AT63">
        <v>0</v>
      </c>
      <c r="AW63" s="64" t="s">
        <v>54</v>
      </c>
    </row>
    <row r="64" spans="1:49" ht="12.75">
      <c r="A64" s="64" t="s">
        <v>205</v>
      </c>
      <c r="B64" s="64" t="s">
        <v>104</v>
      </c>
      <c r="D64" s="64" t="s">
        <v>239</v>
      </c>
      <c r="E64" s="66" t="s">
        <v>161</v>
      </c>
      <c r="F64" s="64">
        <v>70</v>
      </c>
      <c r="G64" s="66" t="s">
        <v>161</v>
      </c>
      <c r="H64" s="64">
        <v>60</v>
      </c>
      <c r="I64" s="66" t="s">
        <v>161</v>
      </c>
      <c r="J64" s="64">
        <v>70</v>
      </c>
      <c r="K64" s="66" t="s">
        <v>161</v>
      </c>
      <c r="L64" s="64">
        <v>0.9925241098994155</v>
      </c>
      <c r="M64" s="66" t="s">
        <v>161</v>
      </c>
      <c r="N64" s="64">
        <v>0.9878127612764753</v>
      </c>
      <c r="O64" s="66" t="s">
        <v>161</v>
      </c>
      <c r="P64" s="64">
        <v>0.9816001024005226</v>
      </c>
      <c r="Q64" s="66" t="s">
        <v>161</v>
      </c>
      <c r="R64" s="64">
        <v>4.9</v>
      </c>
      <c r="S64" s="66" t="s">
        <v>161</v>
      </c>
      <c r="T64" s="64">
        <v>4.8</v>
      </c>
      <c r="U64" s="66" t="s">
        <v>161</v>
      </c>
      <c r="V64" s="64">
        <v>5</v>
      </c>
      <c r="W64" s="66" t="s">
        <v>161</v>
      </c>
      <c r="X64" s="64">
        <v>1.0085584250835742</v>
      </c>
      <c r="Y64" s="66" t="s">
        <v>161</v>
      </c>
      <c r="Z64" s="64">
        <v>0.10069317179463426</v>
      </c>
      <c r="AA64" s="66" t="s">
        <v>161</v>
      </c>
      <c r="AB64" s="64">
        <v>0.10085584250835743</v>
      </c>
      <c r="AC64" s="66" t="s">
        <v>161</v>
      </c>
      <c r="AD64" s="64">
        <v>4.9</v>
      </c>
      <c r="AE64" s="66" t="s">
        <v>161</v>
      </c>
      <c r="AF64" s="64">
        <v>5</v>
      </c>
      <c r="AG64" s="66" t="s">
        <v>161</v>
      </c>
      <c r="AH64" s="64">
        <v>4.8</v>
      </c>
      <c r="AP64">
        <v>0.15</v>
      </c>
      <c r="AQ64"/>
      <c r="AR64">
        <v>0.08</v>
      </c>
      <c r="AS64"/>
      <c r="AT64">
        <v>0.31</v>
      </c>
      <c r="AW64" s="64" t="s">
        <v>54</v>
      </c>
    </row>
    <row r="66" spans="2:46" ht="12.75">
      <c r="B66" s="62" t="s">
        <v>69</v>
      </c>
      <c r="D66" s="62" t="s">
        <v>16</v>
      </c>
      <c r="F66" s="66">
        <f>'emiss 2'!$G$79</f>
        <v>34278</v>
      </c>
      <c r="H66" s="66">
        <f>'emiss 2'!$I$79</f>
        <v>31509</v>
      </c>
      <c r="J66" s="66">
        <f>'emiss 2'!$K$79</f>
        <v>31127</v>
      </c>
      <c r="L66" s="66">
        <f>'emiss 2'!$G$79</f>
        <v>34278</v>
      </c>
      <c r="N66" s="66">
        <f>'emiss 2'!$I$79</f>
        <v>31509</v>
      </c>
      <c r="P66" s="66">
        <f>'emiss 2'!$K$79</f>
        <v>31127</v>
      </c>
      <c r="R66" s="66">
        <f>'emiss 2'!$G$79</f>
        <v>34278</v>
      </c>
      <c r="T66" s="66">
        <f>'emiss 2'!$I$79</f>
        <v>31509</v>
      </c>
      <c r="V66" s="66">
        <f>'emiss 2'!$K$79</f>
        <v>31127</v>
      </c>
      <c r="X66" s="66">
        <f>'emiss 2'!$G$79</f>
        <v>34278</v>
      </c>
      <c r="Z66" s="66">
        <f>'emiss 2'!$I$79</f>
        <v>31509</v>
      </c>
      <c r="AB66" s="66">
        <f>'emiss 2'!$K$79</f>
        <v>31127</v>
      </c>
      <c r="AD66" s="66">
        <f>'emiss 2'!$G$79</f>
        <v>34278</v>
      </c>
      <c r="AF66" s="66">
        <f>'emiss 2'!$I$79</f>
        <v>31509</v>
      </c>
      <c r="AH66" s="66">
        <f>'emiss 2'!$K$79</f>
        <v>31127</v>
      </c>
      <c r="AI66" s="66"/>
      <c r="AJ66" s="66"/>
      <c r="AK66" s="66"/>
      <c r="AL66" s="66"/>
      <c r="AM66" s="66"/>
      <c r="AN66" s="66"/>
      <c r="AO66" s="66"/>
      <c r="AP66" s="66">
        <f>'emiss 2'!$G$79</f>
        <v>34278</v>
      </c>
      <c r="AQ66" s="66"/>
      <c r="AR66" s="66">
        <f>'emiss 2'!$I$79</f>
        <v>31509</v>
      </c>
      <c r="AS66" s="66"/>
      <c r="AT66" s="66">
        <f>'emiss 2'!$K$79</f>
        <v>31127</v>
      </c>
    </row>
    <row r="67" spans="2:46" ht="12.75">
      <c r="B67" s="62" t="s">
        <v>70</v>
      </c>
      <c r="D67" s="62" t="s">
        <v>17</v>
      </c>
      <c r="F67" s="67">
        <f>'emiss 2'!$G$80</f>
        <v>10.45</v>
      </c>
      <c r="G67" s="67"/>
      <c r="H67" s="67">
        <f>'emiss 2'!$I$80</f>
        <v>8.88</v>
      </c>
      <c r="I67" s="67"/>
      <c r="J67" s="67">
        <f>'emiss 2'!$K$80</f>
        <v>8.96</v>
      </c>
      <c r="K67" s="67"/>
      <c r="L67" s="67">
        <f>'emiss 2'!$G$80</f>
        <v>10.45</v>
      </c>
      <c r="M67" s="67"/>
      <c r="N67" s="67">
        <f>'emiss 2'!$I$80</f>
        <v>8.88</v>
      </c>
      <c r="O67" s="67"/>
      <c r="P67" s="67">
        <f>'emiss 2'!$K$80</f>
        <v>8.96</v>
      </c>
      <c r="Q67" s="67"/>
      <c r="R67" s="67">
        <f>'emiss 2'!$G$80</f>
        <v>10.45</v>
      </c>
      <c r="S67" s="67"/>
      <c r="T67" s="67">
        <f>'emiss 2'!$I$80</f>
        <v>8.88</v>
      </c>
      <c r="U67" s="67"/>
      <c r="V67" s="67">
        <f>'emiss 2'!$K$80</f>
        <v>8.96</v>
      </c>
      <c r="W67" s="67"/>
      <c r="X67" s="67">
        <f>'emiss 2'!$G$80</f>
        <v>10.45</v>
      </c>
      <c r="Y67" s="67"/>
      <c r="Z67" s="67">
        <f>'emiss 2'!$I$80</f>
        <v>8.88</v>
      </c>
      <c r="AA67" s="67"/>
      <c r="AB67" s="67">
        <f>'emiss 2'!$K$80</f>
        <v>8.96</v>
      </c>
      <c r="AC67" s="67"/>
      <c r="AD67" s="67">
        <f>'emiss 2'!$G$80</f>
        <v>10.45</v>
      </c>
      <c r="AE67" s="67"/>
      <c r="AF67" s="67">
        <f>'emiss 2'!$I$80</f>
        <v>8.88</v>
      </c>
      <c r="AG67" s="67"/>
      <c r="AH67" s="67">
        <f>'emiss 2'!$K$80</f>
        <v>8.96</v>
      </c>
      <c r="AI67" s="67"/>
      <c r="AJ67" s="67"/>
      <c r="AK67" s="67"/>
      <c r="AL67" s="67"/>
      <c r="AM67" s="67"/>
      <c r="AN67" s="67"/>
      <c r="AO67" s="67"/>
      <c r="AP67" s="67">
        <f>'emiss 2'!$G$80</f>
        <v>10.45</v>
      </c>
      <c r="AQ67" s="67"/>
      <c r="AR67" s="67">
        <f>'emiss 2'!$I$80</f>
        <v>8.88</v>
      </c>
      <c r="AS67" s="67"/>
      <c r="AT67" s="67">
        <f>'emiss 2'!$K$80</f>
        <v>8.96</v>
      </c>
    </row>
    <row r="69" ht="12.75">
      <c r="B69" s="48" t="s">
        <v>87</v>
      </c>
    </row>
    <row r="70" spans="2:48" ht="12.75">
      <c r="B70" s="64" t="s">
        <v>49</v>
      </c>
      <c r="D70" s="64" t="s">
        <v>71</v>
      </c>
      <c r="F70" s="64">
        <f>F53/100*F51*454/60/0.0283/F66*(21-7)/(21-F67)*1000</f>
        <v>3603.123083135708</v>
      </c>
      <c r="H70" s="64">
        <f>H53/100*H51*454/60/0.0283/H66*(21-7)/(21-H67)*1000</f>
        <v>3351.088204032305</v>
      </c>
      <c r="J70" s="64">
        <f>J53/100*J51*454/60/0.0283/J66*(21-7)/(21-J67)*1000</f>
        <v>3500.9454264055535</v>
      </c>
      <c r="L70" s="64">
        <f>L53/100*L51*454/60/0.0283/L66*(21-7)/(21-L67)*1000</f>
        <v>302.55774351544625</v>
      </c>
      <c r="N70" s="64">
        <f>N53/100*N51*454/60/0.0283/N66*(21-7)/(21-N67)*1000</f>
        <v>161.33094774137183</v>
      </c>
      <c r="P70" s="64">
        <f>P53/100*P51*454/60/0.0283/P66*(21-7)/(21-P67)*1000</f>
        <v>366.670377396129</v>
      </c>
      <c r="R70" s="64">
        <f>R53/100*R51*454/60/0.0283/R66*(21-7)/(21-R67)*1000</f>
        <v>63.94374275886415</v>
      </c>
      <c r="T70" s="64">
        <f>T53/100*T51*454/60/0.0283/T66*(21-7)/(21-T67)*1000</f>
        <v>123.2565617805363</v>
      </c>
      <c r="V70" s="64">
        <f>V53/100*V51*454/60/0.0283/V66*(21-7)/(21-V67)*1000</f>
        <v>52.93787617682725</v>
      </c>
      <c r="X70" s="64">
        <f>X53/100*X51*454/60/0.0283/X66*(21-7)/(21-X67)*1000</f>
        <v>0.8446337427355797</v>
      </c>
      <c r="Z70" s="64">
        <f>Z53/100*Z51*454/60/0.0283/Z66*(21-7)/(21-Z67)*1000</f>
        <v>0.558118509064457</v>
      </c>
      <c r="AB70" s="64">
        <f>AB53/100*AB51*454/60/0.0283/AB66*(21-7)/(21-AB67)*1000</f>
        <v>0.5837039836557393</v>
      </c>
      <c r="AD70" s="64">
        <f>AD53/100*AD51*454/60/0.0283/AD66*(21-7)/(21-AD67)*1000</f>
        <v>32.06130318748644</v>
      </c>
      <c r="AF70" s="64">
        <f>AF53/100*AF51*454/60/0.0283/AF66*(21-7)/(21-AF67)*1000</f>
        <v>26.362718953976138</v>
      </c>
      <c r="AH70" s="64">
        <f>AH53/100*AH51*454/60/0.0283/AH66*(21-7)/(21-AH67)*1000</f>
        <v>24.191953195292488</v>
      </c>
      <c r="AI70" s="67"/>
      <c r="AJ70" s="66">
        <f>SUM(X70,AD70,R70,L70,F70)</f>
        <v>4002.53050634024</v>
      </c>
      <c r="AK70" s="66"/>
      <c r="AL70" s="66">
        <f>SUM(Z70,AF70,T70,N70,H70)</f>
        <v>3662.5965510172537</v>
      </c>
      <c r="AN70" s="66">
        <f>SUM(AB70,AH70,V70,P70,J70)</f>
        <v>3945.329337157458</v>
      </c>
      <c r="AP70" s="66">
        <f>AJ70</f>
        <v>4002.53050634024</v>
      </c>
      <c r="AR70" s="66">
        <f>SUM(AF70,Z70,T70,N70,H70)</f>
        <v>3662.5965510172537</v>
      </c>
      <c r="AT70" s="66">
        <f>SUM(AH70,AB70,V70,P70,J70)</f>
        <v>3945.329337157458</v>
      </c>
      <c r="AV70" s="66">
        <f>AVERAGE(AT70,AR70,AP70)</f>
        <v>3870.1521315049845</v>
      </c>
    </row>
    <row r="71" spans="2:48" ht="12.75">
      <c r="B71" s="64" t="s">
        <v>50</v>
      </c>
      <c r="D71" s="64" t="s">
        <v>63</v>
      </c>
      <c r="AI71" s="66"/>
      <c r="AP71" s="66">
        <f>AP54*454/60/0.0283/AP$66*(21-7)/(21-AP$67)*1000000</f>
        <v>16729130.57609367</v>
      </c>
      <c r="AR71" s="66">
        <f>AR54*454/60/0.0283/AR$66*(21-7)/(21-AR$67)*1000000</f>
        <v>22661924.709466547</v>
      </c>
      <c r="AT71" s="66">
        <f aca="true" t="shared" si="22" ref="AT71:AT81">AT54*454/60/0.0283/AT$66*(21-7)/(21-AT$67)*1000000</f>
        <v>43777798.77418045</v>
      </c>
      <c r="AV71" s="66">
        <f aca="true" t="shared" si="23" ref="AV71:AV81">AVERAGE(AT71,AR71,AP71)</f>
        <v>27722951.353246886</v>
      </c>
    </row>
    <row r="72" spans="2:48" ht="12.75">
      <c r="B72" s="64" t="s">
        <v>95</v>
      </c>
      <c r="D72" s="64" t="s">
        <v>63</v>
      </c>
      <c r="F72" s="67">
        <f aca="true" t="shared" si="24" ref="F72:F81">F55/1000000*F$51*454/60/0.0283/F$66*(21-7)/(21-F$67)*1000000</f>
        <v>67.35954098316246</v>
      </c>
      <c r="G72" s="66">
        <v>100</v>
      </c>
      <c r="H72" s="67">
        <f aca="true" t="shared" si="25" ref="H72:H81">H55/1000000*H$51*454/60/0.0283/H$66*(21-7)/(21-H$67)*1000000</f>
        <v>17.62670380840557</v>
      </c>
      <c r="I72" s="66">
        <v>100</v>
      </c>
      <c r="J72" s="67">
        <f aca="true" t="shared" si="26" ref="J72:J81">J55/1000000*J$51*454/60/0.0283/J$66*(21-7)/(21-J$67)*1000000</f>
        <v>24.898310925000466</v>
      </c>
      <c r="L72" s="67">
        <f aca="true" t="shared" si="27" ref="L72:L81">L55/1000000*L$51*454/60/0.0283/L$66*(21-7)/(21-L$67)*1000000</f>
        <v>98.5345774467614</v>
      </c>
      <c r="N72" s="67">
        <f aca="true" t="shared" si="28" ref="N72:N81">N55/1000000*N$51*454/60/0.0283/N$66*(21-7)/(21-N$67)*1000000</f>
        <v>62.74203502667532</v>
      </c>
      <c r="P72" s="67">
        <f aca="true" t="shared" si="29" ref="P72:P81">P55/1000000*P$51*454/60/0.0283/P$66*(21-7)/(21-P$67)*1000000</f>
        <v>40.69808395751558</v>
      </c>
      <c r="Q72" s="66">
        <v>100</v>
      </c>
      <c r="R72" s="67">
        <f aca="true" t="shared" si="30" ref="R72:R81">R55/1000000*R$51*454/60/0.0283/R$66*(21-7)/(21-R$67)*1000000</f>
        <v>154.53071166725505</v>
      </c>
      <c r="S72" s="66">
        <v>100</v>
      </c>
      <c r="T72" s="67">
        <f aca="true" t="shared" si="31" ref="T72:T81">T55/1000000*T$51*454/60/0.0283/T$66*(21-7)/(21-T$67)*1000000</f>
        <v>170.21144245883582</v>
      </c>
      <c r="U72" s="66">
        <v>100</v>
      </c>
      <c r="V72" s="67">
        <f aca="true" t="shared" si="32" ref="V72:V81">V55/1000000*V$51*454/60/0.0283/V$66*(21-7)/(21-V$67)*1000000</f>
        <v>176.45958725609083</v>
      </c>
      <c r="W72" s="66">
        <v>100</v>
      </c>
      <c r="X72" s="67">
        <f aca="true" t="shared" si="33" ref="X72:X81">X55/1000000*X$51*454/60/0.0283/X$66*(21-7)/(21-X$67)*1000000</f>
        <v>5.1111748640750445</v>
      </c>
      <c r="Y72" s="66">
        <v>100</v>
      </c>
      <c r="Z72" s="67">
        <f aca="true" t="shared" si="34" ref="Z72:Z81">Z55/1000000*Z$51*454/60/0.0283/Z$66*(21-7)/(21-Z$67)*1000000</f>
        <v>3.37192337489955</v>
      </c>
      <c r="AB72" s="67">
        <f aca="true" t="shared" si="35" ref="AB72:AB81">AB55/1000000*AB$51*454/60/0.0283/AB$66*(21-7)/(21-AB$67)*1000000</f>
        <v>0.4120896993295886</v>
      </c>
      <c r="AC72" s="66">
        <v>100</v>
      </c>
      <c r="AD72" s="67">
        <f aca="true" t="shared" si="36" ref="AD72:AD81">AD55/1000000*AD$51*454/60/0.0283/AD$66*(21-7)/(21-AD$67)*1000000</f>
        <v>34.43621453470765</v>
      </c>
      <c r="AE72" s="66">
        <v>100</v>
      </c>
      <c r="AF72" s="67">
        <f aca="true" t="shared" si="37" ref="AF72:AF81">AF55/1000000*AF$51*454/60/0.0283/AF$66*(21-7)/(21-AF$67)*1000000</f>
        <v>25.5123086651382</v>
      </c>
      <c r="AG72" s="66">
        <v>100</v>
      </c>
      <c r="AH72" s="67">
        <f aca="true" t="shared" si="38" ref="AH72:AH81">AH55/1000000*AH$51*454/60/0.0283/AH$66*(21-7)/(21-AH$67)*1000000</f>
        <v>29.23194344431176</v>
      </c>
      <c r="AI72" s="67">
        <f aca="true" t="shared" si="39" ref="AI72:AM84">SUM((AD72*AC72/100),(X72*W72/100),(R72*Q72/100),(L72*K72/100),(F72*E72/100))/AJ72*100</f>
        <v>53.91474412602971</v>
      </c>
      <c r="AJ72" s="66">
        <f aca="true" t="shared" si="40" ref="AJ72:AN81">SUM(X72,AD72,R72,L72,F72)</f>
        <v>359.97221949596155</v>
      </c>
      <c r="AK72" s="66">
        <f t="shared" si="39"/>
        <v>77.54918621724484</v>
      </c>
      <c r="AL72" s="66">
        <f t="shared" si="40"/>
        <v>279.46441333395444</v>
      </c>
      <c r="AM72" s="66">
        <f t="shared" si="39"/>
        <v>84.86927812126216</v>
      </c>
      <c r="AN72" s="66">
        <f t="shared" si="40"/>
        <v>271.7000152822482</v>
      </c>
      <c r="AO72" s="66">
        <f>AI72*AJ72/AP72</f>
        <v>3.0737492139214613</v>
      </c>
      <c r="AP72" s="66">
        <f aca="true" t="shared" si="41" ref="AP72:AR81">AP55*454/60/0.0283/AP$66*(21-7)/(21-AP$67)*1000000</f>
        <v>6314.051263096856</v>
      </c>
      <c r="AQ72" s="66">
        <f>AK72*AL72/AR72</f>
        <v>5.818502145294524</v>
      </c>
      <c r="AR72" s="66">
        <f t="shared" si="41"/>
        <v>3724.710808649345</v>
      </c>
      <c r="AS72" s="66">
        <f>AM72*AN72/AT72</f>
        <v>2.3319676767676767</v>
      </c>
      <c r="AT72" s="66">
        <f t="shared" si="22"/>
        <v>9888.209168706057</v>
      </c>
      <c r="AU72" s="66">
        <f aca="true" t="shared" si="42" ref="AU72:AU81">SUM(AO72*AP72,AQ72*AR72,AS72*AT72)/SUM(AP72,AR72,AT72)</f>
        <v>3.2187045048606344</v>
      </c>
      <c r="AV72" s="66">
        <f t="shared" si="23"/>
        <v>6642.323746817419</v>
      </c>
    </row>
    <row r="73" spans="2:48" ht="12.75">
      <c r="B73" s="64" t="s">
        <v>96</v>
      </c>
      <c r="D73" s="64" t="s">
        <v>63</v>
      </c>
      <c r="E73" s="66">
        <v>100</v>
      </c>
      <c r="F73" s="67">
        <f t="shared" si="24"/>
        <v>202.07862294948745</v>
      </c>
      <c r="H73" s="67">
        <f t="shared" si="25"/>
        <v>1863.3944026028746</v>
      </c>
      <c r="I73" s="66">
        <v>100</v>
      </c>
      <c r="J73" s="67">
        <f t="shared" si="26"/>
        <v>206.473797914638</v>
      </c>
      <c r="L73" s="67">
        <f t="shared" si="27"/>
        <v>351.90920516700453</v>
      </c>
      <c r="N73" s="67">
        <f t="shared" si="28"/>
        <v>250.96814010670127</v>
      </c>
      <c r="P73" s="67">
        <f t="shared" si="29"/>
        <v>190.77226855085433</v>
      </c>
      <c r="Q73" s="66">
        <v>100</v>
      </c>
      <c r="R73" s="67">
        <f t="shared" si="30"/>
        <v>133.2161307476337</v>
      </c>
      <c r="S73" s="66">
        <v>100</v>
      </c>
      <c r="T73" s="67">
        <f t="shared" si="31"/>
        <v>140.8646420348986</v>
      </c>
      <c r="U73" s="66">
        <v>100</v>
      </c>
      <c r="V73" s="67">
        <f t="shared" si="32"/>
        <v>147.04965604674237</v>
      </c>
      <c r="W73" s="66">
        <v>100</v>
      </c>
      <c r="X73" s="67">
        <f t="shared" si="33"/>
        <v>4.259312386729205</v>
      </c>
      <c r="Y73" s="66">
        <v>100</v>
      </c>
      <c r="Z73" s="67">
        <f t="shared" si="34"/>
        <v>2.809936145749626</v>
      </c>
      <c r="AB73" s="67">
        <f t="shared" si="35"/>
        <v>0.7653094416120929</v>
      </c>
      <c r="AC73" s="66">
        <v>100</v>
      </c>
      <c r="AD73" s="67">
        <f t="shared" si="36"/>
        <v>29.686391840265223</v>
      </c>
      <c r="AE73" s="66">
        <v>100</v>
      </c>
      <c r="AF73" s="67">
        <f t="shared" si="37"/>
        <v>21.260257220948507</v>
      </c>
      <c r="AH73" s="67">
        <f t="shared" si="38"/>
        <v>29.23194344431176</v>
      </c>
      <c r="AI73" s="67">
        <f t="shared" si="39"/>
        <v>51.201640494625124</v>
      </c>
      <c r="AJ73" s="66">
        <f t="shared" si="40"/>
        <v>721.1496630911201</v>
      </c>
      <c r="AK73" s="67">
        <f t="shared" si="39"/>
        <v>7.236213974776574</v>
      </c>
      <c r="AL73" s="66">
        <f t="shared" si="40"/>
        <v>2279.2973781111727</v>
      </c>
      <c r="AM73" s="67">
        <f t="shared" si="39"/>
        <v>61.55803206826304</v>
      </c>
      <c r="AN73" s="66">
        <f t="shared" si="40"/>
        <v>574.2929753981585</v>
      </c>
      <c r="AO73" s="66">
        <f>AI73*AJ73/AP73</f>
        <v>0.6225530861681347</v>
      </c>
      <c r="AP73" s="66">
        <f t="shared" si="41"/>
        <v>59310.67825827046</v>
      </c>
      <c r="AQ73" s="66">
        <f>AK73*AL73/AR73</f>
        <v>0.5704024901728584</v>
      </c>
      <c r="AR73" s="66">
        <f t="shared" si="41"/>
        <v>28915.51811977782</v>
      </c>
      <c r="AS73" s="66">
        <f>AM73*AN73/AT73</f>
        <v>0.2726848998459169</v>
      </c>
      <c r="AT73" s="66">
        <f t="shared" si="22"/>
        <v>129645.40910081276</v>
      </c>
      <c r="AU73" s="66">
        <f t="shared" si="42"/>
        <v>0.40744122912942954</v>
      </c>
      <c r="AV73" s="66">
        <f t="shared" si="23"/>
        <v>72623.86849295368</v>
      </c>
    </row>
    <row r="74" spans="2:48" ht="12.75">
      <c r="B74" s="64" t="s">
        <v>97</v>
      </c>
      <c r="D74" s="64" t="s">
        <v>63</v>
      </c>
      <c r="F74" s="67">
        <f t="shared" si="24"/>
        <v>4537.583624411217</v>
      </c>
      <c r="H74" s="67">
        <f t="shared" si="25"/>
        <v>3817.4404247918355</v>
      </c>
      <c r="J74" s="67">
        <f t="shared" si="26"/>
        <v>2732.7414429878554</v>
      </c>
      <c r="L74" s="67">
        <f t="shared" si="27"/>
        <v>48.446167244657616</v>
      </c>
      <c r="N74" s="67">
        <f t="shared" si="28"/>
        <v>287.35852042217283</v>
      </c>
      <c r="P74" s="67">
        <f t="shared" si="29"/>
        <v>13.98996636039598</v>
      </c>
      <c r="R74" s="67">
        <f t="shared" si="30"/>
        <v>109.77009173605015</v>
      </c>
      <c r="T74" s="67">
        <f t="shared" si="31"/>
        <v>504.76496729172004</v>
      </c>
      <c r="V74" s="67">
        <f t="shared" si="32"/>
        <v>752.8942389593209</v>
      </c>
      <c r="X74" s="67">
        <f t="shared" si="33"/>
        <v>0.9540859746273391</v>
      </c>
      <c r="Z74" s="67">
        <f t="shared" si="34"/>
        <v>0.4102506772794454</v>
      </c>
      <c r="AB74" s="67">
        <f t="shared" si="35"/>
        <v>0.18249686684596067</v>
      </c>
      <c r="AD74" s="67">
        <f t="shared" si="36"/>
        <v>2.339287677012899</v>
      </c>
      <c r="AF74" s="67">
        <f t="shared" si="37"/>
        <v>46.602483828319116</v>
      </c>
      <c r="AH74" s="67">
        <f t="shared" si="38"/>
        <v>4.808150697564382</v>
      </c>
      <c r="AI74" s="67">
        <f t="shared" si="39"/>
        <v>0</v>
      </c>
      <c r="AJ74" s="66">
        <f t="shared" si="40"/>
        <v>4699.093257043565</v>
      </c>
      <c r="AK74" s="67">
        <f t="shared" si="39"/>
        <v>0</v>
      </c>
      <c r="AL74" s="66">
        <f t="shared" si="40"/>
        <v>4656.576647011327</v>
      </c>
      <c r="AM74" s="67">
        <f t="shared" si="39"/>
        <v>0</v>
      </c>
      <c r="AN74" s="66">
        <f t="shared" si="40"/>
        <v>3504.6162958719824</v>
      </c>
      <c r="AO74" s="66">
        <f>AI74*AJ74/AP74</f>
        <v>0</v>
      </c>
      <c r="AP74" s="66">
        <f t="shared" si="41"/>
        <v>74837.03382326274</v>
      </c>
      <c r="AQ74" s="66">
        <f>AK74*AL74/AR74</f>
        <v>0</v>
      </c>
      <c r="AR74" s="66">
        <f t="shared" si="41"/>
        <v>58811.223294463336</v>
      </c>
      <c r="AS74" s="66">
        <f>AM74*AN74/AT74</f>
        <v>0</v>
      </c>
      <c r="AT74" s="66">
        <f t="shared" si="22"/>
        <v>150620.39824655288</v>
      </c>
      <c r="AU74" s="66">
        <f t="shared" si="42"/>
        <v>0</v>
      </c>
      <c r="AV74" s="66">
        <f t="shared" si="23"/>
        <v>94756.21845475964</v>
      </c>
    </row>
    <row r="75" spans="2:48" ht="12.75">
      <c r="B75" s="64" t="s">
        <v>98</v>
      </c>
      <c r="D75" s="64" t="s">
        <v>63</v>
      </c>
      <c r="F75" s="67">
        <f t="shared" si="24"/>
        <v>569.4943010394643</v>
      </c>
      <c r="H75" s="67">
        <f t="shared" si="25"/>
        <v>451.7472376039943</v>
      </c>
      <c r="J75" s="67">
        <f t="shared" si="26"/>
        <v>353.4345599597628</v>
      </c>
      <c r="L75" s="67">
        <f t="shared" si="27"/>
        <v>19.355006284185254</v>
      </c>
      <c r="N75" s="67">
        <f t="shared" si="28"/>
        <v>9.712467022129335</v>
      </c>
      <c r="P75" s="67">
        <f t="shared" si="29"/>
        <v>4.947360831085487</v>
      </c>
      <c r="Q75" s="66">
        <v>100</v>
      </c>
      <c r="R75" s="67">
        <f t="shared" si="30"/>
        <v>5.22207232530724</v>
      </c>
      <c r="S75" s="66">
        <v>100</v>
      </c>
      <c r="T75" s="67">
        <f t="shared" si="31"/>
        <v>5.634585681395944</v>
      </c>
      <c r="V75" s="67">
        <f t="shared" si="32"/>
        <v>5.881986241869694</v>
      </c>
      <c r="W75" s="66">
        <v>100</v>
      </c>
      <c r="X75" s="67">
        <f t="shared" si="33"/>
        <v>0.17037249546916816</v>
      </c>
      <c r="Y75" s="66">
        <v>100</v>
      </c>
      <c r="Z75" s="67">
        <f t="shared" si="34"/>
        <v>0.11239744582998504</v>
      </c>
      <c r="AA75" s="66">
        <v>100</v>
      </c>
      <c r="AB75" s="67">
        <f t="shared" si="35"/>
        <v>0.011773991409416817</v>
      </c>
      <c r="AD75" s="67">
        <f t="shared" si="36"/>
        <v>8.169695034440988</v>
      </c>
      <c r="AE75" s="66">
        <v>100</v>
      </c>
      <c r="AF75" s="67">
        <f t="shared" si="37"/>
        <v>0.8504102888379401</v>
      </c>
      <c r="AG75" s="66">
        <v>100</v>
      </c>
      <c r="AH75" s="67">
        <f t="shared" si="38"/>
        <v>0.9575981473136613</v>
      </c>
      <c r="AI75" s="67">
        <f t="shared" si="39"/>
        <v>0.8951431527454513</v>
      </c>
      <c r="AJ75" s="66">
        <f t="shared" si="40"/>
        <v>602.411447178867</v>
      </c>
      <c r="AK75" s="67">
        <f t="shared" si="39"/>
        <v>1.4095274793737291</v>
      </c>
      <c r="AL75" s="66">
        <f t="shared" si="40"/>
        <v>468.0570980421875</v>
      </c>
      <c r="AM75" s="67">
        <f t="shared" si="39"/>
        <v>0.26541177762392604</v>
      </c>
      <c r="AN75" s="66">
        <f t="shared" si="40"/>
        <v>365.23327917144104</v>
      </c>
      <c r="AO75" s="66"/>
      <c r="AP75" s="66">
        <f t="shared" si="41"/>
        <v>0</v>
      </c>
      <c r="AQ75" s="66"/>
      <c r="AR75" s="66">
        <f t="shared" si="41"/>
        <v>0</v>
      </c>
      <c r="AS75" s="66"/>
      <c r="AT75" s="66">
        <f t="shared" si="22"/>
        <v>0</v>
      </c>
      <c r="AU75" s="66"/>
      <c r="AV75" s="66">
        <f t="shared" si="23"/>
        <v>0</v>
      </c>
    </row>
    <row r="76" spans="2:48" ht="12.75">
      <c r="B76" s="64" t="s">
        <v>99</v>
      </c>
      <c r="D76" s="64" t="s">
        <v>63</v>
      </c>
      <c r="E76" s="66">
        <v>100</v>
      </c>
      <c r="F76" s="67">
        <f t="shared" si="24"/>
        <v>11.941009537924256</v>
      </c>
      <c r="G76" s="66">
        <v>100</v>
      </c>
      <c r="H76" s="67">
        <f t="shared" si="25"/>
        <v>8.762989893321626</v>
      </c>
      <c r="J76" s="67">
        <f t="shared" si="26"/>
        <v>24.95903851262242</v>
      </c>
      <c r="L76" s="67">
        <f t="shared" si="27"/>
        <v>19.120400147407246</v>
      </c>
      <c r="N76" s="67">
        <f t="shared" si="28"/>
        <v>13.050343285548463</v>
      </c>
      <c r="O76" s="66">
        <v>100</v>
      </c>
      <c r="P76" s="67">
        <f t="shared" si="29"/>
        <v>0.3815445371017086</v>
      </c>
      <c r="Q76" s="66">
        <v>100</v>
      </c>
      <c r="R76" s="67">
        <f t="shared" si="30"/>
        <v>7.8331084879608595</v>
      </c>
      <c r="T76" s="67">
        <f t="shared" si="31"/>
        <v>16.903757044187834</v>
      </c>
      <c r="V76" s="67">
        <f t="shared" si="32"/>
        <v>23.410305242641385</v>
      </c>
      <c r="W76" s="66">
        <v>100</v>
      </c>
      <c r="X76" s="67">
        <f t="shared" si="33"/>
        <v>0.2555587432037522</v>
      </c>
      <c r="Y76" s="66">
        <v>100</v>
      </c>
      <c r="Z76" s="67">
        <f t="shared" si="34"/>
        <v>0.16859616874497754</v>
      </c>
      <c r="AA76" s="66">
        <v>100</v>
      </c>
      <c r="AB76" s="67">
        <f t="shared" si="35"/>
        <v>0.017660987114125223</v>
      </c>
      <c r="AC76" s="66">
        <v>100</v>
      </c>
      <c r="AD76" s="67">
        <f t="shared" si="36"/>
        <v>1.7455598402075945</v>
      </c>
      <c r="AE76" s="66">
        <v>100</v>
      </c>
      <c r="AF76" s="67">
        <f t="shared" si="37"/>
        <v>1.2671113303685306</v>
      </c>
      <c r="AG76" s="66">
        <v>100</v>
      </c>
      <c r="AH76" s="67">
        <f t="shared" si="38"/>
        <v>1.4414372112195108</v>
      </c>
      <c r="AI76" s="67">
        <f t="shared" si="39"/>
        <v>53.2458676186941</v>
      </c>
      <c r="AJ76" s="66">
        <f t="shared" si="40"/>
        <v>40.89563675670371</v>
      </c>
      <c r="AK76" s="67">
        <f t="shared" si="39"/>
        <v>25.39971800471491</v>
      </c>
      <c r="AL76" s="66">
        <f t="shared" si="40"/>
        <v>40.15279772217143</v>
      </c>
      <c r="AM76" s="67">
        <f t="shared" si="39"/>
        <v>3.665889724499933</v>
      </c>
      <c r="AN76" s="66">
        <f t="shared" si="40"/>
        <v>50.20998649069915</v>
      </c>
      <c r="AO76" s="66">
        <f>AI76*AJ76/AP76</f>
        <v>0.8414815640984183</v>
      </c>
      <c r="AP76" s="66">
        <f t="shared" si="41"/>
        <v>2587.725927498712</v>
      </c>
      <c r="AQ76" s="66">
        <f>AK76*AL76/AR76</f>
        <v>0.7432034340042566</v>
      </c>
      <c r="AR76" s="66">
        <f t="shared" si="41"/>
        <v>1372.2618768708114</v>
      </c>
      <c r="AS76" s="66">
        <f>AM76*AN76/AT76</f>
        <v>0.05265250120453578</v>
      </c>
      <c r="AT76" s="66">
        <f t="shared" si="22"/>
        <v>3495.8315242900203</v>
      </c>
      <c r="AU76" s="66">
        <f t="shared" si="42"/>
        <v>0.4535326735612617</v>
      </c>
      <c r="AV76" s="66">
        <f t="shared" si="23"/>
        <v>2485.2731095531813</v>
      </c>
    </row>
    <row r="77" spans="2:48" ht="12.75">
      <c r="B77" s="64" t="s">
        <v>112</v>
      </c>
      <c r="D77" s="64" t="s">
        <v>63</v>
      </c>
      <c r="F77" s="67">
        <f t="shared" si="24"/>
        <v>2155.5053114611987</v>
      </c>
      <c r="H77" s="67">
        <f t="shared" si="25"/>
        <v>669.8147447194118</v>
      </c>
      <c r="J77" s="67">
        <f t="shared" si="26"/>
        <v>2744.8869605122463</v>
      </c>
      <c r="L77" s="67">
        <f t="shared" si="27"/>
        <v>939.5975777959022</v>
      </c>
      <c r="N77" s="67">
        <f t="shared" si="28"/>
        <v>660.0462084806242</v>
      </c>
      <c r="P77" s="67">
        <f t="shared" si="29"/>
        <v>517.6287553346513</v>
      </c>
      <c r="R77" s="67">
        <f t="shared" si="30"/>
        <v>47.105223832363265</v>
      </c>
      <c r="T77" s="67">
        <f t="shared" si="31"/>
        <v>76.30168110223674</v>
      </c>
      <c r="V77" s="67">
        <f t="shared" si="32"/>
        <v>90.58258812479329</v>
      </c>
      <c r="W77" s="66">
        <v>100</v>
      </c>
      <c r="X77" s="67">
        <f t="shared" si="33"/>
        <v>0.3407449909383366</v>
      </c>
      <c r="Y77" s="66">
        <v>100</v>
      </c>
      <c r="Z77" s="67">
        <f t="shared" si="34"/>
        <v>0.22479489165997008</v>
      </c>
      <c r="AB77" s="67">
        <f t="shared" si="35"/>
        <v>0.0470959656376673</v>
      </c>
      <c r="AC77" s="66">
        <v>100</v>
      </c>
      <c r="AD77" s="67">
        <f t="shared" si="36"/>
        <v>2.339287677012899</v>
      </c>
      <c r="AE77" s="66">
        <v>100</v>
      </c>
      <c r="AF77" s="67">
        <f t="shared" si="37"/>
        <v>1.692316474787501</v>
      </c>
      <c r="AG77" s="66">
        <v>100</v>
      </c>
      <c r="AH77" s="67">
        <f t="shared" si="38"/>
        <v>1.9555162166194773</v>
      </c>
      <c r="AI77" s="67">
        <f t="shared" si="39"/>
        <v>0.08521869598340759</v>
      </c>
      <c r="AJ77" s="66">
        <f t="shared" si="40"/>
        <v>3144.8881457574153</v>
      </c>
      <c r="AK77" s="67">
        <f t="shared" si="39"/>
        <v>0.13615076648496235</v>
      </c>
      <c r="AL77" s="66">
        <f t="shared" si="40"/>
        <v>1408.07974566872</v>
      </c>
      <c r="AM77" s="67">
        <f t="shared" si="39"/>
        <v>0.05828487027630584</v>
      </c>
      <c r="AN77" s="66">
        <f t="shared" si="40"/>
        <v>3355.1009161539478</v>
      </c>
      <c r="AO77" s="66">
        <f>AI77*AJ77/AP77</f>
        <v>0.0029190275873137305</v>
      </c>
      <c r="AP77" s="66">
        <f t="shared" si="41"/>
        <v>91812.51590765428</v>
      </c>
      <c r="AQ77" s="66">
        <f>AK77*AL77/AR77</f>
        <v>0.004117605827535703</v>
      </c>
      <c r="AR77" s="66">
        <f t="shared" si="41"/>
        <v>46558.88510811682</v>
      </c>
      <c r="AS77" s="66">
        <f>AM77*AN77/AT77</f>
        <v>0.00048593894266567414</v>
      </c>
      <c r="AT77" s="66">
        <f t="shared" si="22"/>
        <v>402420.1488961283</v>
      </c>
      <c r="AU77" s="66">
        <f t="shared" si="42"/>
        <v>0.0012116794820639636</v>
      </c>
      <c r="AV77" s="66">
        <f t="shared" si="23"/>
        <v>180263.84997063313</v>
      </c>
    </row>
    <row r="78" spans="2:48" ht="12.75">
      <c r="B78" s="64" t="s">
        <v>94</v>
      </c>
      <c r="D78" s="64" t="s">
        <v>63</v>
      </c>
      <c r="F78" s="67">
        <f t="shared" si="24"/>
        <v>4408.988137079725</v>
      </c>
      <c r="H78" s="67">
        <f t="shared" si="25"/>
        <v>3474.9787507999545</v>
      </c>
      <c r="J78" s="67">
        <f t="shared" si="26"/>
        <v>1518.1896905488088</v>
      </c>
      <c r="L78" s="67">
        <f t="shared" si="27"/>
        <v>727.2790240118094</v>
      </c>
      <c r="N78" s="67">
        <f t="shared" si="28"/>
        <v>188.2261050800259</v>
      </c>
      <c r="P78" s="67">
        <f t="shared" si="29"/>
        <v>109.37610063582318</v>
      </c>
      <c r="R78" s="67">
        <f t="shared" si="30"/>
        <v>154.53071166725505</v>
      </c>
      <c r="T78" s="67">
        <f t="shared" si="31"/>
        <v>199.55824288277302</v>
      </c>
      <c r="V78" s="67">
        <f t="shared" si="32"/>
        <v>470.5588993495755</v>
      </c>
      <c r="W78" s="66">
        <v>100</v>
      </c>
      <c r="X78" s="67">
        <f t="shared" si="33"/>
        <v>4.259312386729205</v>
      </c>
      <c r="Y78" s="66">
        <v>100</v>
      </c>
      <c r="Z78" s="67">
        <f t="shared" si="34"/>
        <v>2.809936145749626</v>
      </c>
      <c r="AA78" s="66">
        <v>100</v>
      </c>
      <c r="AB78" s="67">
        <f t="shared" si="35"/>
        <v>2.9434978523542044</v>
      </c>
      <c r="AC78" s="66">
        <v>100</v>
      </c>
      <c r="AD78" s="67">
        <f t="shared" si="36"/>
        <v>29.686391840265223</v>
      </c>
      <c r="AE78" s="66">
        <v>100</v>
      </c>
      <c r="AF78" s="67">
        <f t="shared" si="37"/>
        <v>21.260257220948507</v>
      </c>
      <c r="AG78" s="66">
        <v>100</v>
      </c>
      <c r="AH78" s="67">
        <f t="shared" si="38"/>
        <v>24.19195319529249</v>
      </c>
      <c r="AI78" s="67">
        <f t="shared" si="39"/>
        <v>0.6375087126019</v>
      </c>
      <c r="AJ78" s="66">
        <f t="shared" si="40"/>
        <v>5324.743576985784</v>
      </c>
      <c r="AK78" s="67">
        <f t="shared" si="39"/>
        <v>0.6192751671505564</v>
      </c>
      <c r="AL78" s="66">
        <f t="shared" si="40"/>
        <v>3886.8332921294514</v>
      </c>
      <c r="AM78" s="67">
        <f t="shared" si="39"/>
        <v>1.2768060961915695</v>
      </c>
      <c r="AN78" s="66">
        <f t="shared" si="40"/>
        <v>2125.2601415818544</v>
      </c>
      <c r="AO78" s="66">
        <f>AI78*AJ78/AP78</f>
        <v>0.0192911284554947</v>
      </c>
      <c r="AP78" s="66">
        <f t="shared" si="41"/>
        <v>175965.3630699124</v>
      </c>
      <c r="AQ78" s="66">
        <f>AK78*AL78/AR78</f>
        <v>0.01884630437528262</v>
      </c>
      <c r="AR78" s="66">
        <f t="shared" si="41"/>
        <v>127718.37325447622</v>
      </c>
      <c r="AS78" s="66">
        <f>AM78*AN78/AT78</f>
        <v>0.008343921289340972</v>
      </c>
      <c r="AT78" s="66">
        <f t="shared" si="22"/>
        <v>325212.2126596659</v>
      </c>
      <c r="AU78" s="66">
        <f t="shared" si="42"/>
        <v>0.013539815096423567</v>
      </c>
      <c r="AV78" s="66">
        <f t="shared" si="23"/>
        <v>209631.98299468483</v>
      </c>
    </row>
    <row r="79" spans="2:48" ht="12.75">
      <c r="B79" s="64" t="s">
        <v>100</v>
      </c>
      <c r="D79" s="64" t="s">
        <v>63</v>
      </c>
      <c r="F79" s="67">
        <f t="shared" si="24"/>
        <v>145.74155230902426</v>
      </c>
      <c r="H79" s="67">
        <f t="shared" si="25"/>
        <v>35.50521767121693</v>
      </c>
      <c r="J79" s="67">
        <f t="shared" si="26"/>
        <v>17.003724534146656</v>
      </c>
      <c r="L79" s="67">
        <f t="shared" si="27"/>
        <v>2.240488606229929</v>
      </c>
      <c r="N79" s="67">
        <f t="shared" si="28"/>
        <v>1.0954759315657505</v>
      </c>
      <c r="O79" s="66">
        <v>100</v>
      </c>
      <c r="P79" s="67">
        <f t="shared" si="29"/>
        <v>2.5436302473447236</v>
      </c>
      <c r="Q79" s="66">
        <v>100</v>
      </c>
      <c r="R79" s="67">
        <f t="shared" si="30"/>
        <v>6.234514918989255</v>
      </c>
      <c r="S79" s="66">
        <v>100</v>
      </c>
      <c r="T79" s="67">
        <f t="shared" si="31"/>
        <v>8.393184921246043</v>
      </c>
      <c r="V79" s="67">
        <f t="shared" si="32"/>
        <v>7.528942389593209</v>
      </c>
      <c r="W79" s="66">
        <v>100</v>
      </c>
      <c r="X79" s="67">
        <f t="shared" si="33"/>
        <v>0.0025555874320375227</v>
      </c>
      <c r="Y79" s="66">
        <v>100</v>
      </c>
      <c r="Z79" s="67">
        <f t="shared" si="34"/>
        <v>0.0016859616874497748</v>
      </c>
      <c r="AA79" s="66">
        <v>100</v>
      </c>
      <c r="AB79" s="67">
        <f t="shared" si="35"/>
        <v>0.0017660987114125227</v>
      </c>
      <c r="AC79" s="66">
        <v>100</v>
      </c>
      <c r="AD79" s="67">
        <f t="shared" si="36"/>
        <v>1.828681737360338</v>
      </c>
      <c r="AE79" s="66">
        <v>100</v>
      </c>
      <c r="AF79" s="67">
        <f t="shared" si="37"/>
        <v>1.3096318448104276</v>
      </c>
      <c r="AG79" s="66">
        <v>100</v>
      </c>
      <c r="AH79" s="67">
        <f t="shared" si="38"/>
        <v>0.7197106075599519</v>
      </c>
      <c r="AI79" s="67">
        <f t="shared" si="39"/>
        <v>5.168770464803328</v>
      </c>
      <c r="AJ79" s="66">
        <f t="shared" si="40"/>
        <v>156.04779315903582</v>
      </c>
      <c r="AK79" s="67">
        <f t="shared" si="39"/>
        <v>20.957696968766</v>
      </c>
      <c r="AL79" s="66">
        <f t="shared" si="40"/>
        <v>46.305196330526606</v>
      </c>
      <c r="AM79" s="67">
        <f t="shared" si="39"/>
        <v>11.745929613003442</v>
      </c>
      <c r="AN79" s="66">
        <f t="shared" si="40"/>
        <v>27.797773877355954</v>
      </c>
      <c r="AO79" s="66">
        <f>AI79*AJ79/AP79</f>
        <v>0.06775927783499656</v>
      </c>
      <c r="AP79" s="66">
        <f t="shared" si="41"/>
        <v>11903.539266494072</v>
      </c>
      <c r="AQ79" s="66">
        <f>AK79*AL79/AR79</f>
        <v>0.12223042025630367</v>
      </c>
      <c r="AR79" s="66">
        <f t="shared" si="41"/>
        <v>7939.515144752551</v>
      </c>
      <c r="AS79" s="66">
        <f>AM79*AN79/AT79</f>
        <v>0.015946342977067186</v>
      </c>
      <c r="AT79" s="66">
        <f t="shared" si="22"/>
        <v>20475.584642270118</v>
      </c>
      <c r="AU79" s="66">
        <f t="shared" si="42"/>
        <v>0.052172797542150304</v>
      </c>
      <c r="AV79" s="66">
        <f t="shared" si="23"/>
        <v>13439.546351172248</v>
      </c>
    </row>
    <row r="80" spans="2:48" ht="12.75">
      <c r="B80" s="64" t="s">
        <v>103</v>
      </c>
      <c r="D80" s="64" t="s">
        <v>63</v>
      </c>
      <c r="E80" s="66">
        <v>100</v>
      </c>
      <c r="F80" s="67">
        <f t="shared" si="24"/>
        <v>7.960673025282839</v>
      </c>
      <c r="H80" s="67">
        <f t="shared" si="25"/>
        <v>17.62670380840557</v>
      </c>
      <c r="I80" s="66">
        <v>100</v>
      </c>
      <c r="J80" s="67">
        <f t="shared" si="26"/>
        <v>8.501862267073328</v>
      </c>
      <c r="K80" s="66">
        <v>100</v>
      </c>
      <c r="L80" s="67">
        <f t="shared" si="27"/>
        <v>2.34606136778003</v>
      </c>
      <c r="M80" s="66">
        <v>100</v>
      </c>
      <c r="N80" s="67">
        <f t="shared" si="28"/>
        <v>2.509681401067012</v>
      </c>
      <c r="O80" s="66">
        <v>100</v>
      </c>
      <c r="P80" s="67">
        <f t="shared" si="29"/>
        <v>25.43630247344724</v>
      </c>
      <c r="Q80" s="66">
        <v>100</v>
      </c>
      <c r="R80" s="67">
        <f t="shared" si="30"/>
        <v>52.22072325307239</v>
      </c>
      <c r="S80" s="66">
        <v>100</v>
      </c>
      <c r="T80" s="67">
        <f t="shared" si="31"/>
        <v>56.345856813959436</v>
      </c>
      <c r="U80" s="66">
        <v>100</v>
      </c>
      <c r="V80" s="67">
        <f t="shared" si="32"/>
        <v>58.819862418696935</v>
      </c>
      <c r="W80" s="66">
        <v>100</v>
      </c>
      <c r="X80" s="67">
        <f t="shared" si="33"/>
        <v>1.7037249546916817</v>
      </c>
      <c r="Y80" s="66">
        <v>100</v>
      </c>
      <c r="Z80" s="67">
        <f t="shared" si="34"/>
        <v>1.1239744582998503</v>
      </c>
      <c r="AA80" s="66">
        <v>100</v>
      </c>
      <c r="AB80" s="67">
        <f t="shared" si="35"/>
        <v>0.11773991409416816</v>
      </c>
      <c r="AC80" s="66">
        <v>100</v>
      </c>
      <c r="AD80" s="67">
        <f t="shared" si="36"/>
        <v>11.637065601383965</v>
      </c>
      <c r="AE80" s="66">
        <v>100</v>
      </c>
      <c r="AF80" s="67">
        <f t="shared" si="37"/>
        <v>8.5041028883794</v>
      </c>
      <c r="AG80" s="66">
        <v>100</v>
      </c>
      <c r="AH80" s="67">
        <f t="shared" si="38"/>
        <v>9.57598147313661</v>
      </c>
      <c r="AI80" s="66">
        <f t="shared" si="39"/>
        <v>100</v>
      </c>
      <c r="AJ80" s="66">
        <f t="shared" si="40"/>
        <v>75.8682482022109</v>
      </c>
      <c r="AK80" s="66">
        <f t="shared" si="39"/>
        <v>79.53009123953643</v>
      </c>
      <c r="AL80" s="66">
        <f t="shared" si="40"/>
        <v>86.11031937011127</v>
      </c>
      <c r="AM80" s="66">
        <f t="shared" si="39"/>
        <v>100.00000000000003</v>
      </c>
      <c r="AN80" s="66">
        <f t="shared" si="40"/>
        <v>102.45174854644827</v>
      </c>
      <c r="AO80" s="66"/>
      <c r="AP80" s="66">
        <f t="shared" si="41"/>
        <v>0</v>
      </c>
      <c r="AQ80" s="66"/>
      <c r="AR80" s="66">
        <f t="shared" si="41"/>
        <v>0</v>
      </c>
      <c r="AS80" s="66"/>
      <c r="AT80" s="66">
        <f t="shared" si="22"/>
        <v>0</v>
      </c>
      <c r="AU80" s="66"/>
      <c r="AV80" s="66">
        <f t="shared" si="23"/>
        <v>0</v>
      </c>
    </row>
    <row r="81" spans="2:48" ht="12.75">
      <c r="B81" s="64" t="s">
        <v>104</v>
      </c>
      <c r="D81" s="64" t="s">
        <v>63</v>
      </c>
      <c r="E81" s="66">
        <v>100</v>
      </c>
      <c r="F81" s="67">
        <f t="shared" si="24"/>
        <v>428.6516244383066</v>
      </c>
      <c r="G81" s="66">
        <v>100</v>
      </c>
      <c r="H81" s="67">
        <f t="shared" si="25"/>
        <v>302.17206528695266</v>
      </c>
      <c r="I81" s="66">
        <v>100</v>
      </c>
      <c r="J81" s="67">
        <f t="shared" si="26"/>
        <v>425.0931133536664</v>
      </c>
      <c r="K81" s="66">
        <v>100</v>
      </c>
      <c r="L81" s="67">
        <f t="shared" si="27"/>
        <v>11.730306838900152</v>
      </c>
      <c r="M81" s="66">
        <v>100</v>
      </c>
      <c r="N81" s="67">
        <f t="shared" si="28"/>
        <v>12.548407005335058</v>
      </c>
      <c r="O81" s="66">
        <v>100</v>
      </c>
      <c r="P81" s="67">
        <f t="shared" si="29"/>
        <v>12.71815123672362</v>
      </c>
      <c r="Q81" s="66">
        <v>100</v>
      </c>
      <c r="R81" s="67">
        <f t="shared" si="30"/>
        <v>261.103616265362</v>
      </c>
      <c r="S81" s="66">
        <v>100</v>
      </c>
      <c r="T81" s="67">
        <f t="shared" si="31"/>
        <v>281.7292840697972</v>
      </c>
      <c r="U81" s="66">
        <v>100</v>
      </c>
      <c r="V81" s="67">
        <f t="shared" si="32"/>
        <v>294.09931209348474</v>
      </c>
      <c r="W81" s="66">
        <v>100</v>
      </c>
      <c r="X81" s="67">
        <f t="shared" si="33"/>
        <v>8.51862477345841</v>
      </c>
      <c r="Y81" s="66">
        <v>100</v>
      </c>
      <c r="Z81" s="67">
        <f t="shared" si="34"/>
        <v>0.5619872291499252</v>
      </c>
      <c r="AA81" s="66">
        <v>100</v>
      </c>
      <c r="AB81" s="67">
        <f t="shared" si="35"/>
        <v>0.588699570470841</v>
      </c>
      <c r="AC81" s="66">
        <v>100</v>
      </c>
      <c r="AD81" s="67">
        <f t="shared" si="36"/>
        <v>58.18532800691984</v>
      </c>
      <c r="AE81" s="66">
        <v>100</v>
      </c>
      <c r="AF81" s="67">
        <f t="shared" si="37"/>
        <v>42.520514441897014</v>
      </c>
      <c r="AG81" s="66">
        <v>100</v>
      </c>
      <c r="AH81" s="67">
        <f t="shared" si="38"/>
        <v>48.38390639058498</v>
      </c>
      <c r="AI81" s="66">
        <f t="shared" si="39"/>
        <v>100</v>
      </c>
      <c r="AJ81" s="66">
        <f t="shared" si="40"/>
        <v>768.189500322947</v>
      </c>
      <c r="AK81" s="66">
        <f t="shared" si="39"/>
        <v>100</v>
      </c>
      <c r="AL81" s="66">
        <f t="shared" si="40"/>
        <v>639.5322580331318</v>
      </c>
      <c r="AM81" s="66">
        <f t="shared" si="39"/>
        <v>100</v>
      </c>
      <c r="AN81" s="66">
        <f t="shared" si="40"/>
        <v>780.8831826449306</v>
      </c>
      <c r="AO81" s="66">
        <f>AI81*AJ81/AP81</f>
        <v>49.47648513570089</v>
      </c>
      <c r="AP81" s="66">
        <f t="shared" si="41"/>
        <v>1552.6355564992273</v>
      </c>
      <c r="AQ81" s="66">
        <f>AK81*AL81/AR81</f>
        <v>81.55742503829269</v>
      </c>
      <c r="AR81" s="66">
        <f t="shared" si="41"/>
        <v>784.1496439261781</v>
      </c>
      <c r="AS81" s="66">
        <f>AM81*AN81/AT81</f>
        <v>25.219816711998657</v>
      </c>
      <c r="AT81" s="66">
        <f t="shared" si="22"/>
        <v>3096.3079215140183</v>
      </c>
      <c r="AU81" s="66">
        <f t="shared" si="42"/>
        <v>40.282853466346516</v>
      </c>
      <c r="AV81" s="66">
        <f t="shared" si="23"/>
        <v>1811.0310406464748</v>
      </c>
    </row>
    <row r="82" spans="35:48" ht="12.75">
      <c r="AI82" s="67"/>
      <c r="AJ82" s="66"/>
      <c r="AK82" s="67"/>
      <c r="AL82" s="66"/>
      <c r="AM82" s="67"/>
      <c r="AN82" s="66"/>
      <c r="AO82" s="66"/>
      <c r="AP82" s="66"/>
      <c r="AQ82" s="66"/>
      <c r="AR82" s="66"/>
      <c r="AS82" s="66"/>
      <c r="AT82" s="66"/>
      <c r="AU82" s="66"/>
      <c r="AV82" s="66"/>
    </row>
    <row r="83" spans="2:48" ht="12.75">
      <c r="B83" s="64" t="s">
        <v>64</v>
      </c>
      <c r="D83" s="64" t="s">
        <v>63</v>
      </c>
      <c r="F83" s="67">
        <f>SUM(F78,F76)</f>
        <v>4420.929146617649</v>
      </c>
      <c r="G83" s="66">
        <f>H76/H83*100</f>
        <v>0.25153959580189095</v>
      </c>
      <c r="H83" s="67">
        <f>SUM(H78,H76)</f>
        <v>3483.741740693276</v>
      </c>
      <c r="J83" s="67">
        <f>SUM(J78,J76)</f>
        <v>1543.1487290614311</v>
      </c>
      <c r="L83" s="67">
        <f>SUM(L78,L76)</f>
        <v>746.3994241592167</v>
      </c>
      <c r="N83" s="67">
        <f>SUM(N78,N76)</f>
        <v>201.27644836557434</v>
      </c>
      <c r="O83" s="66">
        <f>P76/P83*100</f>
        <v>0.34762456546929305</v>
      </c>
      <c r="P83" s="67">
        <f>SUM(P78,P76)</f>
        <v>109.75764517292488</v>
      </c>
      <c r="Q83" s="66">
        <f>R76/R83*100</f>
        <v>4.824417459796521</v>
      </c>
      <c r="R83" s="67">
        <f>SUM(R78,R76)</f>
        <v>162.3638201552159</v>
      </c>
      <c r="T83" s="67">
        <f>SUM(T78,T76)</f>
        <v>216.46199992696086</v>
      </c>
      <c r="V83" s="67">
        <f>SUM(V78,V76)</f>
        <v>493.9692045922169</v>
      </c>
      <c r="W83" s="66">
        <v>100</v>
      </c>
      <c r="X83" s="67">
        <f>SUM(X78,X76)/2</f>
        <v>2.2574355649664786</v>
      </c>
      <c r="Y83" s="66">
        <v>100</v>
      </c>
      <c r="Z83" s="67">
        <f>SUM(Z78,Z76)/2</f>
        <v>1.4892661572473018</v>
      </c>
      <c r="AA83" s="66">
        <v>100</v>
      </c>
      <c r="AB83" s="67">
        <f>SUM(AB78,AB76)</f>
        <v>2.9611588394683297</v>
      </c>
      <c r="AC83" s="66">
        <v>100</v>
      </c>
      <c r="AD83" s="67">
        <f>SUM(AD78,AD76)</f>
        <v>31.431951680472817</v>
      </c>
      <c r="AE83" s="66">
        <v>100</v>
      </c>
      <c r="AF83" s="67">
        <f>SUM(AF78,AF76)</f>
        <v>22.52736855131704</v>
      </c>
      <c r="AG83" s="66">
        <v>100</v>
      </c>
      <c r="AH83" s="67">
        <f>SUM(AH78,AH76)</f>
        <v>25.633390406512003</v>
      </c>
      <c r="AI83" s="67">
        <f t="shared" si="39"/>
        <v>0.774184972293908</v>
      </c>
      <c r="AJ83" s="66">
        <f>SUM(X83,AD83,R83,L83,F83)</f>
        <v>5363.3817781775215</v>
      </c>
      <c r="AK83" s="67">
        <f t="shared" si="39"/>
        <v>0.8350439721165359</v>
      </c>
      <c r="AL83" s="66">
        <f>SUM(Z83,AF83,T83,N83,H83)</f>
        <v>3925.4968236943755</v>
      </c>
      <c r="AM83" s="67">
        <f t="shared" si="39"/>
        <v>1.3319462956154031</v>
      </c>
      <c r="AN83" s="66">
        <f>SUM(AB83,AH83,V83,P83,J83)</f>
        <v>2175.470128072553</v>
      </c>
      <c r="AO83" s="66">
        <f>(AO76*AP76+AO78*AP78)/AP83</f>
        <v>0.031206931870609536</v>
      </c>
      <c r="AP83" s="66">
        <f>AP76+AP78</f>
        <v>178553.0889974111</v>
      </c>
      <c r="AQ83" s="66">
        <f>(AQ76*AR76+AQ78*AR78)/AR83</f>
        <v>0.02654638016480854</v>
      </c>
      <c r="AR83" s="66">
        <f>AR76+AR78</f>
        <v>129090.63513134702</v>
      </c>
      <c r="AS83" s="66">
        <f>(AS76*AT76+AS78*AT78)/AT83</f>
        <v>0.008815145931404726</v>
      </c>
      <c r="AT83" s="66">
        <f>AT76+AT78</f>
        <v>328708.04418395594</v>
      </c>
      <c r="AU83" s="66">
        <f>(AU76*AV76+AU78*AV78)/AV83</f>
        <v>0.018694994074416455</v>
      </c>
      <c r="AV83" s="66">
        <f>AVERAGE(AT83,AR83,AP83)</f>
        <v>212117.256104238</v>
      </c>
    </row>
    <row r="84" spans="2:48" ht="12.75">
      <c r="B84" s="64" t="s">
        <v>65</v>
      </c>
      <c r="D84" s="64" t="s">
        <v>63</v>
      </c>
      <c r="E84" s="66">
        <f>F73/F84*100</f>
        <v>6.903765690376572</v>
      </c>
      <c r="F84" s="67">
        <f>SUM(F77,F75,F73)</f>
        <v>2927.0782354501503</v>
      </c>
      <c r="H84" s="67">
        <f>SUM(H77,H75,H73)</f>
        <v>2984.9563849262804</v>
      </c>
      <c r="I84" s="66">
        <f>J73/J84*100</f>
        <v>6.247703050349136</v>
      </c>
      <c r="J84" s="67">
        <f>SUM(J77,J75,J73)</f>
        <v>3304.795318386647</v>
      </c>
      <c r="L84" s="67">
        <f>SUM(L77,L75,L73)</f>
        <v>1310.861789247092</v>
      </c>
      <c r="N84" s="67">
        <f>SUM(N77,N75,N73)</f>
        <v>920.7268156094548</v>
      </c>
      <c r="P84" s="67">
        <f>SUM(P77,P75,P73)</f>
        <v>713.348384716591</v>
      </c>
      <c r="Q84" s="66">
        <f>SUM(R73,R75)/R84*100</f>
        <v>74.61229178632969</v>
      </c>
      <c r="R84" s="67">
        <f>SUM(R77,R75,R73)</f>
        <v>185.54342690530422</v>
      </c>
      <c r="S84" s="66">
        <f>SUM(T73,T75)/T84*100</f>
        <v>65.75342465753424</v>
      </c>
      <c r="T84" s="67">
        <f>SUM(T77,T75,T73)</f>
        <v>222.8009088185313</v>
      </c>
      <c r="U84" s="66">
        <f>V73/V84*100</f>
        <v>60.38647342995169</v>
      </c>
      <c r="V84" s="67">
        <f>SUM(V77,V75,V73)</f>
        <v>243.51423041340536</v>
      </c>
      <c r="W84" s="66">
        <v>100</v>
      </c>
      <c r="X84" s="67">
        <f>SUM(X77,X75,X73)/2</f>
        <v>2.385214936568355</v>
      </c>
      <c r="Y84" s="66">
        <v>100</v>
      </c>
      <c r="Z84" s="67">
        <f>SUM(Z77,Z75,Z73)/2</f>
        <v>1.5735642416197906</v>
      </c>
      <c r="AB84" s="67">
        <f>SUM(AB77,AB75,AB73)</f>
        <v>0.824179398659177</v>
      </c>
      <c r="AC84" s="66">
        <f>SUM(AD73,AD77)/AD84*100</f>
        <v>79.67503692762186</v>
      </c>
      <c r="AD84" s="67">
        <f>SUM(AD77,AD75,AD73)</f>
        <v>40.19537455171911</v>
      </c>
      <c r="AE84" s="66">
        <v>100</v>
      </c>
      <c r="AF84" s="67">
        <f>SUM(AF77,AF75,AF73)</f>
        <v>23.80298398457395</v>
      </c>
      <c r="AG84" s="66">
        <f>SUM(AH75,AH77)/AH84*100</f>
        <v>9.062402006898717</v>
      </c>
      <c r="AH84" s="67">
        <f>SUM(AH77,AH75,AH73)</f>
        <v>32.1450578082449</v>
      </c>
      <c r="AI84" s="67">
        <f t="shared" si="39"/>
        <v>8.395036816012583</v>
      </c>
      <c r="AJ84" s="66">
        <f>SUM(X84,AD84,R84,L84,F84)</f>
        <v>4466.0640410908345</v>
      </c>
      <c r="AK84" s="67">
        <f t="shared" si="39"/>
        <v>4.1377357140959665</v>
      </c>
      <c r="AL84" s="66">
        <f>SUM(Z84,AF84,T84,N84,H84)</f>
        <v>4153.860657580461</v>
      </c>
      <c r="AM84" s="67">
        <f t="shared" si="39"/>
        <v>8.299592820423152</v>
      </c>
      <c r="AN84" s="66">
        <f>SUM(AB84,AH84,V84,P84,J84)</f>
        <v>4294.627170723547</v>
      </c>
      <c r="AO84" s="66">
        <f>(AO73*AP73+AO75*AP75+AO77*AP77)/AP84</f>
        <v>0.246104175235814</v>
      </c>
      <c r="AP84" s="66">
        <f>AP73+AP75+AP77</f>
        <v>151123.19416592474</v>
      </c>
      <c r="AQ84" s="66">
        <f>(AQ73*AR73+AQ75*AR75+AQ77*AR77)/AR84</f>
        <v>0.22107090567412035</v>
      </c>
      <c r="AR84" s="66">
        <f>AR73+AR75+AR77</f>
        <v>75474.40322789464</v>
      </c>
      <c r="AS84" s="66">
        <f>(AS73*AT73+AS75*AT75+AS77*AT77)/AT84</f>
        <v>0.06681112220762157</v>
      </c>
      <c r="AT84" s="66">
        <f>AT73+AT75+AT77</f>
        <v>532065.557996941</v>
      </c>
      <c r="AU84" s="66">
        <f>(AU73*AV73+AU75*AV75+AU77*AV77)/AV84</f>
        <v>0.11787199644320596</v>
      </c>
      <c r="AV84" s="66">
        <f>AVERAGE(AT84,AR84,AP84)</f>
        <v>252887.7184635868</v>
      </c>
    </row>
    <row r="86" spans="2:48" ht="12.75">
      <c r="B86" s="65" t="s">
        <v>208</v>
      </c>
      <c r="F86" s="74" t="s">
        <v>218</v>
      </c>
      <c r="G86" s="75"/>
      <c r="H86" s="74" t="s">
        <v>219</v>
      </c>
      <c r="I86" s="75"/>
      <c r="J86" s="74" t="s">
        <v>220</v>
      </c>
      <c r="K86" s="75"/>
      <c r="L86" s="74" t="s">
        <v>218</v>
      </c>
      <c r="M86" s="75"/>
      <c r="N86" s="74" t="s">
        <v>219</v>
      </c>
      <c r="O86" s="75"/>
      <c r="P86" s="74" t="s">
        <v>220</v>
      </c>
      <c r="Q86" s="75"/>
      <c r="R86" s="74" t="s">
        <v>218</v>
      </c>
      <c r="S86" s="75"/>
      <c r="T86" s="74" t="s">
        <v>219</v>
      </c>
      <c r="U86" s="75"/>
      <c r="V86" s="74" t="s">
        <v>220</v>
      </c>
      <c r="W86" s="75"/>
      <c r="X86" s="74" t="s">
        <v>218</v>
      </c>
      <c r="Y86" s="75"/>
      <c r="Z86" s="74" t="s">
        <v>219</v>
      </c>
      <c r="AA86" s="75"/>
      <c r="AB86" s="74" t="s">
        <v>220</v>
      </c>
      <c r="AC86" s="75"/>
      <c r="AD86" s="74" t="s">
        <v>218</v>
      </c>
      <c r="AE86" s="75"/>
      <c r="AF86" s="74" t="s">
        <v>219</v>
      </c>
      <c r="AG86" s="75"/>
      <c r="AH86" s="74" t="s">
        <v>220</v>
      </c>
      <c r="AI86" s="74"/>
      <c r="AJ86" s="74" t="s">
        <v>218</v>
      </c>
      <c r="AK86" s="75"/>
      <c r="AL86" s="74" t="s">
        <v>219</v>
      </c>
      <c r="AM86" s="75"/>
      <c r="AN86" s="74" t="s">
        <v>220</v>
      </c>
      <c r="AO86" s="74"/>
      <c r="AP86" s="74" t="s">
        <v>218</v>
      </c>
      <c r="AQ86" s="74"/>
      <c r="AR86" s="74" t="s">
        <v>219</v>
      </c>
      <c r="AS86" s="74"/>
      <c r="AT86" s="74" t="s">
        <v>220</v>
      </c>
      <c r="AU86" s="74"/>
      <c r="AV86" s="74" t="s">
        <v>221</v>
      </c>
    </row>
    <row r="88" spans="2:48" ht="12.75">
      <c r="B88" s="12" t="s">
        <v>328</v>
      </c>
      <c r="F88" s="74" t="s">
        <v>331</v>
      </c>
      <c r="G88" s="75"/>
      <c r="H88" s="74" t="s">
        <v>331</v>
      </c>
      <c r="I88" s="75"/>
      <c r="J88" s="74" t="s">
        <v>331</v>
      </c>
      <c r="K88" s="75"/>
      <c r="L88" s="74" t="s">
        <v>333</v>
      </c>
      <c r="M88" s="75"/>
      <c r="N88" s="74" t="s">
        <v>333</v>
      </c>
      <c r="O88" s="75"/>
      <c r="P88" s="74" t="s">
        <v>333</v>
      </c>
      <c r="Q88" s="75"/>
      <c r="R88" s="74" t="s">
        <v>335</v>
      </c>
      <c r="S88" s="75"/>
      <c r="T88" s="74" t="s">
        <v>335</v>
      </c>
      <c r="U88" s="75"/>
      <c r="V88" s="74" t="s">
        <v>335</v>
      </c>
      <c r="W88" s="75"/>
      <c r="X88" s="74" t="s">
        <v>336</v>
      </c>
      <c r="Y88" s="75"/>
      <c r="Z88" s="74" t="s">
        <v>336</v>
      </c>
      <c r="AA88" s="75"/>
      <c r="AB88" s="74" t="s">
        <v>336</v>
      </c>
      <c r="AC88" s="75"/>
      <c r="AD88" s="74" t="s">
        <v>338</v>
      </c>
      <c r="AE88" s="75"/>
      <c r="AF88" s="74" t="s">
        <v>338</v>
      </c>
      <c r="AG88" s="75"/>
      <c r="AH88" s="74" t="s">
        <v>338</v>
      </c>
      <c r="AI88" s="74"/>
      <c r="AJ88" s="74"/>
      <c r="AK88" s="74"/>
      <c r="AL88" s="74"/>
      <c r="AM88" s="74"/>
      <c r="AN88" s="74"/>
      <c r="AO88" s="74"/>
      <c r="AP88" s="74" t="s">
        <v>339</v>
      </c>
      <c r="AQ88" s="74"/>
      <c r="AR88" s="74" t="s">
        <v>339</v>
      </c>
      <c r="AS88" s="74"/>
      <c r="AT88" s="74" t="s">
        <v>339</v>
      </c>
      <c r="AU88" s="74"/>
      <c r="AV88" s="74" t="s">
        <v>339</v>
      </c>
    </row>
    <row r="89" spans="2:48" ht="12.75">
      <c r="B89" s="12" t="s">
        <v>329</v>
      </c>
      <c r="F89" s="64" t="s">
        <v>330</v>
      </c>
      <c r="H89" s="64" t="s">
        <v>330</v>
      </c>
      <c r="J89" s="64" t="s">
        <v>330</v>
      </c>
      <c r="L89" s="64" t="s">
        <v>334</v>
      </c>
      <c r="N89" s="64" t="s">
        <v>334</v>
      </c>
      <c r="P89" s="64" t="s">
        <v>334</v>
      </c>
      <c r="R89" s="64" t="s">
        <v>334</v>
      </c>
      <c r="T89" s="64" t="s">
        <v>334</v>
      </c>
      <c r="V89" s="64" t="s">
        <v>334</v>
      </c>
      <c r="X89" s="64" t="s">
        <v>334</v>
      </c>
      <c r="Z89" s="64" t="s">
        <v>334</v>
      </c>
      <c r="AB89" s="64" t="s">
        <v>334</v>
      </c>
      <c r="AD89" s="64" t="s">
        <v>337</v>
      </c>
      <c r="AF89" s="64" t="s">
        <v>337</v>
      </c>
      <c r="AH89" s="64" t="s">
        <v>337</v>
      </c>
      <c r="AP89" s="64" t="s">
        <v>24</v>
      </c>
      <c r="AR89" s="64" t="s">
        <v>24</v>
      </c>
      <c r="AT89" s="64" t="s">
        <v>24</v>
      </c>
      <c r="AV89" s="64" t="s">
        <v>24</v>
      </c>
    </row>
    <row r="90" spans="2:48" ht="12.75">
      <c r="B90" s="12" t="s">
        <v>345</v>
      </c>
      <c r="AJ90" s="64" t="s">
        <v>73</v>
      </c>
      <c r="AL90" s="64" t="s">
        <v>73</v>
      </c>
      <c r="AN90" s="64" t="s">
        <v>73</v>
      </c>
      <c r="AP90" s="64" t="s">
        <v>24</v>
      </c>
      <c r="AR90" s="64" t="s">
        <v>24</v>
      </c>
      <c r="AT90" s="64" t="s">
        <v>24</v>
      </c>
      <c r="AV90" s="64" t="s">
        <v>24</v>
      </c>
    </row>
    <row r="91" spans="2:49" ht="12.75">
      <c r="B91" s="12" t="s">
        <v>46</v>
      </c>
      <c r="F91" s="64" t="s">
        <v>229</v>
      </c>
      <c r="H91" s="64" t="s">
        <v>229</v>
      </c>
      <c r="J91" s="64" t="s">
        <v>229</v>
      </c>
      <c r="L91" s="64" t="s">
        <v>230</v>
      </c>
      <c r="N91" s="64" t="s">
        <v>230</v>
      </c>
      <c r="P91" s="64" t="s">
        <v>230</v>
      </c>
      <c r="R91" s="64" t="s">
        <v>231</v>
      </c>
      <c r="T91" s="64" t="s">
        <v>231</v>
      </c>
      <c r="V91" s="64" t="s">
        <v>231</v>
      </c>
      <c r="X91" s="64" t="s">
        <v>232</v>
      </c>
      <c r="Z91" s="64" t="s">
        <v>232</v>
      </c>
      <c r="AB91" s="64" t="s">
        <v>232</v>
      </c>
      <c r="AD91" s="64" t="s">
        <v>233</v>
      </c>
      <c r="AF91" s="64" t="s">
        <v>233</v>
      </c>
      <c r="AH91" s="64" t="s">
        <v>233</v>
      </c>
      <c r="AP91" s="64" t="s">
        <v>24</v>
      </c>
      <c r="AR91" s="64" t="s">
        <v>24</v>
      </c>
      <c r="AT91" s="64" t="s">
        <v>24</v>
      </c>
      <c r="AV91" s="64" t="s">
        <v>24</v>
      </c>
      <c r="AW91" s="64" t="s">
        <v>357</v>
      </c>
    </row>
    <row r="92" spans="1:34" ht="12.75">
      <c r="A92" s="64" t="s">
        <v>208</v>
      </c>
      <c r="B92" s="64" t="s">
        <v>235</v>
      </c>
      <c r="D92" s="64" t="s">
        <v>54</v>
      </c>
      <c r="F92" s="66">
        <v>4457</v>
      </c>
      <c r="H92" s="66">
        <v>834.6</v>
      </c>
      <c r="J92" s="66">
        <v>5203</v>
      </c>
      <c r="L92" s="66">
        <v>1195.2</v>
      </c>
      <c r="N92" s="66">
        <v>931.2</v>
      </c>
      <c r="P92" s="66">
        <v>588.6</v>
      </c>
      <c r="R92" s="66">
        <v>5946.6</v>
      </c>
      <c r="T92" s="66">
        <v>6300</v>
      </c>
      <c r="V92" s="66">
        <v>3244.8</v>
      </c>
      <c r="X92" s="66">
        <v>906</v>
      </c>
      <c r="Z92" s="66">
        <v>754.8</v>
      </c>
      <c r="AB92" s="66">
        <v>526.2</v>
      </c>
      <c r="AD92" s="66">
        <v>750</v>
      </c>
      <c r="AF92" s="66">
        <v>265.8</v>
      </c>
      <c r="AH92" s="66">
        <v>217.2</v>
      </c>
    </row>
    <row r="93" spans="1:34" ht="12.75">
      <c r="A93" s="64" t="s">
        <v>208</v>
      </c>
      <c r="B93" s="64" t="s">
        <v>236</v>
      </c>
      <c r="D93" s="64" t="s">
        <v>48</v>
      </c>
      <c r="F93" s="66">
        <v>200</v>
      </c>
      <c r="H93" s="66">
        <v>200</v>
      </c>
      <c r="J93" s="66">
        <v>200</v>
      </c>
      <c r="L93" s="66">
        <v>200</v>
      </c>
      <c r="N93" s="66">
        <v>200</v>
      </c>
      <c r="P93" s="66">
        <v>200</v>
      </c>
      <c r="R93" s="66">
        <v>11087</v>
      </c>
      <c r="T93" s="66">
        <v>10845</v>
      </c>
      <c r="V93" s="66">
        <v>11103</v>
      </c>
      <c r="X93" s="66">
        <v>3515</v>
      </c>
      <c r="Z93" s="66">
        <v>3323</v>
      </c>
      <c r="AB93" s="66">
        <v>5314</v>
      </c>
      <c r="AD93" s="66">
        <v>200</v>
      </c>
      <c r="AF93" s="66">
        <v>200</v>
      </c>
      <c r="AH93" s="66">
        <v>200</v>
      </c>
    </row>
    <row r="94" spans="1:34" ht="12.75">
      <c r="A94" s="64" t="s">
        <v>208</v>
      </c>
      <c r="B94" s="64" t="s">
        <v>49</v>
      </c>
      <c r="D94" s="64" t="s">
        <v>238</v>
      </c>
      <c r="F94" s="64">
        <v>82.04</v>
      </c>
      <c r="H94" s="64">
        <v>84.36</v>
      </c>
      <c r="J94" s="64">
        <v>70.02</v>
      </c>
      <c r="L94" s="64">
        <v>2.89</v>
      </c>
      <c r="N94" s="64">
        <v>2.72</v>
      </c>
      <c r="P94" s="64">
        <v>2.73</v>
      </c>
      <c r="R94" s="64">
        <v>0.11</v>
      </c>
      <c r="T94" s="64">
        <v>0.29</v>
      </c>
      <c r="V94" s="64">
        <v>0.28</v>
      </c>
      <c r="X94" s="64">
        <v>0.13</v>
      </c>
      <c r="Z94" s="64">
        <v>0.02</v>
      </c>
      <c r="AB94" s="64">
        <v>0.16</v>
      </c>
      <c r="AD94" s="64">
        <v>0.27</v>
      </c>
      <c r="AF94" s="64">
        <v>0.27</v>
      </c>
      <c r="AH94" s="64">
        <v>0.04</v>
      </c>
    </row>
    <row r="95" spans="1:49" ht="12.75">
      <c r="A95" s="64" t="s">
        <v>208</v>
      </c>
      <c r="B95" s="64" t="s">
        <v>50</v>
      </c>
      <c r="D95" s="64" t="s">
        <v>54</v>
      </c>
      <c r="AP95">
        <v>1543.5</v>
      </c>
      <c r="AQ95"/>
      <c r="AR95" s="64">
        <v>2070.9</v>
      </c>
      <c r="AS95"/>
      <c r="AT95">
        <v>1533.2</v>
      </c>
      <c r="AW95" s="64" t="s">
        <v>54</v>
      </c>
    </row>
    <row r="96" spans="1:49" ht="12.75">
      <c r="A96" s="64" t="s">
        <v>208</v>
      </c>
      <c r="B96" s="64" t="s">
        <v>95</v>
      </c>
      <c r="D96" s="64" t="s">
        <v>239</v>
      </c>
      <c r="F96" s="64">
        <v>4.8</v>
      </c>
      <c r="H96" s="64">
        <v>9.9</v>
      </c>
      <c r="I96" s="66" t="s">
        <v>161</v>
      </c>
      <c r="J96" s="64">
        <v>3.9</v>
      </c>
      <c r="K96" s="66" t="s">
        <v>161</v>
      </c>
      <c r="L96" s="64">
        <v>3</v>
      </c>
      <c r="N96" s="64">
        <v>5.0458289891384</v>
      </c>
      <c r="P96" s="64">
        <v>0.04704283818851359</v>
      </c>
      <c r="Q96" s="66" t="s">
        <v>161</v>
      </c>
      <c r="R96" s="64">
        <v>2.9</v>
      </c>
      <c r="S96" s="66" t="s">
        <v>161</v>
      </c>
      <c r="T96" s="64">
        <v>3</v>
      </c>
      <c r="U96" s="66" t="s">
        <v>161</v>
      </c>
      <c r="V96" s="64">
        <v>3</v>
      </c>
      <c r="W96" s="66" t="s">
        <v>161</v>
      </c>
      <c r="X96" s="64">
        <v>2.55</v>
      </c>
      <c r="Y96" s="66" t="s">
        <v>161</v>
      </c>
      <c r="Z96" s="64">
        <v>3</v>
      </c>
      <c r="AA96" s="66" t="s">
        <v>161</v>
      </c>
      <c r="AB96" s="64">
        <v>2.9</v>
      </c>
      <c r="AC96" s="66" t="s">
        <v>161</v>
      </c>
      <c r="AD96" s="64">
        <v>2.9</v>
      </c>
      <c r="AE96" s="66" t="s">
        <v>161</v>
      </c>
      <c r="AF96" s="64">
        <v>3</v>
      </c>
      <c r="AG96" s="66" t="s">
        <v>161</v>
      </c>
      <c r="AH96" s="64">
        <v>2.9</v>
      </c>
      <c r="AP96">
        <v>0.31</v>
      </c>
      <c r="AQ96"/>
      <c r="AR96" s="64">
        <v>0.31</v>
      </c>
      <c r="AS96"/>
      <c r="AT96">
        <v>0.08</v>
      </c>
      <c r="AW96" s="64" t="s">
        <v>54</v>
      </c>
    </row>
    <row r="97" spans="1:49" ht="12.75">
      <c r="A97" s="64" t="s">
        <v>208</v>
      </c>
      <c r="B97" s="64" t="s">
        <v>96</v>
      </c>
      <c r="D97" s="64" t="s">
        <v>239</v>
      </c>
      <c r="F97" s="64">
        <v>63</v>
      </c>
      <c r="H97" s="64">
        <v>190</v>
      </c>
      <c r="J97" s="64">
        <v>32</v>
      </c>
      <c r="L97" s="64">
        <v>18</v>
      </c>
      <c r="N97" s="64">
        <v>21.76632112961666</v>
      </c>
      <c r="P97" s="64">
        <v>1.862112344962</v>
      </c>
      <c r="Q97" s="66" t="s">
        <v>161</v>
      </c>
      <c r="R97" s="64">
        <v>2.4</v>
      </c>
      <c r="S97" s="66" t="s">
        <v>161</v>
      </c>
      <c r="T97" s="64">
        <v>2.5</v>
      </c>
      <c r="U97" s="66" t="s">
        <v>161</v>
      </c>
      <c r="V97" s="64">
        <v>2.5</v>
      </c>
      <c r="W97" s="66" t="s">
        <v>161</v>
      </c>
      <c r="X97" s="64">
        <v>1.5</v>
      </c>
      <c r="Y97" s="66" t="s">
        <v>161</v>
      </c>
      <c r="Z97" s="64">
        <v>2.5</v>
      </c>
      <c r="AA97" s="66" t="s">
        <v>161</v>
      </c>
      <c r="AB97" s="64">
        <v>2.4</v>
      </c>
      <c r="AC97" s="66" t="s">
        <v>161</v>
      </c>
      <c r="AD97" s="64">
        <v>2.4</v>
      </c>
      <c r="AF97" s="64">
        <v>4</v>
      </c>
      <c r="AH97" s="64">
        <v>3.8</v>
      </c>
      <c r="AP97">
        <v>1.46</v>
      </c>
      <c r="AQ97"/>
      <c r="AR97" s="64">
        <v>1.55</v>
      </c>
      <c r="AS97"/>
      <c r="AT97">
        <v>0.66</v>
      </c>
      <c r="AW97" s="64" t="s">
        <v>54</v>
      </c>
    </row>
    <row r="98" spans="1:49" ht="12.75">
      <c r="A98" s="64" t="s">
        <v>208</v>
      </c>
      <c r="B98" s="64" t="s">
        <v>97</v>
      </c>
      <c r="D98" s="64" t="s">
        <v>239</v>
      </c>
      <c r="F98" s="64">
        <v>313</v>
      </c>
      <c r="H98" s="64">
        <v>690</v>
      </c>
      <c r="J98" s="64">
        <v>312</v>
      </c>
      <c r="L98" s="64">
        <v>1.39</v>
      </c>
      <c r="N98" s="64">
        <v>6.252870433598968</v>
      </c>
      <c r="P98" s="64">
        <v>0.4194653071809128</v>
      </c>
      <c r="R98" s="64">
        <v>8.78</v>
      </c>
      <c r="T98" s="64">
        <v>47.5</v>
      </c>
      <c r="V98" s="64">
        <v>49.9</v>
      </c>
      <c r="X98" s="64">
        <v>0.556</v>
      </c>
      <c r="Z98" s="64">
        <v>470</v>
      </c>
      <c r="AB98" s="64">
        <v>597</v>
      </c>
      <c r="AD98" s="64">
        <v>0.24</v>
      </c>
      <c r="AF98" s="64">
        <v>0.599</v>
      </c>
      <c r="AH98" s="64">
        <v>0.428</v>
      </c>
      <c r="AP98">
        <v>5.68</v>
      </c>
      <c r="AQ98"/>
      <c r="AR98" s="64">
        <v>6.33</v>
      </c>
      <c r="AS98"/>
      <c r="AT98">
        <v>3.34</v>
      </c>
      <c r="AW98" s="64" t="s">
        <v>54</v>
      </c>
    </row>
    <row r="99" spans="1:49" ht="12.75">
      <c r="A99" s="64" t="s">
        <v>208</v>
      </c>
      <c r="B99" s="64" t="s">
        <v>98</v>
      </c>
      <c r="D99" s="64" t="s">
        <v>239</v>
      </c>
      <c r="F99" s="64">
        <v>47.3</v>
      </c>
      <c r="H99" s="64">
        <v>56.9</v>
      </c>
      <c r="J99" s="64">
        <v>38.2</v>
      </c>
      <c r="L99" s="64">
        <v>0.547</v>
      </c>
      <c r="N99" s="64">
        <v>0.7301611360753225</v>
      </c>
      <c r="P99" s="64">
        <v>0.050963074704223</v>
      </c>
      <c r="R99" s="64">
        <v>0.096</v>
      </c>
      <c r="T99" s="64">
        <v>0.544</v>
      </c>
      <c r="V99" s="64">
        <v>0.346</v>
      </c>
      <c r="W99" s="66" t="s">
        <v>161</v>
      </c>
      <c r="X99" s="64">
        <v>2.69</v>
      </c>
      <c r="Z99" s="64">
        <v>2.81</v>
      </c>
      <c r="AB99" s="64">
        <v>4.41</v>
      </c>
      <c r="AC99" s="66" t="s">
        <v>161</v>
      </c>
      <c r="AD99" s="64">
        <v>0.096</v>
      </c>
      <c r="AF99" s="64">
        <v>0.15</v>
      </c>
      <c r="AH99" s="64">
        <v>0.19</v>
      </c>
      <c r="AP99">
        <v>0</v>
      </c>
      <c r="AQ99"/>
      <c r="AR99" s="64">
        <v>0</v>
      </c>
      <c r="AS99"/>
      <c r="AT99">
        <v>0</v>
      </c>
      <c r="AW99" s="64" t="s">
        <v>54</v>
      </c>
    </row>
    <row r="100" spans="1:49" ht="12.75">
      <c r="A100" s="64" t="s">
        <v>208</v>
      </c>
      <c r="B100" s="64" t="s">
        <v>99</v>
      </c>
      <c r="D100" s="64" t="s">
        <v>239</v>
      </c>
      <c r="F100" s="64">
        <v>0.172</v>
      </c>
      <c r="G100" s="66" t="s">
        <v>161</v>
      </c>
      <c r="H100" s="64">
        <v>0.177</v>
      </c>
      <c r="J100" s="64">
        <v>0.244</v>
      </c>
      <c r="K100" s="66" t="s">
        <v>161</v>
      </c>
      <c r="L100" s="64">
        <v>0.149</v>
      </c>
      <c r="N100" s="64">
        <v>0.4986466295148544</v>
      </c>
      <c r="P100" s="64">
        <v>0.026461596481038893</v>
      </c>
      <c r="R100" s="64">
        <v>0.384</v>
      </c>
      <c r="T100" s="64">
        <v>0.692</v>
      </c>
      <c r="V100" s="64">
        <v>0.791</v>
      </c>
      <c r="W100" s="66" t="s">
        <v>161</v>
      </c>
      <c r="X100" s="64">
        <v>5.62</v>
      </c>
      <c r="Z100" s="64">
        <v>6.31</v>
      </c>
      <c r="AB100" s="64">
        <v>9.17</v>
      </c>
      <c r="AC100" s="66" t="s">
        <v>161</v>
      </c>
      <c r="AD100" s="64">
        <v>0.144</v>
      </c>
      <c r="AE100" s="66" t="s">
        <v>161</v>
      </c>
      <c r="AF100" s="64">
        <v>0.15</v>
      </c>
      <c r="AG100" s="66" t="s">
        <v>161</v>
      </c>
      <c r="AH100" s="64">
        <v>0.143</v>
      </c>
      <c r="AP100">
        <v>1.44</v>
      </c>
      <c r="AQ100"/>
      <c r="AR100" s="64">
        <v>1.73</v>
      </c>
      <c r="AS100"/>
      <c r="AT100">
        <v>0.79</v>
      </c>
      <c r="AW100" s="64" t="s">
        <v>54</v>
      </c>
    </row>
    <row r="101" spans="1:49" ht="12.75">
      <c r="A101" s="64" t="s">
        <v>208</v>
      </c>
      <c r="B101" s="64" t="s">
        <v>112</v>
      </c>
      <c r="D101" s="64" t="s">
        <v>239</v>
      </c>
      <c r="F101" s="64">
        <v>42.9</v>
      </c>
      <c r="H101" s="64">
        <v>87.9</v>
      </c>
      <c r="J101" s="64">
        <v>54.4</v>
      </c>
      <c r="L101" s="64">
        <v>39.3</v>
      </c>
      <c r="N101" s="64">
        <v>51.942357241130665</v>
      </c>
      <c r="P101" s="64">
        <v>4.586676723380075</v>
      </c>
      <c r="R101" s="64">
        <v>2.01</v>
      </c>
      <c r="T101" s="64">
        <v>6.28</v>
      </c>
      <c r="V101" s="64">
        <v>6.47</v>
      </c>
      <c r="X101" s="64">
        <v>63.7</v>
      </c>
      <c r="Z101" s="64">
        <v>74.4</v>
      </c>
      <c r="AB101" s="64">
        <v>125</v>
      </c>
      <c r="AC101" s="66" t="s">
        <v>161</v>
      </c>
      <c r="AD101" s="64">
        <v>0.192</v>
      </c>
      <c r="AE101" s="66" t="s">
        <v>161</v>
      </c>
      <c r="AF101" s="64">
        <v>0.2</v>
      </c>
      <c r="AH101" s="64">
        <v>0.238</v>
      </c>
      <c r="AP101">
        <v>22.77</v>
      </c>
      <c r="AQ101"/>
      <c r="AR101" s="64">
        <v>17.06</v>
      </c>
      <c r="AS101"/>
      <c r="AT101">
        <v>8.02</v>
      </c>
      <c r="AW101" s="64" t="s">
        <v>54</v>
      </c>
    </row>
    <row r="102" spans="1:49" ht="12.75">
      <c r="A102" s="64" t="s">
        <v>208</v>
      </c>
      <c r="B102" s="64" t="s">
        <v>94</v>
      </c>
      <c r="D102" s="64" t="s">
        <v>239</v>
      </c>
      <c r="F102" s="64">
        <v>250</v>
      </c>
      <c r="H102" s="64">
        <v>530</v>
      </c>
      <c r="J102" s="64">
        <v>140</v>
      </c>
      <c r="L102" s="64">
        <v>9.5</v>
      </c>
      <c r="N102" s="64">
        <v>14.840673497466</v>
      </c>
      <c r="P102" s="64">
        <v>1.1760709547128396</v>
      </c>
      <c r="R102" s="64">
        <v>5.3</v>
      </c>
      <c r="T102" s="64">
        <v>19</v>
      </c>
      <c r="V102" s="64">
        <v>20</v>
      </c>
      <c r="W102" s="66" t="s">
        <v>161</v>
      </c>
      <c r="X102" s="64">
        <v>155</v>
      </c>
      <c r="Z102" s="64">
        <v>180</v>
      </c>
      <c r="AB102" s="64">
        <v>330</v>
      </c>
      <c r="AC102" s="66" t="s">
        <v>161</v>
      </c>
      <c r="AD102" s="64">
        <v>2.4</v>
      </c>
      <c r="AE102" s="66" t="s">
        <v>161</v>
      </c>
      <c r="AF102" s="64">
        <v>2.5</v>
      </c>
      <c r="AH102" s="64">
        <v>2.9</v>
      </c>
      <c r="AP102">
        <v>51.09</v>
      </c>
      <c r="AQ102"/>
      <c r="AR102" s="64">
        <v>40.19</v>
      </c>
      <c r="AS102"/>
      <c r="AT102">
        <v>2.56</v>
      </c>
      <c r="AW102" s="64" t="s">
        <v>54</v>
      </c>
    </row>
    <row r="103" spans="1:49" ht="12.75">
      <c r="A103" s="64" t="s">
        <v>208</v>
      </c>
      <c r="B103" s="64" t="s">
        <v>100</v>
      </c>
      <c r="D103" s="64" t="s">
        <v>239</v>
      </c>
      <c r="F103" s="64">
        <v>0.366</v>
      </c>
      <c r="H103" s="64">
        <v>2.74</v>
      </c>
      <c r="J103" s="64">
        <v>3.41</v>
      </c>
      <c r="L103" s="64">
        <v>4.02</v>
      </c>
      <c r="N103" s="64">
        <v>1.226829009123848</v>
      </c>
      <c r="P103" s="64">
        <v>0.06860413902491566</v>
      </c>
      <c r="R103" s="64">
        <v>0.468</v>
      </c>
      <c r="T103" s="64">
        <v>0.354</v>
      </c>
      <c r="V103" s="64">
        <v>0.217</v>
      </c>
      <c r="W103" s="66" t="s">
        <v>161</v>
      </c>
      <c r="X103" s="64">
        <v>0.362</v>
      </c>
      <c r="Y103" s="66" t="s">
        <v>161</v>
      </c>
      <c r="Z103" s="64">
        <v>0.2</v>
      </c>
      <c r="AB103" s="64">
        <v>0.496</v>
      </c>
      <c r="AC103" s="66" t="s">
        <v>161</v>
      </c>
      <c r="AD103" s="64">
        <v>0.154</v>
      </c>
      <c r="AE103" s="66" t="s">
        <v>161</v>
      </c>
      <c r="AF103" s="64">
        <v>0.125</v>
      </c>
      <c r="AG103" s="66" t="s">
        <v>161</v>
      </c>
      <c r="AH103" s="64">
        <v>0.0952</v>
      </c>
      <c r="AP103">
        <v>1.02</v>
      </c>
      <c r="AQ103"/>
      <c r="AR103" s="64">
        <v>1.21</v>
      </c>
      <c r="AS103"/>
      <c r="AT103">
        <v>0.57</v>
      </c>
      <c r="AV103" s="67"/>
      <c r="AW103" s="64" t="s">
        <v>54</v>
      </c>
    </row>
    <row r="104" spans="1:49" ht="12.75">
      <c r="A104" s="64" t="s">
        <v>208</v>
      </c>
      <c r="B104" s="64" t="s">
        <v>103</v>
      </c>
      <c r="D104" s="64" t="s">
        <v>239</v>
      </c>
      <c r="F104" s="64">
        <v>6.7</v>
      </c>
      <c r="H104" s="64">
        <v>6.8</v>
      </c>
      <c r="J104" s="64">
        <v>3.3</v>
      </c>
      <c r="K104" s="66" t="s">
        <v>161</v>
      </c>
      <c r="L104" s="64">
        <v>1</v>
      </c>
      <c r="M104" s="66" t="s">
        <v>161</v>
      </c>
      <c r="N104" s="64">
        <v>0.19787564663287874</v>
      </c>
      <c r="O104" s="66" t="s">
        <v>161</v>
      </c>
      <c r="P104" s="64">
        <v>0.01960118257854733</v>
      </c>
      <c r="Q104" s="66" t="s">
        <v>161</v>
      </c>
      <c r="R104" s="64">
        <v>0.96</v>
      </c>
      <c r="S104" s="66" t="s">
        <v>161</v>
      </c>
      <c r="T104" s="64">
        <v>0.99</v>
      </c>
      <c r="U104" s="66" t="s">
        <v>161</v>
      </c>
      <c r="V104" s="64">
        <v>1.5</v>
      </c>
      <c r="W104" s="66" t="s">
        <v>161</v>
      </c>
      <c r="X104" s="64">
        <v>1.1</v>
      </c>
      <c r="Y104" s="66" t="s">
        <v>161</v>
      </c>
      <c r="Z104" s="64">
        <v>0.99</v>
      </c>
      <c r="AB104" s="64">
        <v>1.5</v>
      </c>
      <c r="AC104" s="66" t="s">
        <v>161</v>
      </c>
      <c r="AD104" s="64">
        <v>0.96</v>
      </c>
      <c r="AE104" s="66" t="s">
        <v>161</v>
      </c>
      <c r="AF104" s="64">
        <v>1</v>
      </c>
      <c r="AG104" s="66" t="s">
        <v>161</v>
      </c>
      <c r="AH104" s="64">
        <v>0.95</v>
      </c>
      <c r="AP104">
        <v>0</v>
      </c>
      <c r="AQ104"/>
      <c r="AR104" s="64">
        <v>0</v>
      </c>
      <c r="AS104"/>
      <c r="AT104">
        <v>0</v>
      </c>
      <c r="AW104" s="64" t="s">
        <v>54</v>
      </c>
    </row>
    <row r="105" spans="1:49" ht="12.75">
      <c r="A105" s="64" t="s">
        <v>208</v>
      </c>
      <c r="B105" s="64" t="s">
        <v>104</v>
      </c>
      <c r="D105" s="64" t="s">
        <v>239</v>
      </c>
      <c r="E105" s="66" t="s">
        <v>161</v>
      </c>
      <c r="F105" s="64">
        <v>5.7</v>
      </c>
      <c r="G105" s="66" t="s">
        <v>161</v>
      </c>
      <c r="H105" s="64">
        <v>5.9</v>
      </c>
      <c r="I105" s="66" t="s">
        <v>161</v>
      </c>
      <c r="J105" s="64">
        <v>6.1</v>
      </c>
      <c r="K105" s="66" t="s">
        <v>161</v>
      </c>
      <c r="L105" s="64">
        <v>5</v>
      </c>
      <c r="M105" s="66" t="s">
        <v>161</v>
      </c>
      <c r="N105" s="64">
        <v>0.9893782331643937</v>
      </c>
      <c r="O105" s="66" t="s">
        <v>161</v>
      </c>
      <c r="P105" s="64">
        <v>0.09800591289273665</v>
      </c>
      <c r="Q105" s="66" t="s">
        <v>161</v>
      </c>
      <c r="R105" s="64">
        <v>4.8</v>
      </c>
      <c r="S105" s="66" t="s">
        <v>161</v>
      </c>
      <c r="T105" s="64">
        <v>4.9</v>
      </c>
      <c r="U105" s="66" t="s">
        <v>161</v>
      </c>
      <c r="V105" s="64">
        <v>4.9</v>
      </c>
      <c r="W105" s="66" t="s">
        <v>161</v>
      </c>
      <c r="X105" s="64">
        <v>3</v>
      </c>
      <c r="Y105" s="66" t="s">
        <v>161</v>
      </c>
      <c r="Z105" s="64">
        <v>4.9</v>
      </c>
      <c r="AA105" s="66" t="s">
        <v>161</v>
      </c>
      <c r="AB105" s="64">
        <v>4.9</v>
      </c>
      <c r="AC105" s="66" t="s">
        <v>161</v>
      </c>
      <c r="AD105" s="64">
        <v>4.8</v>
      </c>
      <c r="AE105" s="66" t="s">
        <v>161</v>
      </c>
      <c r="AF105" s="64">
        <v>5</v>
      </c>
      <c r="AG105" s="66" t="s">
        <v>161</v>
      </c>
      <c r="AH105" s="64">
        <v>4.8</v>
      </c>
      <c r="AP105">
        <v>0.15</v>
      </c>
      <c r="AQ105"/>
      <c r="AR105">
        <v>0.31</v>
      </c>
      <c r="AS105"/>
      <c r="AT105">
        <v>0.08</v>
      </c>
      <c r="AW105" s="64" t="s">
        <v>54</v>
      </c>
    </row>
    <row r="107" spans="2:46" ht="12.75">
      <c r="B107" s="62" t="s">
        <v>69</v>
      </c>
      <c r="D107" s="62" t="s">
        <v>16</v>
      </c>
      <c r="F107" s="66">
        <f>'emiss 2'!$G$122</f>
        <v>31476</v>
      </c>
      <c r="H107" s="66">
        <f>'emiss 2'!$I$122</f>
        <v>34124</v>
      </c>
      <c r="J107" s="66">
        <f>'emiss 2'!$K$122</f>
        <v>33108</v>
      </c>
      <c r="L107" s="66">
        <f>'emiss 2'!$G$122</f>
        <v>31476</v>
      </c>
      <c r="N107" s="66">
        <f>'emiss 2'!$I$122</f>
        <v>34124</v>
      </c>
      <c r="P107" s="66">
        <f>'emiss 2'!$K$122</f>
        <v>33108</v>
      </c>
      <c r="R107" s="66">
        <f>'emiss 2'!$G$122</f>
        <v>31476</v>
      </c>
      <c r="T107" s="66">
        <f>'emiss 2'!$I$122</f>
        <v>34124</v>
      </c>
      <c r="V107" s="66">
        <f>'emiss 2'!$K$122</f>
        <v>33108</v>
      </c>
      <c r="X107" s="66">
        <f>'emiss 2'!$G$122</f>
        <v>31476</v>
      </c>
      <c r="Z107" s="66">
        <f>'emiss 2'!$I$122</f>
        <v>34124</v>
      </c>
      <c r="AB107" s="66">
        <f>'emiss 2'!$K$122</f>
        <v>33108</v>
      </c>
      <c r="AD107" s="66">
        <f>'emiss 2'!$G$122</f>
        <v>31476</v>
      </c>
      <c r="AF107" s="66">
        <f>'emiss 2'!$I$122</f>
        <v>34124</v>
      </c>
      <c r="AH107" s="66">
        <f>'emiss 2'!$K$122</f>
        <v>33108</v>
      </c>
      <c r="AI107" s="66"/>
      <c r="AJ107" s="66"/>
      <c r="AK107" s="66"/>
      <c r="AL107" s="66"/>
      <c r="AM107" s="66"/>
      <c r="AN107" s="66"/>
      <c r="AO107" s="66"/>
      <c r="AP107" s="66">
        <f>'emiss 2'!$G$122</f>
        <v>31476</v>
      </c>
      <c r="AQ107" s="66"/>
      <c r="AR107" s="66">
        <f>'emiss 2'!$I$122</f>
        <v>34124</v>
      </c>
      <c r="AS107" s="66"/>
      <c r="AT107" s="66">
        <f>'emiss 2'!$K$122</f>
        <v>33108</v>
      </c>
    </row>
    <row r="108" spans="2:46" ht="12.75">
      <c r="B108" s="62" t="s">
        <v>70</v>
      </c>
      <c r="D108" s="62" t="s">
        <v>17</v>
      </c>
      <c r="F108" s="67">
        <f>'emiss 2'!$G$123</f>
        <v>8.06</v>
      </c>
      <c r="G108" s="67"/>
      <c r="H108" s="67">
        <f>'emiss 2'!$I$123</f>
        <v>9.9</v>
      </c>
      <c r="I108" s="67"/>
      <c r="J108" s="67">
        <f>'emiss 2'!$K$123</f>
        <v>12.17</v>
      </c>
      <c r="L108" s="67">
        <f>'emiss 2'!$G$123</f>
        <v>8.06</v>
      </c>
      <c r="M108" s="67"/>
      <c r="N108" s="67">
        <f>'emiss 2'!$I$123</f>
        <v>9.9</v>
      </c>
      <c r="O108" s="67"/>
      <c r="P108" s="67">
        <f>'emiss 2'!$K$123</f>
        <v>12.17</v>
      </c>
      <c r="R108" s="67">
        <f>'emiss 2'!$G$123</f>
        <v>8.06</v>
      </c>
      <c r="S108" s="67"/>
      <c r="T108" s="67">
        <f>'emiss 2'!$I$123</f>
        <v>9.9</v>
      </c>
      <c r="U108" s="67"/>
      <c r="V108" s="67">
        <f>'emiss 2'!$K$123</f>
        <v>12.17</v>
      </c>
      <c r="X108" s="67">
        <f>'emiss 2'!$G$123</f>
        <v>8.06</v>
      </c>
      <c r="Y108" s="67"/>
      <c r="Z108" s="67">
        <f>'emiss 2'!$I$123</f>
        <v>9.9</v>
      </c>
      <c r="AA108" s="67"/>
      <c r="AB108" s="67">
        <f>'emiss 2'!$K$123</f>
        <v>12.17</v>
      </c>
      <c r="AD108" s="67">
        <f>'emiss 2'!$G$123</f>
        <v>8.06</v>
      </c>
      <c r="AE108" s="67"/>
      <c r="AF108" s="67">
        <f>'emiss 2'!$I$123</f>
        <v>9.9</v>
      </c>
      <c r="AG108" s="67"/>
      <c r="AH108" s="67">
        <f>'emiss 2'!$K$123</f>
        <v>12.17</v>
      </c>
      <c r="AI108" s="67"/>
      <c r="AJ108" s="67"/>
      <c r="AK108" s="67"/>
      <c r="AL108" s="67"/>
      <c r="AM108" s="67"/>
      <c r="AN108" s="67"/>
      <c r="AP108" s="67">
        <f>'emiss 2'!$G$123</f>
        <v>8.06</v>
      </c>
      <c r="AQ108" s="67"/>
      <c r="AR108" s="67">
        <f>'emiss 2'!$I$123</f>
        <v>9.9</v>
      </c>
      <c r="AS108" s="67"/>
      <c r="AT108" s="67">
        <f>'emiss 2'!$K$123</f>
        <v>12.17</v>
      </c>
    </row>
    <row r="110" ht="12.75">
      <c r="B110" s="48" t="s">
        <v>87</v>
      </c>
    </row>
    <row r="111" spans="2:48" ht="12.75">
      <c r="B111" s="64" t="s">
        <v>49</v>
      </c>
      <c r="D111" s="64" t="s">
        <v>71</v>
      </c>
      <c r="F111" s="64">
        <f>F94/100*F92*454/60/0.0283/F107*(21-7)/(21-F108)*1000</f>
        <v>33604.75051003111</v>
      </c>
      <c r="H111" s="64">
        <f>H94/100*H92*454/60/0.0283/H107*(21-7)/(21-H108)*1000</f>
        <v>6957.900949892576</v>
      </c>
      <c r="J111" s="64">
        <f>J94/100*J92*454/60/0.0283/J107*(21-7)/(21-J108)*1000</f>
        <v>46647.51197375055</v>
      </c>
      <c r="L111" s="64">
        <f>L94/100*L92*454/60/0.0283/L107*(21-7)/(21-L108)*1000</f>
        <v>317.4467000991015</v>
      </c>
      <c r="N111" s="64">
        <f>N94/100*N92*454/60/0.0283/N107*(21-7)/(21-N108)*1000</f>
        <v>250.30824883799264</v>
      </c>
      <c r="P111" s="64">
        <f>P94/100*P92*454/60/0.0283/P107*(21-7)/(21-P108)*1000</f>
        <v>205.7479218489574</v>
      </c>
      <c r="R111" s="64">
        <f>R94/100*R92*454/60/0.0283/R107*(21-7)/(21-R108)*1000</f>
        <v>60.11651570208891</v>
      </c>
      <c r="T111" s="64">
        <f>T94/100*T92*454/60/0.0283/T107*(21-7)/(21-T108)*1000</f>
        <v>180.55180642427405</v>
      </c>
      <c r="V111" s="64">
        <f>V94/100*V92*454/60/0.0283/V107*(21-7)/(21-V108)*1000</f>
        <v>116.3318185377727</v>
      </c>
      <c r="X111" s="64">
        <f>X94/100*X92*454/60/0.0283/X107*(21-7)/(21-X108)*1000</f>
        <v>10.82440266766958</v>
      </c>
      <c r="Z111" s="64">
        <f>Z94/100*Z92*454/60/0.0283/Z107*(21-7)/(21-Z108)*1000</f>
        <v>1.4918500655614897</v>
      </c>
      <c r="AB111" s="64">
        <f>AB94/100*AB92*454/60/0.0283/AB107*(21-7)/(21-AB108)*1000</f>
        <v>10.78011462992674</v>
      </c>
      <c r="AD111" s="64">
        <f>AD94/100*AD92*454/60/0.0283/AD107*(21-7)/(21-AD108)*1000</f>
        <v>18.610473256945912</v>
      </c>
      <c r="AF111" s="64">
        <f>AF94/100*AF92*454/60/0.0283/AF107*(21-7)/(21-AF108)*1000</f>
        <v>7.092217263187988</v>
      </c>
      <c r="AH111" s="64">
        <f>AH94/100*AH92*454/60/0.0283/AH107*(21-7)/(21-AH108)*1000</f>
        <v>1.1124291607849144</v>
      </c>
      <c r="AI111" s="67"/>
      <c r="AJ111" s="66">
        <f>SUM(X111,AD111,R111,L111,F111)</f>
        <v>34011.74860175692</v>
      </c>
      <c r="AK111" s="66"/>
      <c r="AL111" s="66">
        <f>SUM(Z111,AF111,T111,N111,H111)</f>
        <v>7397.345072483592</v>
      </c>
      <c r="AM111" s="66"/>
      <c r="AN111" s="66">
        <f>SUM(AB111,AH111,V111,P111,J111)</f>
        <v>46981.484257927994</v>
      </c>
      <c r="AP111" s="66">
        <f>SUM(AD111,X111,R111,L111,F111)</f>
        <v>34011.74860175692</v>
      </c>
      <c r="AR111" s="66">
        <f>SUM(AF111,Z111,T111,N111,H111)</f>
        <v>7397.345072483592</v>
      </c>
      <c r="AT111" s="66">
        <f>SUM(AH111,AB111,V111,P111,J111)</f>
        <v>46981.484257927994</v>
      </c>
      <c r="AV111" s="66">
        <f>AVERAGE(AT111,AR111,AP111)</f>
        <v>29463.525977389498</v>
      </c>
    </row>
    <row r="112" spans="2:48" ht="12.75">
      <c r="B112" s="64" t="s">
        <v>50</v>
      </c>
      <c r="D112" s="64" t="s">
        <v>63</v>
      </c>
      <c r="AI112" s="67"/>
      <c r="AP112" s="66">
        <f>AP95*454/60/0.0283/AP$107*(21-7)/(21-AP$108)*1000000</f>
        <v>14185316.28251655</v>
      </c>
      <c r="AR112" s="66">
        <f>AR95*454/60/0.0283/AR$107*(21-7)/(21-AR$108)*1000000</f>
        <v>20465502.78730318</v>
      </c>
      <c r="AT112" s="66">
        <f aca="true" t="shared" si="43" ref="AT112:AT122">AT95*454/60/0.0283/AT$107*(21-7)/(21-AT$108)*1000000</f>
        <v>19631404.112746667</v>
      </c>
      <c r="AV112" s="66">
        <f aca="true" t="shared" si="44" ref="AV112:AV125">AVERAGE(AT112,AR112,AP112)</f>
        <v>18094074.394188803</v>
      </c>
    </row>
    <row r="113" spans="2:48" ht="12.75">
      <c r="B113" s="64" t="s">
        <v>95</v>
      </c>
      <c r="D113" s="64" t="s">
        <v>63</v>
      </c>
      <c r="F113" s="67">
        <f aca="true" t="shared" si="45" ref="F113:F122">F96/1000000*F$92*454/60/0.0283/F$107*(21-7)/(21-F$108)*1000000</f>
        <v>196.61482502212252</v>
      </c>
      <c r="H113" s="67">
        <f aca="true" t="shared" si="46" ref="H113:H122">H96/1000000*H$92*454/60/0.0283/H$107*(21-7)/(21-H$108)*1000000</f>
        <v>81.6538873920537</v>
      </c>
      <c r="I113" s="66">
        <v>100</v>
      </c>
      <c r="J113" s="67">
        <f aca="true" t="shared" si="47" ref="J113:J122">J96/1000000*J$92*454/60/0.0283/J$107*(21-7)/(21-J$108)*1000000</f>
        <v>259.8190469831864</v>
      </c>
      <c r="K113" s="66">
        <v>100</v>
      </c>
      <c r="L113" s="67">
        <f aca="true" t="shared" si="48" ref="L113:L122">L96/1000000*L$92*454/60/0.0283/L$107*(21-7)/(21-L$108)*1000000</f>
        <v>32.95294464696556</v>
      </c>
      <c r="N113" s="67">
        <f aca="true" t="shared" si="49" ref="N113:N122">N96/1000000*N$92*454/60/0.0283/N$107*(21-7)/(21-N$108)*1000000</f>
        <v>46.43428743408865</v>
      </c>
      <c r="P113" s="67">
        <f aca="true" t="shared" si="50" ref="P113:P122">P96/1000000*P$92*454/60/0.0283/P$107*(21-7)/(21-P$108)*1000000</f>
        <v>0.35454088626972313</v>
      </c>
      <c r="Q113" s="66">
        <v>100</v>
      </c>
      <c r="R113" s="67">
        <f aca="true" t="shared" si="51" ref="R113:R122">R96/1000000*R$92*454/60/0.0283/R$107*(21-7)/(21-R$108)*1000000</f>
        <v>158.48899594187074</v>
      </c>
      <c r="S113" s="66">
        <v>100</v>
      </c>
      <c r="T113" s="67">
        <f aca="true" t="shared" si="52" ref="T113:T122">T96/1000000*T$92*454/60/0.0283/T$107*(21-7)/(21-T$108)*1000000</f>
        <v>186.77773078373176</v>
      </c>
      <c r="U113" s="66">
        <v>100</v>
      </c>
      <c r="V113" s="67">
        <f aca="true" t="shared" si="53" ref="V113:V122">V96/1000000*V$92*454/60/0.0283/V$107*(21-7)/(21-V$108)*1000000</f>
        <v>124.64123414761359</v>
      </c>
      <c r="W113" s="66">
        <v>100</v>
      </c>
      <c r="X113" s="67">
        <f aca="true" t="shared" si="54" ref="X113:X122">X96/1000000*X$92*454/60/0.0283/X$107*(21-7)/(21-X$108)*1000000</f>
        <v>21.232482155813408</v>
      </c>
      <c r="Y113" s="66">
        <v>100</v>
      </c>
      <c r="Z113" s="67">
        <f aca="true" t="shared" si="55" ref="Z113:Z122">Z96/1000000*Z$92*454/60/0.0283/Z$107*(21-7)/(21-Z$108)*1000000</f>
        <v>22.377750983422334</v>
      </c>
      <c r="AA113" s="66">
        <v>100</v>
      </c>
      <c r="AB113" s="67">
        <f aca="true" t="shared" si="56" ref="AB113:AB122">AB96/1000000*AB$92*454/60/0.0283/AB$107*(21-7)/(21-AB$108)*1000000</f>
        <v>19.53895776674221</v>
      </c>
      <c r="AC113" s="66">
        <v>100</v>
      </c>
      <c r="AD113" s="67">
        <f aca="true" t="shared" si="57" ref="AD113:AD122">AD96/1000000*AD$92*454/60/0.0283/AD$107*(21-7)/(21-AD$108)*1000000</f>
        <v>19.989026831534492</v>
      </c>
      <c r="AE113" s="66">
        <v>100</v>
      </c>
      <c r="AF113" s="67">
        <f aca="true" t="shared" si="58" ref="AF113:AF122">AF96/1000000*AF$92*454/60/0.0283/AF$107*(21-7)/(21-AF$108)*1000000</f>
        <v>7.880241403542208</v>
      </c>
      <c r="AG113" s="66">
        <v>100</v>
      </c>
      <c r="AH113" s="67">
        <f aca="true" t="shared" si="59" ref="AH113:AH122">AH96/1000000*AH$92*454/60/0.0283/AH$107*(21-7)/(21-AH$108)*1000000</f>
        <v>8.065111415690629</v>
      </c>
      <c r="AI113" s="67">
        <f aca="true" t="shared" si="60" ref="AI113:AI124">SUM((AD113*AC113/100),(X113*W113/100),(R113*Q113/100),(L113*K113/100),(F113*E113/100))/AJ113*100</f>
        <v>54.198747838775894</v>
      </c>
      <c r="AJ113" s="66">
        <f aca="true" t="shared" si="61" ref="AJ113:AJ122">SUM(X113,AD113,R113,L113,F113)</f>
        <v>429.2782745983067</v>
      </c>
      <c r="AK113" s="67">
        <f aca="true" t="shared" si="62" ref="AK113:AK122">SUM((AF113*AE113/100),(Z113*Y113/100),(T113*S113/100),(N113*M113/100),(H113*G113/100))/AL113*100</f>
        <v>62.886321240114285</v>
      </c>
      <c r="AL113" s="66">
        <f aca="true" t="shared" si="63" ref="AL113:AL122">SUM(Z113,AF113,T113,N113,H113)</f>
        <v>345.12389799683865</v>
      </c>
      <c r="AM113" s="67">
        <f aca="true" t="shared" si="64" ref="AM113:AM122">SUM((AH113*AG113/100),(AB113*AA113/100),(V113*U113/100),(P113*O113/100),(J113*I113/100))/AN113*100</f>
        <v>99.91403379092588</v>
      </c>
      <c r="AN113" s="66">
        <f aca="true" t="shared" si="65" ref="AN113:AN122">SUM(AB113,AH113,V113,P113,J113)</f>
        <v>412.4188911995026</v>
      </c>
      <c r="AO113" s="66">
        <f>AI113*AJ113/AP113</f>
        <v>8.166464516129032</v>
      </c>
      <c r="AP113" s="66">
        <f aca="true" t="shared" si="66" ref="AP113:AR122">AP96*454/60/0.0283/AP$107*(21-7)/(21-AP$108)*1000000</f>
        <v>2849.0107208164113</v>
      </c>
      <c r="AQ113" s="66">
        <f>AK113*AL113/AR113</f>
        <v>7.084451612903225</v>
      </c>
      <c r="AR113" s="66">
        <f t="shared" si="66"/>
        <v>3063.5500816379285</v>
      </c>
      <c r="AS113" s="66">
        <f>AM113*AN113/AT113</f>
        <v>40.22744999999999</v>
      </c>
      <c r="AT113" s="66">
        <f t="shared" si="43"/>
        <v>1024.3362438166798</v>
      </c>
      <c r="AU113" s="66">
        <f aca="true" t="shared" si="67" ref="AU113:AU122">SUM(AO113*AP113,AQ113*AR113,AS113*AT113)/SUM(AP113,AR113,AT113)</f>
        <v>12.422896250469233</v>
      </c>
      <c r="AV113" s="66">
        <f t="shared" si="44"/>
        <v>2312.2990154236736</v>
      </c>
    </row>
    <row r="114" spans="2:48" ht="12.75">
      <c r="B114" s="64" t="s">
        <v>96</v>
      </c>
      <c r="D114" s="64" t="s">
        <v>63</v>
      </c>
      <c r="F114" s="67">
        <f t="shared" si="45"/>
        <v>2580.569578415358</v>
      </c>
      <c r="H114" s="67">
        <f t="shared" si="46"/>
        <v>1567.0948085343643</v>
      </c>
      <c r="J114" s="67">
        <f t="shared" si="47"/>
        <v>2131.8485906312744</v>
      </c>
      <c r="L114" s="67">
        <f t="shared" si="48"/>
        <v>197.71766788179337</v>
      </c>
      <c r="N114" s="67">
        <f t="shared" si="49"/>
        <v>200.30476932352002</v>
      </c>
      <c r="P114" s="67">
        <f t="shared" si="50"/>
        <v>14.033910081509905</v>
      </c>
      <c r="Q114" s="66">
        <v>100</v>
      </c>
      <c r="R114" s="67">
        <f t="shared" si="51"/>
        <v>131.1633069863758</v>
      </c>
      <c r="S114" s="66">
        <v>100</v>
      </c>
      <c r="T114" s="67">
        <f t="shared" si="52"/>
        <v>155.64810898644316</v>
      </c>
      <c r="U114" s="66">
        <v>100</v>
      </c>
      <c r="V114" s="67">
        <f t="shared" si="53"/>
        <v>103.86769512301134</v>
      </c>
      <c r="W114" s="66">
        <v>100</v>
      </c>
      <c r="X114" s="67">
        <f t="shared" si="54"/>
        <v>12.48969538577259</v>
      </c>
      <c r="Y114" s="66">
        <v>100</v>
      </c>
      <c r="Z114" s="67">
        <f t="shared" si="55"/>
        <v>18.64812581951862</v>
      </c>
      <c r="AA114" s="66">
        <v>100</v>
      </c>
      <c r="AB114" s="67">
        <f t="shared" si="56"/>
        <v>16.170171944890104</v>
      </c>
      <c r="AC114" s="66">
        <v>100</v>
      </c>
      <c r="AD114" s="67">
        <f t="shared" si="57"/>
        <v>16.542642895063032</v>
      </c>
      <c r="AF114" s="67">
        <f t="shared" si="58"/>
        <v>10.506988538056275</v>
      </c>
      <c r="AH114" s="67">
        <f t="shared" si="59"/>
        <v>10.568077027456683</v>
      </c>
      <c r="AI114" s="67">
        <f t="shared" si="60"/>
        <v>5.451644647212083</v>
      </c>
      <c r="AJ114" s="66">
        <f t="shared" si="61"/>
        <v>2938.482891564363</v>
      </c>
      <c r="AK114" s="67">
        <f t="shared" si="62"/>
        <v>8.928182804504416</v>
      </c>
      <c r="AL114" s="66">
        <f t="shared" si="63"/>
        <v>1952.2028012019023</v>
      </c>
      <c r="AM114" s="67">
        <f t="shared" si="64"/>
        <v>5.272939879913072</v>
      </c>
      <c r="AN114" s="66">
        <f t="shared" si="65"/>
        <v>2276.4884448081425</v>
      </c>
      <c r="AO114" s="66">
        <f>AI114*AJ114/AP114</f>
        <v>1.1938931506849315</v>
      </c>
      <c r="AP114" s="66">
        <f t="shared" si="66"/>
        <v>13417.921459328907</v>
      </c>
      <c r="AQ114" s="66">
        <f>AK114*AL114/AR114</f>
        <v>1.1378709677419356</v>
      </c>
      <c r="AR114" s="66">
        <f t="shared" si="66"/>
        <v>15317.750408189644</v>
      </c>
      <c r="AS114" s="66">
        <f>AM114*AN114/AT114</f>
        <v>1.4204363636363637</v>
      </c>
      <c r="AT114" s="66">
        <f t="shared" si="43"/>
        <v>8450.774011487609</v>
      </c>
      <c r="AU114" s="66">
        <f t="shared" si="67"/>
        <v>1.222299513699109</v>
      </c>
      <c r="AV114" s="66">
        <f t="shared" si="44"/>
        <v>12395.481959668721</v>
      </c>
    </row>
    <row r="115" spans="2:48" ht="12.75">
      <c r="B115" s="64" t="s">
        <v>97</v>
      </c>
      <c r="D115" s="64" t="s">
        <v>63</v>
      </c>
      <c r="F115" s="67">
        <f t="shared" si="45"/>
        <v>12820.925048317573</v>
      </c>
      <c r="H115" s="67">
        <f t="shared" si="46"/>
        <v>5691.028515203744</v>
      </c>
      <c r="J115" s="67">
        <f t="shared" si="47"/>
        <v>20785.523758654916</v>
      </c>
      <c r="L115" s="67">
        <f t="shared" si="48"/>
        <v>15.268197686427378</v>
      </c>
      <c r="N115" s="67">
        <f t="shared" si="49"/>
        <v>57.542097369302105</v>
      </c>
      <c r="P115" s="67">
        <f t="shared" si="50"/>
        <v>3.1613229025716976</v>
      </c>
      <c r="R115" s="67">
        <f t="shared" si="51"/>
        <v>479.8390980584913</v>
      </c>
      <c r="T115" s="67">
        <f t="shared" si="52"/>
        <v>2957.3140707424195</v>
      </c>
      <c r="V115" s="67">
        <f t="shared" si="53"/>
        <v>2073.199194655306</v>
      </c>
      <c r="X115" s="67">
        <f t="shared" si="54"/>
        <v>4.629513756326374</v>
      </c>
      <c r="Z115" s="67">
        <f t="shared" si="55"/>
        <v>3505.8476540694987</v>
      </c>
      <c r="AB115" s="67">
        <f t="shared" si="56"/>
        <v>4022.3302712914146</v>
      </c>
      <c r="AD115" s="67">
        <f t="shared" si="57"/>
        <v>1.6542642895063033</v>
      </c>
      <c r="AF115" s="67">
        <f t="shared" si="58"/>
        <v>1.5734215335739279</v>
      </c>
      <c r="AH115" s="67">
        <f t="shared" si="59"/>
        <v>1.1902992020398584</v>
      </c>
      <c r="AI115" s="67"/>
      <c r="AJ115" s="66">
        <f t="shared" si="61"/>
        <v>13322.316122108325</v>
      </c>
      <c r="AK115" s="67"/>
      <c r="AL115" s="66">
        <f t="shared" si="63"/>
        <v>12213.305758918537</v>
      </c>
      <c r="AM115" s="67"/>
      <c r="AN115" s="66">
        <f t="shared" si="65"/>
        <v>26885.404846706246</v>
      </c>
      <c r="AO115" s="66">
        <f>AI115*AJ115/AP115</f>
        <v>0</v>
      </c>
      <c r="AP115" s="66">
        <f t="shared" si="66"/>
        <v>52201.22869108779</v>
      </c>
      <c r="AQ115" s="66">
        <f>AK115*AL115/AR115</f>
        <v>0</v>
      </c>
      <c r="AR115" s="66">
        <f t="shared" si="66"/>
        <v>62555.71618312287</v>
      </c>
      <c r="AS115" s="66">
        <f>AM115*AN115/AT115</f>
        <v>0</v>
      </c>
      <c r="AT115" s="66">
        <f t="shared" si="43"/>
        <v>42766.038179346375</v>
      </c>
      <c r="AU115" s="66">
        <f t="shared" si="67"/>
        <v>0</v>
      </c>
      <c r="AV115" s="66">
        <f t="shared" si="44"/>
        <v>52507.66101785235</v>
      </c>
    </row>
    <row r="116" spans="2:48" ht="12.75">
      <c r="B116" s="64" t="s">
        <v>98</v>
      </c>
      <c r="D116" s="64" t="s">
        <v>63</v>
      </c>
      <c r="F116" s="67">
        <f t="shared" si="45"/>
        <v>1937.475254905499</v>
      </c>
      <c r="H116" s="67">
        <f t="shared" si="46"/>
        <v>469.30365581897547</v>
      </c>
      <c r="J116" s="67">
        <f t="shared" si="47"/>
        <v>2544.894255066083</v>
      </c>
      <c r="L116" s="67">
        <f t="shared" si="48"/>
        <v>6.008420240630055</v>
      </c>
      <c r="N116" s="67">
        <f t="shared" si="49"/>
        <v>6.7193145345798975</v>
      </c>
      <c r="P116" s="67">
        <f t="shared" si="50"/>
        <v>0.3840859601255329</v>
      </c>
      <c r="R116" s="67">
        <f t="shared" si="51"/>
        <v>5.246532279455031</v>
      </c>
      <c r="T116" s="67">
        <f t="shared" si="52"/>
        <v>33.86902851545002</v>
      </c>
      <c r="V116" s="67">
        <f t="shared" si="53"/>
        <v>14.375289005024769</v>
      </c>
      <c r="W116" s="66">
        <v>100</v>
      </c>
      <c r="X116" s="67">
        <f t="shared" si="54"/>
        <v>22.398187058485522</v>
      </c>
      <c r="Z116" s="67">
        <f t="shared" si="55"/>
        <v>20.96049342113892</v>
      </c>
      <c r="AB116" s="67">
        <f t="shared" si="56"/>
        <v>29.71269094873557</v>
      </c>
      <c r="AC116" s="66">
        <v>100</v>
      </c>
      <c r="AD116" s="67">
        <f t="shared" si="57"/>
        <v>0.6617057158025214</v>
      </c>
      <c r="AF116" s="67">
        <f t="shared" si="58"/>
        <v>0.3940120701771104</v>
      </c>
      <c r="AH116" s="67">
        <f t="shared" si="59"/>
        <v>0.5284038513728343</v>
      </c>
      <c r="AI116" s="67">
        <f t="shared" si="60"/>
        <v>1.1694902399576184</v>
      </c>
      <c r="AJ116" s="66">
        <f t="shared" si="61"/>
        <v>1971.790100199872</v>
      </c>
      <c r="AK116" s="67"/>
      <c r="AL116" s="66">
        <f t="shared" si="63"/>
        <v>531.2465043603214</v>
      </c>
      <c r="AM116" s="67"/>
      <c r="AN116" s="66">
        <f t="shared" si="65"/>
        <v>2589.894724831342</v>
      </c>
      <c r="AO116" s="66"/>
      <c r="AP116" s="66">
        <f t="shared" si="66"/>
        <v>0</v>
      </c>
      <c r="AQ116" s="66"/>
      <c r="AR116" s="66">
        <f t="shared" si="66"/>
        <v>0</v>
      </c>
      <c r="AS116" s="66"/>
      <c r="AT116" s="66">
        <f t="shared" si="43"/>
        <v>0</v>
      </c>
      <c r="AU116" s="66"/>
      <c r="AV116" s="66">
        <f t="shared" si="44"/>
        <v>0</v>
      </c>
    </row>
    <row r="117" spans="2:48" ht="12.75">
      <c r="B117" s="64" t="s">
        <v>99</v>
      </c>
      <c r="D117" s="64" t="s">
        <v>63</v>
      </c>
      <c r="F117" s="67">
        <f t="shared" si="45"/>
        <v>7.045364563292723</v>
      </c>
      <c r="G117" s="66">
        <v>100</v>
      </c>
      <c r="H117" s="67">
        <f t="shared" si="46"/>
        <v>1.4598725321609605</v>
      </c>
      <c r="J117" s="67">
        <f t="shared" si="47"/>
        <v>16.25534550356346</v>
      </c>
      <c r="K117" s="66">
        <v>100</v>
      </c>
      <c r="L117" s="67">
        <f t="shared" si="48"/>
        <v>1.6366629174659566</v>
      </c>
      <c r="N117" s="67">
        <f t="shared" si="49"/>
        <v>4.588800169957002</v>
      </c>
      <c r="P117" s="67">
        <f t="shared" si="50"/>
        <v>0.19942924852671923</v>
      </c>
      <c r="R117" s="67">
        <f t="shared" si="51"/>
        <v>20.986129117820123</v>
      </c>
      <c r="T117" s="67">
        <f t="shared" si="52"/>
        <v>43.083396567447444</v>
      </c>
      <c r="V117" s="67">
        <f t="shared" si="53"/>
        <v>32.863738736920794</v>
      </c>
      <c r="W117" s="66">
        <v>100</v>
      </c>
      <c r="X117" s="67">
        <f t="shared" si="54"/>
        <v>46.79472537869464</v>
      </c>
      <c r="Z117" s="67">
        <f t="shared" si="55"/>
        <v>47.06786956846499</v>
      </c>
      <c r="AB117" s="67">
        <f t="shared" si="56"/>
        <v>61.78353197276761</v>
      </c>
      <c r="AC117" s="66">
        <v>100</v>
      </c>
      <c r="AD117" s="67">
        <f t="shared" si="57"/>
        <v>0.9925585737037821</v>
      </c>
      <c r="AE117" s="66">
        <v>100</v>
      </c>
      <c r="AF117" s="67">
        <f t="shared" si="58"/>
        <v>0.3940120701771104</v>
      </c>
      <c r="AG117" s="66">
        <v>100</v>
      </c>
      <c r="AH117" s="67">
        <f t="shared" si="59"/>
        <v>0.3976934249806068</v>
      </c>
      <c r="AI117" s="67">
        <f t="shared" si="60"/>
        <v>63.80952263428941</v>
      </c>
      <c r="AJ117" s="66">
        <f t="shared" si="61"/>
        <v>77.45544055097723</v>
      </c>
      <c r="AK117" s="67">
        <f t="shared" si="62"/>
        <v>1.9192553828756866</v>
      </c>
      <c r="AL117" s="66">
        <f t="shared" si="63"/>
        <v>96.5939509082075</v>
      </c>
      <c r="AM117" s="67">
        <f t="shared" si="64"/>
        <v>0.3566765527446752</v>
      </c>
      <c r="AN117" s="66">
        <f t="shared" si="65"/>
        <v>111.49973888675919</v>
      </c>
      <c r="AO117" s="66">
        <f>AI117*AJ117/AP117</f>
        <v>0.3734586666666668</v>
      </c>
      <c r="AP117" s="66">
        <f t="shared" si="66"/>
        <v>13234.114316050425</v>
      </c>
      <c r="AQ117" s="66">
        <f>AK117*AL117/AR117</f>
        <v>0.010843595375722546</v>
      </c>
      <c r="AR117" s="66">
        <f t="shared" si="66"/>
        <v>17096.585939463275</v>
      </c>
      <c r="AS117" s="66">
        <f>AM117*AN117/AT117</f>
        <v>0.00393159493670886</v>
      </c>
      <c r="AT117" s="66">
        <f t="shared" si="43"/>
        <v>10115.320407689713</v>
      </c>
      <c r="AU117" s="66">
        <f t="shared" si="67"/>
        <v>0.12776417568365614</v>
      </c>
      <c r="AV117" s="66">
        <f t="shared" si="44"/>
        <v>13482.00688773447</v>
      </c>
    </row>
    <row r="118" spans="2:48" ht="12.75">
      <c r="B118" s="64" t="s">
        <v>112</v>
      </c>
      <c r="D118" s="64" t="s">
        <v>63</v>
      </c>
      <c r="F118" s="67">
        <f t="shared" si="45"/>
        <v>1757.24499863522</v>
      </c>
      <c r="H118" s="67">
        <f t="shared" si="46"/>
        <v>724.9875456324771</v>
      </c>
      <c r="J118" s="67">
        <f t="shared" si="47"/>
        <v>3624.142604073166</v>
      </c>
      <c r="L118" s="67">
        <f t="shared" si="48"/>
        <v>431.68357487524895</v>
      </c>
      <c r="N118" s="67">
        <f t="shared" si="49"/>
        <v>478.00001770385444</v>
      </c>
      <c r="P118" s="67">
        <f t="shared" si="50"/>
        <v>34.56773641129801</v>
      </c>
      <c r="R118" s="67">
        <f t="shared" si="51"/>
        <v>109.8492696010897</v>
      </c>
      <c r="T118" s="67">
        <f t="shared" si="52"/>
        <v>390.9880497739452</v>
      </c>
      <c r="V118" s="67">
        <f t="shared" si="53"/>
        <v>268.8095949783534</v>
      </c>
      <c r="X118" s="67">
        <f t="shared" si="54"/>
        <v>530.3957307158093</v>
      </c>
      <c r="Z118" s="67">
        <f t="shared" si="55"/>
        <v>554.968224388874</v>
      </c>
      <c r="AB118" s="67">
        <f t="shared" si="56"/>
        <v>842.1964554630265</v>
      </c>
      <c r="AC118" s="66">
        <v>100</v>
      </c>
      <c r="AD118" s="67">
        <f t="shared" si="57"/>
        <v>1.3234114316050427</v>
      </c>
      <c r="AE118" s="66">
        <v>100</v>
      </c>
      <c r="AF118" s="67">
        <f t="shared" si="58"/>
        <v>0.5253494269028139</v>
      </c>
      <c r="AH118" s="67">
        <f t="shared" si="59"/>
        <v>0.661895350667024</v>
      </c>
      <c r="AI118" s="67">
        <f t="shared" si="60"/>
        <v>0.046755443955505877</v>
      </c>
      <c r="AJ118" s="66">
        <f t="shared" si="61"/>
        <v>2830.496985258973</v>
      </c>
      <c r="AK118" s="67"/>
      <c r="AL118" s="66">
        <f t="shared" si="63"/>
        <v>2149.469186926053</v>
      </c>
      <c r="AM118" s="67"/>
      <c r="AN118" s="66">
        <f t="shared" si="65"/>
        <v>4770.378286276511</v>
      </c>
      <c r="AO118" s="66">
        <f>AI118*AJ118/AP118</f>
        <v>0.0006324110671936758</v>
      </c>
      <c r="AP118" s="66">
        <f t="shared" si="66"/>
        <v>209264.43262254738</v>
      </c>
      <c r="AQ118" s="66">
        <f>AK118*AL118/AR118</f>
        <v>0</v>
      </c>
      <c r="AR118" s="66">
        <f t="shared" si="66"/>
        <v>168594.07868626795</v>
      </c>
      <c r="AS118" s="66">
        <f>AM118*AN118/AT118</f>
        <v>0</v>
      </c>
      <c r="AT118" s="66">
        <f t="shared" si="43"/>
        <v>102689.70844262216</v>
      </c>
      <c r="AU118" s="66">
        <f t="shared" si="67"/>
        <v>0.00027539617820030094</v>
      </c>
      <c r="AV118" s="66">
        <f t="shared" si="44"/>
        <v>160182.73991714584</v>
      </c>
    </row>
    <row r="119" spans="2:48" ht="12.75">
      <c r="B119" s="64" t="s">
        <v>94</v>
      </c>
      <c r="D119" s="64" t="s">
        <v>63</v>
      </c>
      <c r="F119" s="67">
        <f t="shared" si="45"/>
        <v>10240.355469902212</v>
      </c>
      <c r="H119" s="67">
        <f t="shared" si="46"/>
        <v>4371.369729069542</v>
      </c>
      <c r="J119" s="67">
        <f t="shared" si="47"/>
        <v>9326.837584011824</v>
      </c>
      <c r="L119" s="67">
        <f t="shared" si="48"/>
        <v>104.35099138205761</v>
      </c>
      <c r="N119" s="67">
        <f t="shared" si="49"/>
        <v>136.57143362967358</v>
      </c>
      <c r="P119" s="67">
        <f t="shared" si="50"/>
        <v>8.863522156743077</v>
      </c>
      <c r="R119" s="67">
        <f t="shared" si="51"/>
        <v>289.65230292824657</v>
      </c>
      <c r="T119" s="67">
        <f t="shared" si="52"/>
        <v>1182.925628296968</v>
      </c>
      <c r="V119" s="67">
        <f t="shared" si="53"/>
        <v>830.9415609840908</v>
      </c>
      <c r="W119" s="66">
        <v>100</v>
      </c>
      <c r="X119" s="67">
        <f t="shared" si="54"/>
        <v>1290.6018565298343</v>
      </c>
      <c r="Z119" s="67">
        <f t="shared" si="55"/>
        <v>1342.6650590053405</v>
      </c>
      <c r="AB119" s="67">
        <f t="shared" si="56"/>
        <v>2223.3986424223904</v>
      </c>
      <c r="AC119" s="66">
        <v>100</v>
      </c>
      <c r="AD119" s="67">
        <f t="shared" si="57"/>
        <v>16.542642895063032</v>
      </c>
      <c r="AE119" s="66">
        <v>100</v>
      </c>
      <c r="AF119" s="67">
        <f t="shared" si="58"/>
        <v>6.566867836285175</v>
      </c>
      <c r="AH119" s="67">
        <f t="shared" si="59"/>
        <v>8.065111415690629</v>
      </c>
      <c r="AI119" s="67">
        <f t="shared" si="60"/>
        <v>10.946230726287451</v>
      </c>
      <c r="AJ119" s="66">
        <f t="shared" si="61"/>
        <v>11941.503263637413</v>
      </c>
      <c r="AK119" s="67">
        <f t="shared" si="62"/>
        <v>0.09327806469029208</v>
      </c>
      <c r="AL119" s="66">
        <f t="shared" si="63"/>
        <v>7040.098717837809</v>
      </c>
      <c r="AM119" s="67"/>
      <c r="AN119" s="66">
        <f t="shared" si="65"/>
        <v>12398.106420990738</v>
      </c>
      <c r="AO119" s="66">
        <f>AI119*AJ119/AP119</f>
        <v>0.27839107457428064</v>
      </c>
      <c r="AP119" s="66">
        <f t="shared" si="66"/>
        <v>469535.3475048724</v>
      </c>
      <c r="AQ119" s="66">
        <f>AK119*AL119/AR119</f>
        <v>0.0016533963672555369</v>
      </c>
      <c r="AR119" s="66">
        <f t="shared" si="66"/>
        <v>397174.4444549301</v>
      </c>
      <c r="AS119" s="66">
        <f>AM119*AN119/AT119</f>
        <v>0</v>
      </c>
      <c r="AT119" s="66">
        <f t="shared" si="43"/>
        <v>32778.759802133754</v>
      </c>
      <c r="AU119" s="66">
        <f t="shared" si="67"/>
        <v>0.14605092690594648</v>
      </c>
      <c r="AV119" s="66">
        <f t="shared" si="44"/>
        <v>299829.51725397876</v>
      </c>
    </row>
    <row r="120" spans="2:48" ht="12.75">
      <c r="B120" s="64" t="s">
        <v>100</v>
      </c>
      <c r="D120" s="64" t="s">
        <v>63</v>
      </c>
      <c r="F120" s="67">
        <f t="shared" si="45"/>
        <v>14.991880407936838</v>
      </c>
      <c r="H120" s="67">
        <f t="shared" si="46"/>
        <v>22.599156712548197</v>
      </c>
      <c r="J120" s="67">
        <f t="shared" si="47"/>
        <v>227.17511543914512</v>
      </c>
      <c r="L120" s="67">
        <f t="shared" si="48"/>
        <v>44.15694582693385</v>
      </c>
      <c r="N120" s="67">
        <f t="shared" si="49"/>
        <v>11.289905180052942</v>
      </c>
      <c r="P120" s="67">
        <f t="shared" si="50"/>
        <v>0.5170387924766795</v>
      </c>
      <c r="R120" s="67">
        <f t="shared" si="51"/>
        <v>25.576844862343282</v>
      </c>
      <c r="T120" s="67">
        <f t="shared" si="52"/>
        <v>22.039772232480345</v>
      </c>
      <c r="V120" s="67">
        <f t="shared" si="53"/>
        <v>9.015715936677383</v>
      </c>
      <c r="W120" s="66">
        <v>100</v>
      </c>
      <c r="X120" s="67">
        <f t="shared" si="54"/>
        <v>3.0141798197664516</v>
      </c>
      <c r="Y120" s="66">
        <v>100</v>
      </c>
      <c r="Z120" s="67">
        <f t="shared" si="55"/>
        <v>1.491850065561489</v>
      </c>
      <c r="AB120" s="67">
        <f t="shared" si="56"/>
        <v>3.3418355352772893</v>
      </c>
      <c r="AC120" s="66">
        <v>100</v>
      </c>
      <c r="AD120" s="67">
        <f t="shared" si="57"/>
        <v>1.0614862524332112</v>
      </c>
      <c r="AE120" s="66">
        <v>100</v>
      </c>
      <c r="AF120" s="67">
        <f t="shared" si="58"/>
        <v>0.3283433918142586</v>
      </c>
      <c r="AG120" s="66">
        <v>100</v>
      </c>
      <c r="AH120" s="67">
        <f t="shared" si="59"/>
        <v>0.2647581402668096</v>
      </c>
      <c r="AI120" s="67">
        <f t="shared" si="60"/>
        <v>4.58964493341376</v>
      </c>
      <c r="AJ120" s="66">
        <f t="shared" si="61"/>
        <v>88.80133716941363</v>
      </c>
      <c r="AK120" s="67">
        <f t="shared" si="62"/>
        <v>3.1519032156459703</v>
      </c>
      <c r="AL120" s="66">
        <f t="shared" si="63"/>
        <v>57.74902758245723</v>
      </c>
      <c r="AM120" s="67">
        <f t="shared" si="64"/>
        <v>0.11017153775598369</v>
      </c>
      <c r="AN120" s="66">
        <f t="shared" si="65"/>
        <v>240.31446384384327</v>
      </c>
      <c r="AO120" s="66">
        <f>AI120*AJ120/AP120</f>
        <v>0.043477647058823524</v>
      </c>
      <c r="AP120" s="66">
        <f t="shared" si="66"/>
        <v>9374.164307202385</v>
      </c>
      <c r="AQ120" s="66">
        <f>AK120*AL120/AR120</f>
        <v>0.015221900826446278</v>
      </c>
      <c r="AR120" s="66">
        <f t="shared" si="66"/>
        <v>11957.72773800611</v>
      </c>
      <c r="AS120" s="66">
        <f>AM120*AN120/AT120</f>
        <v>0.003627621052631579</v>
      </c>
      <c r="AT120" s="66">
        <f t="shared" si="43"/>
        <v>7298.395737193843</v>
      </c>
      <c r="AU120" s="66">
        <f t="shared" si="67"/>
        <v>0.02151783354978658</v>
      </c>
      <c r="AV120" s="66">
        <f t="shared" si="44"/>
        <v>9543.42926080078</v>
      </c>
    </row>
    <row r="121" spans="2:48" ht="12.75">
      <c r="B121" s="64" t="s">
        <v>103</v>
      </c>
      <c r="D121" s="64" t="s">
        <v>63</v>
      </c>
      <c r="F121" s="67">
        <f t="shared" si="45"/>
        <v>274.44152659337936</v>
      </c>
      <c r="H121" s="67">
        <f t="shared" si="46"/>
        <v>56.085498410703565</v>
      </c>
      <c r="J121" s="67">
        <f t="shared" si="47"/>
        <v>219.8468859088501</v>
      </c>
      <c r="K121" s="66">
        <v>100</v>
      </c>
      <c r="L121" s="67">
        <f t="shared" si="48"/>
        <v>10.984314882321856</v>
      </c>
      <c r="M121" s="66">
        <v>100</v>
      </c>
      <c r="N121" s="67">
        <f t="shared" si="49"/>
        <v>1.820952448395637</v>
      </c>
      <c r="O121" s="66">
        <v>100</v>
      </c>
      <c r="P121" s="67">
        <f t="shared" si="50"/>
        <v>0.14772536927905133</v>
      </c>
      <c r="Q121" s="66">
        <v>100</v>
      </c>
      <c r="R121" s="67">
        <f t="shared" si="51"/>
        <v>52.4653227945503</v>
      </c>
      <c r="S121" s="66">
        <v>100</v>
      </c>
      <c r="T121" s="67">
        <f t="shared" si="52"/>
        <v>61.63665115863148</v>
      </c>
      <c r="U121" s="66">
        <v>100</v>
      </c>
      <c r="V121" s="67">
        <f t="shared" si="53"/>
        <v>62.320617073806794</v>
      </c>
      <c r="W121" s="66">
        <v>100</v>
      </c>
      <c r="X121" s="67">
        <f t="shared" si="54"/>
        <v>9.159109949566567</v>
      </c>
      <c r="Y121" s="66">
        <v>100</v>
      </c>
      <c r="Z121" s="67">
        <f t="shared" si="55"/>
        <v>7.384657824529373</v>
      </c>
      <c r="AB121" s="67">
        <f t="shared" si="56"/>
        <v>10.106357465556318</v>
      </c>
      <c r="AC121" s="66">
        <v>100</v>
      </c>
      <c r="AD121" s="67">
        <f t="shared" si="57"/>
        <v>6.617057158025213</v>
      </c>
      <c r="AE121" s="66">
        <v>100</v>
      </c>
      <c r="AF121" s="67">
        <f t="shared" si="58"/>
        <v>2.6267471345140687</v>
      </c>
      <c r="AG121" s="66">
        <v>100</v>
      </c>
      <c r="AH121" s="67">
        <f t="shared" si="59"/>
        <v>2.6420192568641707</v>
      </c>
      <c r="AI121" s="67">
        <f t="shared" si="60"/>
        <v>22.401222209529557</v>
      </c>
      <c r="AJ121" s="66">
        <f t="shared" si="61"/>
        <v>353.6673313778433</v>
      </c>
      <c r="AK121" s="67">
        <f t="shared" si="62"/>
        <v>56.70895616100928</v>
      </c>
      <c r="AL121" s="66">
        <f t="shared" si="63"/>
        <v>129.55450697677412</v>
      </c>
      <c r="AM121" s="67">
        <f t="shared" si="64"/>
        <v>22.06655127240858</v>
      </c>
      <c r="AN121" s="66">
        <f t="shared" si="65"/>
        <v>295.0636050743565</v>
      </c>
      <c r="AO121" s="66"/>
      <c r="AP121" s="66">
        <f t="shared" si="66"/>
        <v>0</v>
      </c>
      <c r="AQ121" s="66"/>
      <c r="AR121" s="66">
        <f t="shared" si="66"/>
        <v>0</v>
      </c>
      <c r="AS121" s="66"/>
      <c r="AT121" s="66">
        <f t="shared" si="43"/>
        <v>0</v>
      </c>
      <c r="AU121" s="66"/>
      <c r="AV121" s="66">
        <f t="shared" si="44"/>
        <v>0</v>
      </c>
    </row>
    <row r="122" spans="2:48" ht="12.75">
      <c r="B122" s="64" t="s">
        <v>104</v>
      </c>
      <c r="D122" s="64" t="s">
        <v>63</v>
      </c>
      <c r="E122" s="66">
        <v>100</v>
      </c>
      <c r="F122" s="67">
        <f t="shared" si="45"/>
        <v>233.4801047137705</v>
      </c>
      <c r="G122" s="66">
        <v>100</v>
      </c>
      <c r="H122" s="67">
        <f t="shared" si="46"/>
        <v>48.66241773869869</v>
      </c>
      <c r="I122" s="66">
        <v>100</v>
      </c>
      <c r="J122" s="67">
        <f t="shared" si="47"/>
        <v>406.38363758908656</v>
      </c>
      <c r="K122" s="66">
        <v>100</v>
      </c>
      <c r="L122" s="67">
        <f t="shared" si="48"/>
        <v>54.92157441160928</v>
      </c>
      <c r="M122" s="66">
        <v>100</v>
      </c>
      <c r="N122" s="67">
        <f t="shared" si="49"/>
        <v>9.104762241978179</v>
      </c>
      <c r="O122" s="66">
        <v>100</v>
      </c>
      <c r="P122" s="67">
        <f t="shared" si="50"/>
        <v>0.7386268463952564</v>
      </c>
      <c r="Q122" s="66">
        <v>100</v>
      </c>
      <c r="R122" s="67">
        <f t="shared" si="51"/>
        <v>262.3266139727516</v>
      </c>
      <c r="S122" s="66">
        <v>100</v>
      </c>
      <c r="T122" s="67">
        <f t="shared" si="52"/>
        <v>305.07029361342865</v>
      </c>
      <c r="U122" s="66">
        <v>100</v>
      </c>
      <c r="V122" s="67">
        <f t="shared" si="53"/>
        <v>203.58068244110223</v>
      </c>
      <c r="W122" s="66">
        <v>100</v>
      </c>
      <c r="X122" s="67">
        <f t="shared" si="54"/>
        <v>24.97939077154518</v>
      </c>
      <c r="Y122" s="66">
        <v>100</v>
      </c>
      <c r="Z122" s="67">
        <f t="shared" si="55"/>
        <v>36.55032660625649</v>
      </c>
      <c r="AA122" s="66">
        <v>100</v>
      </c>
      <c r="AB122" s="67">
        <f t="shared" si="56"/>
        <v>33.01410105415064</v>
      </c>
      <c r="AC122" s="66">
        <v>100</v>
      </c>
      <c r="AD122" s="67">
        <f t="shared" si="57"/>
        <v>33.085285790126065</v>
      </c>
      <c r="AE122" s="66">
        <v>100</v>
      </c>
      <c r="AF122" s="67">
        <f t="shared" si="58"/>
        <v>13.13373567257035</v>
      </c>
      <c r="AG122" s="66">
        <v>100</v>
      </c>
      <c r="AH122" s="67">
        <f t="shared" si="59"/>
        <v>13.34914992941897</v>
      </c>
      <c r="AI122" s="66">
        <f t="shared" si="60"/>
        <v>100</v>
      </c>
      <c r="AJ122" s="66">
        <f t="shared" si="61"/>
        <v>608.7929696598027</v>
      </c>
      <c r="AK122" s="66">
        <f t="shared" si="62"/>
        <v>100</v>
      </c>
      <c r="AL122" s="66">
        <f t="shared" si="63"/>
        <v>412.52153587293236</v>
      </c>
      <c r="AM122" s="66">
        <f t="shared" si="64"/>
        <v>100</v>
      </c>
      <c r="AN122" s="66">
        <f t="shared" si="65"/>
        <v>657.0661978601537</v>
      </c>
      <c r="AO122" s="66">
        <f>AI122*AJ122/AP122</f>
        <v>44.16172000000002</v>
      </c>
      <c r="AP122" s="66">
        <f t="shared" si="66"/>
        <v>1378.553574588586</v>
      </c>
      <c r="AQ122" s="66">
        <f>AK122*AL122/AR122</f>
        <v>13.465473874426676</v>
      </c>
      <c r="AR122" s="66">
        <f t="shared" si="66"/>
        <v>3063.5500816379285</v>
      </c>
      <c r="AS122" s="66">
        <f>AM122*AN122/AT122</f>
        <v>64.14555785041082</v>
      </c>
      <c r="AT122" s="66">
        <f t="shared" si="43"/>
        <v>1024.3362438166798</v>
      </c>
      <c r="AU122" s="66">
        <f t="shared" si="67"/>
        <v>30.703359665211476</v>
      </c>
      <c r="AV122" s="66">
        <f t="shared" si="44"/>
        <v>1822.1466333477317</v>
      </c>
    </row>
    <row r="123" spans="35:48" ht="12.75">
      <c r="AI123" s="67"/>
      <c r="AK123" s="67"/>
      <c r="AM123" s="67"/>
      <c r="AN123" s="66"/>
      <c r="AO123" s="66"/>
      <c r="AP123" s="66"/>
      <c r="AQ123" s="66"/>
      <c r="AR123" s="66"/>
      <c r="AS123" s="66"/>
      <c r="AT123" s="66"/>
      <c r="AU123" s="66"/>
      <c r="AV123" s="66"/>
    </row>
    <row r="124" spans="2:48" ht="12.75">
      <c r="B124" s="64" t="s">
        <v>64</v>
      </c>
      <c r="D124" s="64" t="s">
        <v>63</v>
      </c>
      <c r="F124" s="67">
        <f>SUM(F119,F117)</f>
        <v>10247.400834465505</v>
      </c>
      <c r="H124" s="67">
        <f>SUM(H119,H117)</f>
        <v>4372.829601601703</v>
      </c>
      <c r="J124" s="67">
        <f>SUM(J119,J117)</f>
        <v>9343.092929515387</v>
      </c>
      <c r="K124" s="66">
        <f>L117/L124*100</f>
        <v>1.544201471655094</v>
      </c>
      <c r="L124" s="67">
        <f>SUM(L119,L117)</f>
        <v>105.98765429952357</v>
      </c>
      <c r="N124" s="67">
        <f>SUM(N119,N117)</f>
        <v>141.1602337996306</v>
      </c>
      <c r="P124" s="67">
        <f>SUM(P119,P117)</f>
        <v>9.062951405269796</v>
      </c>
      <c r="R124" s="67">
        <f>SUM(R119,R117)</f>
        <v>310.63843204606667</v>
      </c>
      <c r="T124" s="67">
        <f>SUM(T119,T117)</f>
        <v>1226.0090248644153</v>
      </c>
      <c r="V124" s="67">
        <f>SUM(V119,V117)</f>
        <v>863.8052997210116</v>
      </c>
      <c r="W124" s="66">
        <v>100</v>
      </c>
      <c r="X124" s="67">
        <f>SUM(X119,X117)</f>
        <v>1337.396581908529</v>
      </c>
      <c r="Y124" s="66">
        <v>100</v>
      </c>
      <c r="Z124" s="67">
        <f>SUM(Z119,Z117)</f>
        <v>1389.7329285738056</v>
      </c>
      <c r="AB124" s="67">
        <f>SUM(AB119,AB117)</f>
        <v>2285.182174395158</v>
      </c>
      <c r="AC124" s="66">
        <v>100</v>
      </c>
      <c r="AD124" s="67">
        <f>SUM(AD119,AD117)/2</f>
        <v>8.767600734383407</v>
      </c>
      <c r="AE124" s="66">
        <v>100</v>
      </c>
      <c r="AF124" s="67">
        <f>SUM(AF119,AF117)/2</f>
        <v>3.4804399532311425</v>
      </c>
      <c r="AG124" s="66">
        <f>AH117/AH124*100</f>
        <v>4.699309891554386</v>
      </c>
      <c r="AH124" s="67">
        <f>SUM(AH119,AH117)</f>
        <v>8.462804840671236</v>
      </c>
      <c r="AI124" s="67">
        <f t="shared" si="60"/>
        <v>11.222143211133123</v>
      </c>
      <c r="AJ124" s="66">
        <f>SUM(X124,AD124,R124,L124,F124)</f>
        <v>12010.191103454008</v>
      </c>
      <c r="AK124" s="67">
        <f>SUM((AF124*AE124/100),(Z124*Y124/100),(T124*S124/100),(N124*M124/100),(H124*G124/100))/AL124*100</f>
        <v>19.53136011996691</v>
      </c>
      <c r="AL124" s="66">
        <f>SUM(Z124,AF124,T124,N124,H124)</f>
        <v>7133.212228792785</v>
      </c>
      <c r="AM124" s="67">
        <f>SUM((AH124*AG124/100),(AB124*AA124/100),(V124*U124/100),(P124*O124/100),(J124*I124/100))/AN124*100</f>
        <v>0.003179104281125516</v>
      </c>
      <c r="AN124" s="66">
        <f>SUM(AB124,AH124,V124,P124,J124)</f>
        <v>12509.606159877498</v>
      </c>
      <c r="AO124" s="66">
        <f>(AO117*AP117+AO119*AP119)/AP124</f>
        <v>0.2809971536264991</v>
      </c>
      <c r="AP124" s="66">
        <f>AP117+AP119</f>
        <v>482769.46182092285</v>
      </c>
      <c r="AQ124" s="66">
        <f>(AQ117*AR117+AQ119*AR119)/AR124</f>
        <v>0.002032667461832062</v>
      </c>
      <c r="AR124" s="66">
        <f>AR117+AR119</f>
        <v>414271.03039439337</v>
      </c>
      <c r="AS124" s="66">
        <f>(AS117*AT117+AS119*AT119)/AT124</f>
        <v>0.0009271522388059698</v>
      </c>
      <c r="AT124" s="66">
        <f>AT117+AT119</f>
        <v>42894.08020982347</v>
      </c>
      <c r="AU124" s="66">
        <f>(AU117*AV117+AU119*AV119)/AV124</f>
        <v>0.14526403562702345</v>
      </c>
      <c r="AV124" s="66">
        <f t="shared" si="44"/>
        <v>313311.5241417132</v>
      </c>
    </row>
    <row r="125" spans="2:48" ht="12.75">
      <c r="B125" s="64" t="s">
        <v>65</v>
      </c>
      <c r="D125" s="64" t="s">
        <v>63</v>
      </c>
      <c r="F125" s="67">
        <f>SUM(F118,F116,F114)</f>
        <v>6275.289831956077</v>
      </c>
      <c r="H125" s="67">
        <f>SUM(H118,H116,H114)</f>
        <v>2761.386009985817</v>
      </c>
      <c r="J125" s="67">
        <f>SUM(J118,J116,J114)</f>
        <v>8300.885449770523</v>
      </c>
      <c r="L125" s="67">
        <f>SUM(L118,L116,L114)</f>
        <v>635.4096629976724</v>
      </c>
      <c r="N125" s="67">
        <f>SUM(N118,N116,N114)</f>
        <v>685.0241015619544</v>
      </c>
      <c r="P125" s="67">
        <f>SUM(P118,P116,P114)</f>
        <v>48.98573245293345</v>
      </c>
      <c r="R125" s="67">
        <f>SUM(R118,R116,R114/2)</f>
        <v>180.67745537373264</v>
      </c>
      <c r="T125" s="67">
        <f>SUM(T118,T116,T114/2)</f>
        <v>502.68113278261677</v>
      </c>
      <c r="V125" s="67">
        <f>SUM(V118,V116,V114/2)</f>
        <v>335.1187315448839</v>
      </c>
      <c r="W125" s="66">
        <f>SUM(X116,X114)/X125*100</f>
        <v>6.171748416556195</v>
      </c>
      <c r="X125" s="67">
        <f>SUM(X118,X116,X114)</f>
        <v>565.2836131600675</v>
      </c>
      <c r="Y125" s="66">
        <f>Z114/Z125*100</f>
        <v>3.1363693388533433</v>
      </c>
      <c r="Z125" s="67">
        <f>SUM(Z118,Z116,Z114)</f>
        <v>594.5768436295316</v>
      </c>
      <c r="AB125" s="67">
        <f>SUM(AB118,AB116,AB114/2)</f>
        <v>879.9942323842072</v>
      </c>
      <c r="AC125" s="66">
        <v>100</v>
      </c>
      <c r="AD125" s="67">
        <f>SUM(AD118,AD116,AD114)/2</f>
        <v>9.263880021235298</v>
      </c>
      <c r="AE125" s="66">
        <f>AF118/AF125*100</f>
        <v>4.705882352941178</v>
      </c>
      <c r="AF125" s="67">
        <f>SUM(AF118/2,AF116,AF114)</f>
        <v>11.163675321684792</v>
      </c>
      <c r="AH125" s="67">
        <f>SUM(AH118,AH116,AH114)</f>
        <v>11.758376229496541</v>
      </c>
      <c r="AI125" s="67"/>
      <c r="AJ125" s="66">
        <f>AP125</f>
        <v>222682.35408187628</v>
      </c>
      <c r="AK125" s="67"/>
      <c r="AL125" s="66">
        <f>AR125</f>
        <v>183911.8290944576</v>
      </c>
      <c r="AM125" s="67"/>
      <c r="AN125" s="66">
        <f>AT125</f>
        <v>111140.48245410976</v>
      </c>
      <c r="AO125" s="66">
        <f>(AO114*AP114+AO116*AP116+AO118*AP118)/AP125</f>
        <v>0.07253338836153529</v>
      </c>
      <c r="AP125" s="66">
        <f>AP114+AP116+AP118</f>
        <v>222682.35408187628</v>
      </c>
      <c r="AQ125" s="66">
        <f>(AQ114*AR114+AQ116*AR116+AQ118*AR118)/AR125</f>
        <v>0.0947716281569049</v>
      </c>
      <c r="AR125" s="66">
        <f>AR114+AR116+AR118</f>
        <v>183911.8290944576</v>
      </c>
      <c r="AS125" s="66">
        <f>(AS114*AT114+AS116*AT116+AS118*AT118)/AT125</f>
        <v>0.10800552995391705</v>
      </c>
      <c r="AT125" s="66">
        <f>AT114+AT116+AT118</f>
        <v>111140.48245410976</v>
      </c>
      <c r="AU125" s="66">
        <f>(AU114*AV114+AU116*AV116+AU118*AV118)/AV125</f>
        <v>0.08804764077707429</v>
      </c>
      <c r="AV125" s="66">
        <f t="shared" si="44"/>
        <v>172578.22187681455</v>
      </c>
    </row>
    <row r="127" spans="2:48" ht="12.75">
      <c r="B127" s="65" t="s">
        <v>211</v>
      </c>
      <c r="F127" s="74" t="s">
        <v>218</v>
      </c>
      <c r="G127" s="75"/>
      <c r="H127" s="74" t="s">
        <v>219</v>
      </c>
      <c r="I127" s="75"/>
      <c r="J127" s="74" t="s">
        <v>220</v>
      </c>
      <c r="K127" s="75"/>
      <c r="L127" s="74" t="s">
        <v>218</v>
      </c>
      <c r="M127" s="75"/>
      <c r="N127" s="74" t="s">
        <v>219</v>
      </c>
      <c r="O127" s="75"/>
      <c r="P127" s="74" t="s">
        <v>220</v>
      </c>
      <c r="Q127" s="75"/>
      <c r="R127" s="74" t="s">
        <v>218</v>
      </c>
      <c r="S127" s="75"/>
      <c r="T127" s="74" t="s">
        <v>219</v>
      </c>
      <c r="U127" s="75"/>
      <c r="V127" s="74" t="s">
        <v>220</v>
      </c>
      <c r="W127" s="75"/>
      <c r="X127" s="74" t="s">
        <v>218</v>
      </c>
      <c r="Y127" s="75"/>
      <c r="Z127" s="74" t="s">
        <v>219</v>
      </c>
      <c r="AA127" s="75"/>
      <c r="AB127" s="74" t="s">
        <v>220</v>
      </c>
      <c r="AC127" s="75"/>
      <c r="AD127" s="74" t="s">
        <v>218</v>
      </c>
      <c r="AE127" s="75"/>
      <c r="AF127" s="74" t="s">
        <v>219</v>
      </c>
      <c r="AG127" s="75"/>
      <c r="AH127" s="74" t="s">
        <v>220</v>
      </c>
      <c r="AI127" s="74"/>
      <c r="AJ127" s="74" t="s">
        <v>218</v>
      </c>
      <c r="AK127" s="75"/>
      <c r="AL127" s="74" t="s">
        <v>219</v>
      </c>
      <c r="AM127" s="75"/>
      <c r="AN127" s="74" t="s">
        <v>220</v>
      </c>
      <c r="AO127" s="74"/>
      <c r="AP127" s="74" t="s">
        <v>218</v>
      </c>
      <c r="AQ127" s="74"/>
      <c r="AR127" s="74" t="s">
        <v>219</v>
      </c>
      <c r="AS127" s="74"/>
      <c r="AT127" s="74" t="s">
        <v>220</v>
      </c>
      <c r="AU127" s="74"/>
      <c r="AV127" s="74" t="s">
        <v>221</v>
      </c>
    </row>
    <row r="129" spans="2:48" ht="12.75">
      <c r="B129" s="12" t="s">
        <v>328</v>
      </c>
      <c r="F129" s="74" t="s">
        <v>331</v>
      </c>
      <c r="G129" s="75"/>
      <c r="H129" s="74" t="s">
        <v>331</v>
      </c>
      <c r="I129" s="75"/>
      <c r="J129" s="74" t="s">
        <v>331</v>
      </c>
      <c r="K129" s="75"/>
      <c r="L129" s="74" t="s">
        <v>333</v>
      </c>
      <c r="M129" s="75"/>
      <c r="N129" s="74" t="s">
        <v>333</v>
      </c>
      <c r="O129" s="75"/>
      <c r="P129" s="74" t="s">
        <v>333</v>
      </c>
      <c r="Q129" s="75"/>
      <c r="R129" s="74" t="s">
        <v>335</v>
      </c>
      <c r="S129" s="75"/>
      <c r="T129" s="74" t="s">
        <v>335</v>
      </c>
      <c r="U129" s="75"/>
      <c r="V129" s="74" t="s">
        <v>335</v>
      </c>
      <c r="W129" s="75"/>
      <c r="X129" s="74" t="s">
        <v>336</v>
      </c>
      <c r="Y129" s="75"/>
      <c r="Z129" s="74" t="s">
        <v>336</v>
      </c>
      <c r="AA129" s="75"/>
      <c r="AB129" s="74" t="s">
        <v>336</v>
      </c>
      <c r="AC129" s="75"/>
      <c r="AD129" s="74" t="s">
        <v>338</v>
      </c>
      <c r="AE129" s="75"/>
      <c r="AF129" s="74" t="s">
        <v>338</v>
      </c>
      <c r="AG129" s="75"/>
      <c r="AH129" s="74" t="s">
        <v>338</v>
      </c>
      <c r="AI129" s="74"/>
      <c r="AJ129" s="74"/>
      <c r="AK129" s="74"/>
      <c r="AL129" s="74"/>
      <c r="AM129" s="74"/>
      <c r="AN129" s="74"/>
      <c r="AO129" s="74"/>
      <c r="AP129" s="74" t="s">
        <v>339</v>
      </c>
      <c r="AQ129" s="74"/>
      <c r="AR129" s="74" t="s">
        <v>339</v>
      </c>
      <c r="AS129" s="74"/>
      <c r="AT129" s="74" t="s">
        <v>339</v>
      </c>
      <c r="AU129" s="74"/>
      <c r="AV129" s="74" t="s">
        <v>339</v>
      </c>
    </row>
    <row r="130" spans="2:48" ht="12.75">
      <c r="B130" s="12" t="s">
        <v>329</v>
      </c>
      <c r="F130" s="64" t="s">
        <v>330</v>
      </c>
      <c r="H130" s="64" t="s">
        <v>330</v>
      </c>
      <c r="J130" s="64" t="s">
        <v>330</v>
      </c>
      <c r="L130" s="64" t="s">
        <v>334</v>
      </c>
      <c r="N130" s="64" t="s">
        <v>334</v>
      </c>
      <c r="P130" s="64" t="s">
        <v>334</v>
      </c>
      <c r="R130" s="64" t="s">
        <v>334</v>
      </c>
      <c r="T130" s="64" t="s">
        <v>334</v>
      </c>
      <c r="V130" s="64" t="s">
        <v>334</v>
      </c>
      <c r="X130" s="64" t="s">
        <v>334</v>
      </c>
      <c r="Z130" s="64" t="s">
        <v>334</v>
      </c>
      <c r="AB130" s="64" t="s">
        <v>334</v>
      </c>
      <c r="AD130" s="64" t="s">
        <v>337</v>
      </c>
      <c r="AF130" s="64" t="s">
        <v>337</v>
      </c>
      <c r="AH130" s="64" t="s">
        <v>337</v>
      </c>
      <c r="AP130" s="64" t="s">
        <v>24</v>
      </c>
      <c r="AR130" s="64" t="s">
        <v>24</v>
      </c>
      <c r="AT130" s="64" t="s">
        <v>24</v>
      </c>
      <c r="AV130" s="64" t="s">
        <v>24</v>
      </c>
    </row>
    <row r="131" spans="2:48" ht="12.75">
      <c r="B131" s="12" t="s">
        <v>46</v>
      </c>
      <c r="F131" s="64" t="s">
        <v>229</v>
      </c>
      <c r="H131" s="64" t="s">
        <v>229</v>
      </c>
      <c r="J131" s="64" t="s">
        <v>229</v>
      </c>
      <c r="L131" s="64" t="s">
        <v>230</v>
      </c>
      <c r="N131" s="64" t="s">
        <v>230</v>
      </c>
      <c r="P131" s="64" t="s">
        <v>230</v>
      </c>
      <c r="R131" s="64" t="s">
        <v>231</v>
      </c>
      <c r="T131" s="64" t="s">
        <v>231</v>
      </c>
      <c r="V131" s="64" t="s">
        <v>231</v>
      </c>
      <c r="X131" s="64" t="s">
        <v>232</v>
      </c>
      <c r="Z131" s="64" t="s">
        <v>232</v>
      </c>
      <c r="AB131" s="64" t="s">
        <v>232</v>
      </c>
      <c r="AD131" s="64" t="s">
        <v>233</v>
      </c>
      <c r="AF131" s="64" t="s">
        <v>233</v>
      </c>
      <c r="AH131" s="64" t="s">
        <v>233</v>
      </c>
      <c r="AP131" s="64" t="s">
        <v>24</v>
      </c>
      <c r="AR131" s="64" t="s">
        <v>24</v>
      </c>
      <c r="AT131" s="64" t="s">
        <v>24</v>
      </c>
      <c r="AV131" s="64" t="s">
        <v>24</v>
      </c>
    </row>
    <row r="132" spans="1:60" ht="12.75">
      <c r="A132" s="64" t="s">
        <v>211</v>
      </c>
      <c r="B132" s="64" t="s">
        <v>119</v>
      </c>
      <c r="D132" s="64" t="s">
        <v>54</v>
      </c>
      <c r="F132" s="66">
        <v>5504</v>
      </c>
      <c r="H132" s="66">
        <v>7148</v>
      </c>
      <c r="J132" s="66">
        <v>6692</v>
      </c>
      <c r="L132" s="66"/>
      <c r="N132" s="66"/>
      <c r="P132" s="66"/>
      <c r="R132" s="66">
        <v>822</v>
      </c>
      <c r="T132" s="66">
        <v>834</v>
      </c>
      <c r="V132" s="66">
        <v>420</v>
      </c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ht="12.75">
      <c r="A133" s="64" t="s">
        <v>211</v>
      </c>
      <c r="B133" s="64" t="s">
        <v>47</v>
      </c>
      <c r="D133" s="64" t="s">
        <v>48</v>
      </c>
      <c r="F133" s="66">
        <v>5250.726744186047</v>
      </c>
      <c r="H133" s="66">
        <v>5260.212646894236</v>
      </c>
      <c r="J133" s="66">
        <v>5260.011954572624</v>
      </c>
      <c r="L133" s="66"/>
      <c r="N133" s="66"/>
      <c r="P133" s="66"/>
      <c r="R133" s="66">
        <v>25547.445255474453</v>
      </c>
      <c r="T133" s="66">
        <v>26019.184652278178</v>
      </c>
      <c r="V133" s="66">
        <v>30952.380952381</v>
      </c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ht="12.75">
      <c r="A134" s="64" t="s">
        <v>211</v>
      </c>
      <c r="B134" s="64" t="s">
        <v>49</v>
      </c>
      <c r="D134" s="64" t="s">
        <v>238</v>
      </c>
      <c r="F134" s="64">
        <v>0</v>
      </c>
      <c r="H134" s="64">
        <v>0</v>
      </c>
      <c r="J134" s="64">
        <v>0</v>
      </c>
      <c r="R134" s="64">
        <v>0</v>
      </c>
      <c r="T134" s="64">
        <v>0</v>
      </c>
      <c r="V134" s="64">
        <v>0</v>
      </c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ht="12.75">
      <c r="A135" s="64" t="s">
        <v>211</v>
      </c>
      <c r="B135" s="64" t="s">
        <v>100</v>
      </c>
      <c r="D135" s="64" t="s">
        <v>239</v>
      </c>
      <c r="F135" s="64">
        <v>19.985465116279</v>
      </c>
      <c r="H135" s="64">
        <v>20.005595970901</v>
      </c>
      <c r="J135" s="64">
        <v>20.023909145248</v>
      </c>
      <c r="R135" s="64">
        <v>0.16909975669099755</v>
      </c>
      <c r="T135" s="64">
        <v>0.16906474820143885</v>
      </c>
      <c r="V135" s="64">
        <v>0.16976190476190475</v>
      </c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42:60" ht="12.75"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2:60" ht="12.75">
      <c r="B137" s="62" t="s">
        <v>69</v>
      </c>
      <c r="C137" s="62"/>
      <c r="D137" s="62" t="s">
        <v>16</v>
      </c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2:60" ht="12.75">
      <c r="B138" s="62" t="s">
        <v>70</v>
      </c>
      <c r="C138" s="62"/>
      <c r="D138" s="62" t="s">
        <v>17</v>
      </c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42:60" ht="12.75"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2:60" ht="12.75">
      <c r="B140" s="48" t="s">
        <v>87</v>
      </c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2:60" ht="12.75">
      <c r="B141" s="64" t="s">
        <v>49</v>
      </c>
      <c r="D141" s="64" t="s">
        <v>71</v>
      </c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2:60" ht="12.75">
      <c r="B142" s="64" t="s">
        <v>100</v>
      </c>
      <c r="D142" s="64" t="s">
        <v>63</v>
      </c>
      <c r="F142" s="67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42:60" ht="12.75"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2:48" ht="12.75">
      <c r="B144" s="65" t="s">
        <v>216</v>
      </c>
      <c r="F144" s="74" t="s">
        <v>218</v>
      </c>
      <c r="G144" s="75"/>
      <c r="H144" s="74" t="s">
        <v>219</v>
      </c>
      <c r="I144" s="75"/>
      <c r="J144" s="74" t="s">
        <v>220</v>
      </c>
      <c r="K144" s="75"/>
      <c r="L144" s="74" t="s">
        <v>218</v>
      </c>
      <c r="M144" s="75"/>
      <c r="N144" s="74" t="s">
        <v>219</v>
      </c>
      <c r="O144" s="75"/>
      <c r="P144" s="74" t="s">
        <v>220</v>
      </c>
      <c r="Q144" s="75"/>
      <c r="R144" s="74" t="s">
        <v>218</v>
      </c>
      <c r="S144" s="75"/>
      <c r="T144" s="74" t="s">
        <v>219</v>
      </c>
      <c r="U144" s="75"/>
      <c r="V144" s="74" t="s">
        <v>220</v>
      </c>
      <c r="W144" s="75"/>
      <c r="X144" s="74" t="s">
        <v>218</v>
      </c>
      <c r="Y144" s="75"/>
      <c r="Z144" s="74" t="s">
        <v>219</v>
      </c>
      <c r="AA144" s="75"/>
      <c r="AB144" s="74" t="s">
        <v>220</v>
      </c>
      <c r="AC144" s="75"/>
      <c r="AD144" s="74" t="s">
        <v>218</v>
      </c>
      <c r="AE144" s="75"/>
      <c r="AF144" s="74" t="s">
        <v>219</v>
      </c>
      <c r="AG144" s="75"/>
      <c r="AH144" s="74" t="s">
        <v>220</v>
      </c>
      <c r="AI144" s="74"/>
      <c r="AJ144" s="74"/>
      <c r="AK144" s="74"/>
      <c r="AL144" s="74"/>
      <c r="AM144" s="74"/>
      <c r="AN144" s="74"/>
      <c r="AO144" s="74"/>
      <c r="AP144" s="74" t="s">
        <v>218</v>
      </c>
      <c r="AQ144" s="74"/>
      <c r="AR144" s="74" t="s">
        <v>219</v>
      </c>
      <c r="AS144" s="74"/>
      <c r="AT144" s="74" t="s">
        <v>220</v>
      </c>
      <c r="AU144" s="74"/>
      <c r="AV144" s="74" t="s">
        <v>221</v>
      </c>
    </row>
    <row r="146" spans="2:48" ht="12.75">
      <c r="B146" s="12" t="s">
        <v>328</v>
      </c>
      <c r="F146" s="74" t="s">
        <v>331</v>
      </c>
      <c r="G146" s="75"/>
      <c r="H146" s="74" t="s">
        <v>331</v>
      </c>
      <c r="I146" s="75"/>
      <c r="J146" s="74" t="s">
        <v>331</v>
      </c>
      <c r="K146" s="75"/>
      <c r="L146" s="74" t="s">
        <v>333</v>
      </c>
      <c r="M146" s="75"/>
      <c r="N146" s="74" t="s">
        <v>333</v>
      </c>
      <c r="O146" s="75"/>
      <c r="P146" s="74" t="s">
        <v>333</v>
      </c>
      <c r="Q146" s="75"/>
      <c r="R146" s="74" t="s">
        <v>335</v>
      </c>
      <c r="S146" s="75"/>
      <c r="T146" s="74" t="s">
        <v>335</v>
      </c>
      <c r="U146" s="75"/>
      <c r="V146" s="74" t="s">
        <v>335</v>
      </c>
      <c r="W146" s="75"/>
      <c r="X146" s="74" t="s">
        <v>336</v>
      </c>
      <c r="Y146" s="75"/>
      <c r="Z146" s="74" t="s">
        <v>336</v>
      </c>
      <c r="AA146" s="75"/>
      <c r="AB146" s="74" t="s">
        <v>336</v>
      </c>
      <c r="AC146" s="75"/>
      <c r="AD146" s="74" t="s">
        <v>338</v>
      </c>
      <c r="AE146" s="75"/>
      <c r="AF146" s="74" t="s">
        <v>338</v>
      </c>
      <c r="AG146" s="75"/>
      <c r="AH146" s="74" t="s">
        <v>338</v>
      </c>
      <c r="AI146" s="74"/>
      <c r="AJ146" s="74"/>
      <c r="AK146" s="74"/>
      <c r="AL146" s="74"/>
      <c r="AM146" s="74"/>
      <c r="AN146" s="74"/>
      <c r="AO146" s="74"/>
      <c r="AP146" s="74" t="s">
        <v>339</v>
      </c>
      <c r="AQ146" s="74"/>
      <c r="AR146" s="74" t="s">
        <v>339</v>
      </c>
      <c r="AS146" s="74"/>
      <c r="AT146" s="74" t="s">
        <v>339</v>
      </c>
      <c r="AU146" s="74"/>
      <c r="AV146" s="74" t="s">
        <v>339</v>
      </c>
    </row>
    <row r="147" spans="2:48" ht="12.75">
      <c r="B147" s="12" t="s">
        <v>329</v>
      </c>
      <c r="F147" s="64" t="s">
        <v>330</v>
      </c>
      <c r="H147" s="64" t="s">
        <v>330</v>
      </c>
      <c r="J147" s="64" t="s">
        <v>330</v>
      </c>
      <c r="L147" s="64" t="s">
        <v>332</v>
      </c>
      <c r="N147" s="64" t="s">
        <v>332</v>
      </c>
      <c r="P147" s="64" t="s">
        <v>332</v>
      </c>
      <c r="R147" s="64" t="s">
        <v>334</v>
      </c>
      <c r="T147" s="64" t="s">
        <v>334</v>
      </c>
      <c r="V147" s="64" t="s">
        <v>334</v>
      </c>
      <c r="X147" s="64" t="s">
        <v>334</v>
      </c>
      <c r="Z147" s="64" t="s">
        <v>334</v>
      </c>
      <c r="AB147" s="64" t="s">
        <v>334</v>
      </c>
      <c r="AD147" s="64" t="s">
        <v>337</v>
      </c>
      <c r="AF147" s="64" t="s">
        <v>337</v>
      </c>
      <c r="AH147" s="64" t="s">
        <v>337</v>
      </c>
      <c r="AP147" s="64" t="s">
        <v>24</v>
      </c>
      <c r="AR147" s="64" t="s">
        <v>24</v>
      </c>
      <c r="AT147" s="64" t="s">
        <v>24</v>
      </c>
      <c r="AV147" s="64" t="s">
        <v>24</v>
      </c>
    </row>
    <row r="148" spans="2:48" ht="12.75">
      <c r="B148" s="12" t="s">
        <v>46</v>
      </c>
      <c r="F148" s="64" t="s">
        <v>229</v>
      </c>
      <c r="H148" s="64" t="s">
        <v>229</v>
      </c>
      <c r="J148" s="64" t="s">
        <v>229</v>
      </c>
      <c r="L148" s="64" t="s">
        <v>230</v>
      </c>
      <c r="N148" s="64" t="s">
        <v>230</v>
      </c>
      <c r="P148" s="64" t="s">
        <v>230</v>
      </c>
      <c r="R148" s="64" t="s">
        <v>231</v>
      </c>
      <c r="T148" s="64" t="s">
        <v>231</v>
      </c>
      <c r="V148" s="64" t="s">
        <v>231</v>
      </c>
      <c r="X148" s="64" t="s">
        <v>232</v>
      </c>
      <c r="Z148" s="64" t="s">
        <v>232</v>
      </c>
      <c r="AB148" s="64" t="s">
        <v>232</v>
      </c>
      <c r="AD148" s="64" t="s">
        <v>233</v>
      </c>
      <c r="AF148" s="64" t="s">
        <v>233</v>
      </c>
      <c r="AH148" s="64" t="s">
        <v>233</v>
      </c>
      <c r="AP148" s="64" t="s">
        <v>24</v>
      </c>
      <c r="AR148" s="64" t="s">
        <v>24</v>
      </c>
      <c r="AT148" s="64" t="s">
        <v>24</v>
      </c>
      <c r="AV148" s="64" t="s">
        <v>24</v>
      </c>
    </row>
    <row r="149" spans="1:60" ht="12.75">
      <c r="A149" s="64" t="s">
        <v>216</v>
      </c>
      <c r="B149" s="64" t="s">
        <v>119</v>
      </c>
      <c r="D149" s="64" t="s">
        <v>54</v>
      </c>
      <c r="F149" s="66">
        <v>5006</v>
      </c>
      <c r="H149" s="66">
        <v>8248</v>
      </c>
      <c r="J149" s="66">
        <v>7085</v>
      </c>
      <c r="L149" s="66"/>
      <c r="N149" s="66"/>
      <c r="P149" s="66"/>
      <c r="R149" s="66">
        <v>918</v>
      </c>
      <c r="T149" s="66">
        <v>474</v>
      </c>
      <c r="V149" s="66">
        <v>1044</v>
      </c>
      <c r="X149" s="66"/>
      <c r="Z149" s="66"/>
      <c r="AB149" s="66"/>
      <c r="AD149" s="66">
        <v>273</v>
      </c>
      <c r="AF149" s="66">
        <v>486.3</v>
      </c>
      <c r="AH149" s="66">
        <v>490.3</v>
      </c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ht="12.75">
      <c r="A150" s="64" t="s">
        <v>216</v>
      </c>
      <c r="B150" s="64" t="s">
        <v>47</v>
      </c>
      <c r="D150" s="64" t="s">
        <v>48</v>
      </c>
      <c r="F150" s="66">
        <v>5253.695565321614</v>
      </c>
      <c r="H150" s="66">
        <v>5249.757516973812</v>
      </c>
      <c r="J150" s="66">
        <v>5250.5292872265345</v>
      </c>
      <c r="L150" s="66"/>
      <c r="N150" s="66"/>
      <c r="P150" s="66"/>
      <c r="R150" s="66">
        <v>20915.03267973856</v>
      </c>
      <c r="T150" s="66">
        <v>21940.928270042194</v>
      </c>
      <c r="V150" s="66">
        <v>20785.44061302682</v>
      </c>
      <c r="X150" s="66"/>
      <c r="Z150" s="66"/>
      <c r="AB150" s="66"/>
      <c r="AD150" s="66">
        <v>0</v>
      </c>
      <c r="AF150" s="66">
        <v>0</v>
      </c>
      <c r="AH150" s="66">
        <v>0</v>
      </c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ht="12.75">
      <c r="A151" s="64" t="s">
        <v>216</v>
      </c>
      <c r="B151" s="64" t="s">
        <v>49</v>
      </c>
      <c r="D151" s="64" t="s">
        <v>238</v>
      </c>
      <c r="F151" s="64">
        <v>0</v>
      </c>
      <c r="H151" s="64">
        <v>0</v>
      </c>
      <c r="J151" s="64">
        <v>0</v>
      </c>
      <c r="R151" s="64">
        <v>0</v>
      </c>
      <c r="T151" s="64">
        <v>0</v>
      </c>
      <c r="V151" s="64">
        <v>0</v>
      </c>
      <c r="AD151" s="64">
        <v>0</v>
      </c>
      <c r="AF151" s="64">
        <v>0</v>
      </c>
      <c r="AH151" s="64">
        <v>0</v>
      </c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ht="12.75">
      <c r="A152" s="64" t="s">
        <v>216</v>
      </c>
      <c r="B152" s="64" t="s">
        <v>100</v>
      </c>
      <c r="D152" s="64" t="s">
        <v>239</v>
      </c>
      <c r="F152" s="64">
        <v>19.976028765481423</v>
      </c>
      <c r="H152" s="64">
        <v>20.004849660523764</v>
      </c>
      <c r="J152" s="64">
        <v>20.042342978122793</v>
      </c>
      <c r="R152" s="64">
        <v>0.16884531590414</v>
      </c>
      <c r="T152" s="64">
        <v>0.16814345991561183</v>
      </c>
      <c r="V152" s="64">
        <v>0.16954022988505746</v>
      </c>
      <c r="AD152" s="64">
        <v>0.010109890109890109</v>
      </c>
      <c r="AF152" s="64">
        <v>0.010096648159572279</v>
      </c>
      <c r="AH152" s="64">
        <v>0.010095859677748318</v>
      </c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B1">
      <selection activeCell="C2" sqref="C2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8" t="s">
        <v>78</v>
      </c>
      <c r="C1" s="16"/>
      <c r="D1" s="16"/>
      <c r="E1" s="16"/>
      <c r="F1" s="16"/>
    </row>
    <row r="2" spans="2:6" ht="12.75">
      <c r="B2" s="16"/>
      <c r="C2" s="16"/>
      <c r="D2" s="16"/>
      <c r="E2" s="16"/>
      <c r="F2" s="16"/>
    </row>
    <row r="3" spans="1:6" ht="12.75">
      <c r="A3" t="s">
        <v>117</v>
      </c>
      <c r="B3" s="8" t="s">
        <v>195</v>
      </c>
      <c r="C3" s="16" t="s">
        <v>116</v>
      </c>
      <c r="D3" s="16"/>
      <c r="E3" s="16"/>
      <c r="F3" s="16"/>
    </row>
    <row r="4" spans="2:6" ht="12.75">
      <c r="B4" s="16"/>
      <c r="C4" s="16"/>
      <c r="D4" s="16"/>
      <c r="F4" s="16"/>
    </row>
    <row r="5" spans="2:7" ht="14.25">
      <c r="B5" s="16" t="s">
        <v>136</v>
      </c>
      <c r="C5" s="9" t="s">
        <v>59</v>
      </c>
      <c r="D5" s="9"/>
      <c r="E5">
        <v>1819</v>
      </c>
      <c r="F5" s="16">
        <v>1824</v>
      </c>
      <c r="G5">
        <v>1803</v>
      </c>
    </row>
    <row r="6" spans="2:7" ht="14.25">
      <c r="B6" s="16" t="s">
        <v>137</v>
      </c>
      <c r="C6" s="9" t="s">
        <v>59</v>
      </c>
      <c r="D6" s="9"/>
      <c r="E6">
        <v>2025</v>
      </c>
      <c r="F6" s="16">
        <v>2015</v>
      </c>
      <c r="G6">
        <v>2013</v>
      </c>
    </row>
    <row r="7" spans="2:7" ht="12.75">
      <c r="B7" s="16" t="s">
        <v>138</v>
      </c>
      <c r="C7" s="16" t="s">
        <v>54</v>
      </c>
      <c r="D7" s="16"/>
      <c r="E7">
        <v>25</v>
      </c>
      <c r="F7" s="16">
        <v>25</v>
      </c>
      <c r="G7">
        <v>25</v>
      </c>
    </row>
    <row r="8" spans="2:7" ht="12.75">
      <c r="B8" s="16" t="s">
        <v>139</v>
      </c>
      <c r="C8" s="16" t="s">
        <v>173</v>
      </c>
      <c r="D8" s="16"/>
      <c r="E8">
        <v>5.31</v>
      </c>
      <c r="F8" s="16">
        <v>5.18</v>
      </c>
      <c r="G8">
        <v>5.11</v>
      </c>
    </row>
    <row r="9" spans="2:7" ht="14.25">
      <c r="B9" s="16" t="s">
        <v>140</v>
      </c>
      <c r="C9" s="9" t="s">
        <v>59</v>
      </c>
      <c r="D9" s="16"/>
      <c r="E9">
        <v>375</v>
      </c>
      <c r="F9" s="16">
        <v>375</v>
      </c>
      <c r="G9">
        <v>376</v>
      </c>
    </row>
    <row r="10" spans="2:7" ht="12.75">
      <c r="B10" s="16" t="s">
        <v>141</v>
      </c>
      <c r="C10" s="16" t="s">
        <v>174</v>
      </c>
      <c r="D10" s="16"/>
      <c r="E10">
        <v>5.41</v>
      </c>
      <c r="F10" s="16">
        <v>5.55</v>
      </c>
      <c r="G10">
        <v>5.44</v>
      </c>
    </row>
    <row r="11" spans="2:7" ht="12.75">
      <c r="B11" s="16" t="s">
        <v>142</v>
      </c>
      <c r="C11" s="16" t="s">
        <v>175</v>
      </c>
      <c r="D11" s="16"/>
      <c r="E11">
        <v>1952</v>
      </c>
      <c r="F11" s="16">
        <v>1961</v>
      </c>
      <c r="G11">
        <v>1954</v>
      </c>
    </row>
    <row r="12" spans="2:7" ht="12.75">
      <c r="B12" s="16" t="s">
        <v>143</v>
      </c>
      <c r="C12" s="16" t="s">
        <v>174</v>
      </c>
      <c r="D12" s="16"/>
      <c r="E12">
        <v>6.32</v>
      </c>
      <c r="F12" s="16">
        <v>6.43</v>
      </c>
      <c r="G12">
        <v>5.94</v>
      </c>
    </row>
    <row r="13" spans="2:7" ht="12.75">
      <c r="B13" s="16" t="s">
        <v>144</v>
      </c>
      <c r="C13" s="16" t="s">
        <v>175</v>
      </c>
      <c r="D13" s="16"/>
      <c r="E13" s="16">
        <v>2132</v>
      </c>
      <c r="F13" s="16">
        <v>2142</v>
      </c>
      <c r="G13">
        <v>2156</v>
      </c>
    </row>
    <row r="14" spans="2:7" ht="12.75">
      <c r="B14" t="s">
        <v>145</v>
      </c>
      <c r="C14" t="s">
        <v>176</v>
      </c>
      <c r="E14" s="16">
        <v>378</v>
      </c>
      <c r="F14" s="16">
        <v>329</v>
      </c>
      <c r="G14">
        <v>315</v>
      </c>
    </row>
    <row r="15" spans="2:7" ht="12.75">
      <c r="B15" t="s">
        <v>177</v>
      </c>
      <c r="C15" t="s">
        <v>178</v>
      </c>
      <c r="E15" s="16">
        <v>9.49</v>
      </c>
      <c r="F15" s="16">
        <v>10.35</v>
      </c>
      <c r="G15">
        <v>10.22</v>
      </c>
    </row>
    <row r="16" spans="2:7" ht="12.75">
      <c r="B16" t="s">
        <v>179</v>
      </c>
      <c r="C16" t="s">
        <v>178</v>
      </c>
      <c r="E16" s="16">
        <v>14.11</v>
      </c>
      <c r="F16" s="16">
        <v>15.27</v>
      </c>
      <c r="G16">
        <v>14.67</v>
      </c>
    </row>
    <row r="17" spans="2:7" ht="12.75">
      <c r="B17" t="s">
        <v>180</v>
      </c>
      <c r="C17" t="s">
        <v>181</v>
      </c>
      <c r="E17" s="16">
        <v>0.192</v>
      </c>
      <c r="F17" s="16">
        <v>0.192</v>
      </c>
      <c r="G17">
        <v>0.188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C1">
      <selection activeCell="C2" sqref="C2"/>
    </sheetView>
  </sheetViews>
  <sheetFormatPr defaultColWidth="9.140625" defaultRowHeight="12.75"/>
  <cols>
    <col min="1" max="2" width="3.28125" style="0" hidden="1" customWidth="1"/>
    <col min="3" max="3" width="24.7109375" style="0" customWidth="1"/>
  </cols>
  <sheetData>
    <row r="1" ht="12.75">
      <c r="C1" s="8" t="s">
        <v>301</v>
      </c>
    </row>
    <row r="2" spans="5:7" ht="12.75">
      <c r="E2" s="73" t="s">
        <v>218</v>
      </c>
      <c r="F2" s="73" t="s">
        <v>219</v>
      </c>
      <c r="G2" s="73" t="s">
        <v>220</v>
      </c>
    </row>
    <row r="3" ht="12.75">
      <c r="C3" s="20" t="s">
        <v>196</v>
      </c>
    </row>
    <row r="5" spans="1:31" s="62" customFormat="1" ht="12.75">
      <c r="A5" s="62" t="s">
        <v>196</v>
      </c>
      <c r="B5" s="62" t="s">
        <v>287</v>
      </c>
      <c r="C5" s="62" t="s">
        <v>295</v>
      </c>
      <c r="D5" s="62" t="s">
        <v>288</v>
      </c>
      <c r="E5" s="63">
        <v>2099</v>
      </c>
      <c r="F5" s="63">
        <v>2114</v>
      </c>
      <c r="G5" s="63">
        <v>2185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2" customFormat="1" ht="12.75">
      <c r="A6" s="62" t="s">
        <v>196</v>
      </c>
      <c r="B6" s="62" t="s">
        <v>289</v>
      </c>
      <c r="C6" s="62" t="s">
        <v>296</v>
      </c>
      <c r="D6" s="62" t="s">
        <v>288</v>
      </c>
      <c r="E6" s="63">
        <v>2090</v>
      </c>
      <c r="F6" s="63">
        <v>2091</v>
      </c>
      <c r="G6" s="63">
        <v>2085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22" s="62" customFormat="1" ht="12.75">
      <c r="A7" s="62" t="s">
        <v>196</v>
      </c>
      <c r="B7" s="62" t="s">
        <v>290</v>
      </c>
      <c r="C7" s="62" t="s">
        <v>297</v>
      </c>
      <c r="D7" s="62" t="s">
        <v>288</v>
      </c>
      <c r="E7" s="63">
        <v>174</v>
      </c>
      <c r="F7" s="63">
        <v>175</v>
      </c>
      <c r="G7" s="63">
        <v>175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s="62" customFormat="1" ht="12.75">
      <c r="A8" s="62" t="s">
        <v>196</v>
      </c>
      <c r="B8" s="62" t="s">
        <v>287</v>
      </c>
      <c r="C8" s="62" t="s">
        <v>298</v>
      </c>
      <c r="D8" s="62" t="s">
        <v>288</v>
      </c>
      <c r="E8" s="63">
        <v>469</v>
      </c>
      <c r="F8" s="63">
        <v>470</v>
      </c>
      <c r="G8" s="63">
        <v>470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3" s="62" customFormat="1" ht="12.75">
      <c r="A9" s="62" t="s">
        <v>196</v>
      </c>
      <c r="B9" s="62" t="s">
        <v>289</v>
      </c>
      <c r="C9" s="62" t="s">
        <v>299</v>
      </c>
      <c r="D9" s="62" t="s">
        <v>291</v>
      </c>
      <c r="E9" s="63">
        <v>2.3</v>
      </c>
      <c r="F9" s="63"/>
      <c r="G9" s="63">
        <v>3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s="62" customFormat="1" ht="12.75">
      <c r="A10" s="62" t="s">
        <v>196</v>
      </c>
      <c r="B10" s="62" t="s">
        <v>292</v>
      </c>
      <c r="C10" s="62" t="s">
        <v>300</v>
      </c>
      <c r="D10" s="62" t="s">
        <v>293</v>
      </c>
      <c r="E10" s="63">
        <v>30</v>
      </c>
      <c r="F10" s="63">
        <v>27.5</v>
      </c>
      <c r="G10" s="63">
        <v>24.8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2" s="62" customFormat="1" ht="12.75">
      <c r="A11" s="62" t="s">
        <v>196</v>
      </c>
      <c r="B11" s="62" t="s">
        <v>290</v>
      </c>
      <c r="C11" s="62" t="s">
        <v>294</v>
      </c>
      <c r="E11" s="63">
        <v>7.44</v>
      </c>
      <c r="F11" s="63">
        <v>7.5</v>
      </c>
      <c r="G11" s="63">
        <v>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5:22" s="62" customFormat="1" ht="12.75"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3:22" s="62" customFormat="1" ht="12.75">
      <c r="C13" s="20" t="s">
        <v>205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5:22" s="62" customFormat="1" ht="12.75"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31" s="62" customFormat="1" ht="12.75">
      <c r="A15" s="62" t="s">
        <v>205</v>
      </c>
      <c r="B15" s="62" t="s">
        <v>287</v>
      </c>
      <c r="C15" s="62" t="s">
        <v>295</v>
      </c>
      <c r="D15" s="62" t="s">
        <v>288</v>
      </c>
      <c r="E15" s="63">
        <v>2060</v>
      </c>
      <c r="F15" s="63">
        <v>2140</v>
      </c>
      <c r="G15" s="63">
        <v>2095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s="62" customFormat="1" ht="12.75">
      <c r="A16" s="62" t="s">
        <v>205</v>
      </c>
      <c r="B16" s="62" t="s">
        <v>289</v>
      </c>
      <c r="C16" s="62" t="s">
        <v>296</v>
      </c>
      <c r="D16" s="62" t="s">
        <v>288</v>
      </c>
      <c r="E16" s="63">
        <v>2145</v>
      </c>
      <c r="F16" s="63">
        <v>2152</v>
      </c>
      <c r="G16" s="63">
        <v>2209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22" s="62" customFormat="1" ht="12.75">
      <c r="A17" s="62" t="s">
        <v>205</v>
      </c>
      <c r="B17" s="62" t="s">
        <v>290</v>
      </c>
      <c r="C17" s="62" t="s">
        <v>297</v>
      </c>
      <c r="D17" s="62" t="s">
        <v>288</v>
      </c>
      <c r="E17" s="63">
        <v>175</v>
      </c>
      <c r="F17" s="63">
        <v>176</v>
      </c>
      <c r="G17" s="63">
        <v>176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s="62" customFormat="1" ht="12.75">
      <c r="A18" s="62" t="s">
        <v>205</v>
      </c>
      <c r="B18" s="62" t="s">
        <v>287</v>
      </c>
      <c r="C18" s="62" t="s">
        <v>298</v>
      </c>
      <c r="D18" s="62" t="s">
        <v>288</v>
      </c>
      <c r="E18" s="63">
        <v>460</v>
      </c>
      <c r="F18" s="63">
        <v>471</v>
      </c>
      <c r="G18" s="63">
        <v>468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3" s="62" customFormat="1" ht="12.75">
      <c r="A19" s="62" t="s">
        <v>205</v>
      </c>
      <c r="B19" s="62" t="s">
        <v>289</v>
      </c>
      <c r="C19" s="62" t="s">
        <v>299</v>
      </c>
      <c r="D19" s="62" t="s">
        <v>291</v>
      </c>
      <c r="E19" s="63">
        <v>4.1</v>
      </c>
      <c r="F19" s="63">
        <v>3.3</v>
      </c>
      <c r="G19" s="63">
        <v>3.4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s="62" customFormat="1" ht="12.75">
      <c r="A20" s="62" t="s">
        <v>205</v>
      </c>
      <c r="B20" s="62" t="s">
        <v>292</v>
      </c>
      <c r="C20" s="62" t="s">
        <v>300</v>
      </c>
      <c r="D20" s="62" t="s">
        <v>293</v>
      </c>
      <c r="E20" s="63">
        <v>29.7</v>
      </c>
      <c r="F20" s="63">
        <v>29.5</v>
      </c>
      <c r="G20" s="63">
        <v>28.9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2" s="62" customFormat="1" ht="12.75">
      <c r="A21" s="62" t="s">
        <v>205</v>
      </c>
      <c r="B21" s="62" t="s">
        <v>290</v>
      </c>
      <c r="C21" s="62" t="s">
        <v>294</v>
      </c>
      <c r="E21" s="63">
        <v>7.6</v>
      </c>
      <c r="F21" s="63">
        <v>7.5</v>
      </c>
      <c r="G21" s="63">
        <v>6.5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5:22" s="62" customFormat="1" ht="12.75"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3:22" s="62" customFormat="1" ht="12.75">
      <c r="C23" s="20" t="s">
        <v>208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5:22" s="62" customFormat="1" ht="12.75"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31" s="62" customFormat="1" ht="12.75">
      <c r="A25" s="62" t="s">
        <v>208</v>
      </c>
      <c r="B25" s="62" t="s">
        <v>287</v>
      </c>
      <c r="C25" s="62" t="s">
        <v>295</v>
      </c>
      <c r="D25" s="62" t="s">
        <v>288</v>
      </c>
      <c r="E25" s="63">
        <v>2185</v>
      </c>
      <c r="F25" s="63">
        <v>1996</v>
      </c>
      <c r="G25" s="63">
        <v>1920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1" s="62" customFormat="1" ht="12.75">
      <c r="A26" s="62" t="s">
        <v>208</v>
      </c>
      <c r="B26" s="62" t="s">
        <v>289</v>
      </c>
      <c r="C26" s="62" t="s">
        <v>296</v>
      </c>
      <c r="D26" s="62" t="s">
        <v>288</v>
      </c>
      <c r="E26" s="63">
        <v>2170</v>
      </c>
      <c r="F26" s="63">
        <v>2065</v>
      </c>
      <c r="G26" s="63">
        <v>2087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22" s="62" customFormat="1" ht="12.75">
      <c r="A27" s="62" t="s">
        <v>208</v>
      </c>
      <c r="B27" s="62" t="s">
        <v>290</v>
      </c>
      <c r="C27" s="62" t="s">
        <v>297</v>
      </c>
      <c r="D27" s="62" t="s">
        <v>288</v>
      </c>
      <c r="E27" s="63">
        <v>177</v>
      </c>
      <c r="F27" s="63">
        <v>175</v>
      </c>
      <c r="G27" s="63">
        <v>174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s="62" customFormat="1" ht="12.75">
      <c r="A28" s="62" t="s">
        <v>208</v>
      </c>
      <c r="B28" s="62" t="s">
        <v>287</v>
      </c>
      <c r="C28" s="62" t="s">
        <v>298</v>
      </c>
      <c r="D28" s="62" t="s">
        <v>288</v>
      </c>
      <c r="E28" s="63">
        <v>468</v>
      </c>
      <c r="F28" s="63">
        <v>467</v>
      </c>
      <c r="G28" s="63">
        <v>466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3" s="62" customFormat="1" ht="12.75">
      <c r="A29" s="62" t="s">
        <v>208</v>
      </c>
      <c r="B29" s="62" t="s">
        <v>289</v>
      </c>
      <c r="C29" s="62" t="s">
        <v>299</v>
      </c>
      <c r="D29" s="62" t="s">
        <v>291</v>
      </c>
      <c r="E29" s="63"/>
      <c r="F29" s="63">
        <v>3.2</v>
      </c>
      <c r="G29" s="63">
        <v>2.9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23" s="62" customFormat="1" ht="12.75">
      <c r="A30" s="62" t="s">
        <v>208</v>
      </c>
      <c r="B30" s="62" t="s">
        <v>292</v>
      </c>
      <c r="C30" s="62" t="s">
        <v>300</v>
      </c>
      <c r="D30" s="62" t="s">
        <v>293</v>
      </c>
      <c r="E30" s="63">
        <v>29.3</v>
      </c>
      <c r="F30" s="63">
        <v>27.8</v>
      </c>
      <c r="G30" s="63">
        <v>28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2" s="62" customFormat="1" ht="12.75">
      <c r="A31" s="62" t="s">
        <v>208</v>
      </c>
      <c r="B31" s="62" t="s">
        <v>290</v>
      </c>
      <c r="C31" s="62" t="s">
        <v>294</v>
      </c>
      <c r="E31" s="63">
        <v>8.5</v>
      </c>
      <c r="F31" s="63">
        <v>8</v>
      </c>
      <c r="G31" s="63">
        <v>6.9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5:22" s="62" customFormat="1" ht="12.75"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3:22" s="62" customFormat="1" ht="12.75">
      <c r="C33" s="20" t="s">
        <v>211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5:22" s="62" customFormat="1" ht="12.75"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31" s="62" customFormat="1" ht="12.75">
      <c r="A35" s="62" t="s">
        <v>211</v>
      </c>
      <c r="B35" s="62" t="s">
        <v>287</v>
      </c>
      <c r="C35" s="62" t="s">
        <v>295</v>
      </c>
      <c r="D35" s="62" t="s">
        <v>288</v>
      </c>
      <c r="E35" s="63">
        <v>2066</v>
      </c>
      <c r="F35" s="63">
        <v>2146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 s="62" customFormat="1" ht="12.75">
      <c r="A36" s="62" t="s">
        <v>211</v>
      </c>
      <c r="B36" s="62" t="s">
        <v>289</v>
      </c>
      <c r="C36" s="62" t="s">
        <v>296</v>
      </c>
      <c r="D36" s="62" t="s">
        <v>288</v>
      </c>
      <c r="E36" s="63">
        <v>2084</v>
      </c>
      <c r="F36" s="63">
        <v>2121</v>
      </c>
      <c r="G36" s="63">
        <v>2147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22" s="62" customFormat="1" ht="12.75">
      <c r="A37" s="62" t="s">
        <v>211</v>
      </c>
      <c r="B37" s="62" t="s">
        <v>287</v>
      </c>
      <c r="C37" s="62" t="s">
        <v>298</v>
      </c>
      <c r="D37" s="62" t="s">
        <v>288</v>
      </c>
      <c r="E37" s="63">
        <v>444</v>
      </c>
      <c r="F37" s="63">
        <v>460</v>
      </c>
      <c r="G37" s="63">
        <v>396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3" s="62" customFormat="1" ht="12.75">
      <c r="A38" s="62" t="s">
        <v>211</v>
      </c>
      <c r="B38" s="62" t="s">
        <v>289</v>
      </c>
      <c r="C38" s="62" t="s">
        <v>299</v>
      </c>
      <c r="D38" s="62" t="s">
        <v>291</v>
      </c>
      <c r="E38" s="63">
        <v>3.1</v>
      </c>
      <c r="F38" s="63">
        <v>2.8</v>
      </c>
      <c r="G38" s="63">
        <v>2.9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s="62" customFormat="1" ht="12.75">
      <c r="A39" s="62" t="s">
        <v>211</v>
      </c>
      <c r="B39" s="62" t="s">
        <v>292</v>
      </c>
      <c r="C39" s="62" t="s">
        <v>300</v>
      </c>
      <c r="D39" s="62" t="s">
        <v>293</v>
      </c>
      <c r="E39" s="63">
        <v>41.5</v>
      </c>
      <c r="F39" s="63">
        <v>41.8</v>
      </c>
      <c r="G39" s="63">
        <v>42.1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2" s="62" customFormat="1" ht="12.75">
      <c r="A40" s="62" t="s">
        <v>211</v>
      </c>
      <c r="B40" s="62" t="s">
        <v>290</v>
      </c>
      <c r="C40" s="62" t="s">
        <v>294</v>
      </c>
      <c r="E40" s="63">
        <v>7.2</v>
      </c>
      <c r="F40" s="63">
        <v>7.36</v>
      </c>
      <c r="G40" s="63">
        <v>7.4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5:22" s="62" customFormat="1" ht="12.75"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3:22" s="62" customFormat="1" ht="12.75">
      <c r="C42" s="20" t="s">
        <v>216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5:22" s="62" customFormat="1" ht="12.75"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31" s="62" customFormat="1" ht="12.75">
      <c r="A44" s="62" t="s">
        <v>216</v>
      </c>
      <c r="B44" s="62" t="s">
        <v>287</v>
      </c>
      <c r="C44" s="62" t="s">
        <v>295</v>
      </c>
      <c r="D44" s="62" t="s">
        <v>288</v>
      </c>
      <c r="E44" s="63">
        <v>2080</v>
      </c>
      <c r="F44" s="63">
        <v>2161</v>
      </c>
      <c r="G44" s="63">
        <v>2069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s="62" customFormat="1" ht="12.75">
      <c r="A45" s="62" t="s">
        <v>216</v>
      </c>
      <c r="B45" s="62" t="s">
        <v>289</v>
      </c>
      <c r="C45" s="62" t="s">
        <v>296</v>
      </c>
      <c r="D45" s="62" t="s">
        <v>288</v>
      </c>
      <c r="E45" s="63">
        <v>2070</v>
      </c>
      <c r="F45" s="63">
        <v>2141</v>
      </c>
      <c r="G45" s="63">
        <v>2098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22" s="62" customFormat="1" ht="12.75">
      <c r="A46" s="62" t="s">
        <v>216</v>
      </c>
      <c r="B46" s="62" t="s">
        <v>287</v>
      </c>
      <c r="C46" s="62" t="s">
        <v>298</v>
      </c>
      <c r="D46" s="62" t="s">
        <v>288</v>
      </c>
      <c r="E46" s="63">
        <v>467</v>
      </c>
      <c r="F46" s="63">
        <v>468</v>
      </c>
      <c r="G46" s="63">
        <v>408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3" s="62" customFormat="1" ht="12.75">
      <c r="A47" s="62" t="s">
        <v>216</v>
      </c>
      <c r="B47" s="62" t="s">
        <v>289</v>
      </c>
      <c r="C47" s="62" t="s">
        <v>299</v>
      </c>
      <c r="D47" s="62" t="s">
        <v>291</v>
      </c>
      <c r="E47" s="63">
        <v>3.7</v>
      </c>
      <c r="F47" s="63">
        <v>3.8</v>
      </c>
      <c r="G47" s="63">
        <v>3.9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 s="62" customFormat="1" ht="12.75">
      <c r="A48" s="62" t="s">
        <v>216</v>
      </c>
      <c r="B48" s="62" t="s">
        <v>292</v>
      </c>
      <c r="C48" s="62" t="s">
        <v>300</v>
      </c>
      <c r="D48" s="62" t="s">
        <v>293</v>
      </c>
      <c r="E48" s="63">
        <v>41.1</v>
      </c>
      <c r="F48" s="63">
        <v>41.6</v>
      </c>
      <c r="G48" s="63">
        <v>41.7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2" s="62" customFormat="1" ht="12.75">
      <c r="A49" s="62" t="s">
        <v>216</v>
      </c>
      <c r="B49" s="62" t="s">
        <v>290</v>
      </c>
      <c r="C49" s="62" t="s">
        <v>294</v>
      </c>
      <c r="E49" s="63">
        <v>7.2</v>
      </c>
      <c r="F49" s="63">
        <v>7.1</v>
      </c>
      <c r="G49" s="63">
        <v>7.1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2004-02-25T01:09:27Z</cp:lastPrinted>
  <dcterms:created xsi:type="dcterms:W3CDTF">2000-01-10T00:44:42Z</dcterms:created>
  <dcterms:modified xsi:type="dcterms:W3CDTF">2004-02-25T01:26:37Z</dcterms:modified>
  <cp:category/>
  <cp:version/>
  <cp:contentType/>
  <cp:contentStatus/>
</cp:coreProperties>
</file>