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00" windowHeight="8070" activeTab="0"/>
  </bookViews>
  <sheets>
    <sheet name="Tribes" sheetId="1" r:id="rId1"/>
  </sheets>
  <externalReferences>
    <externalReference r:id="rId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<sst xmlns="http://schemas.openxmlformats.org/spreadsheetml/2006/main" count="376" uniqueCount="208">
  <si>
    <t xml:space="preserve"> TOTALS FOR STATES WITH TRIBES FUNDED DIRECTLY BY HHS</t>
  </si>
  <si>
    <t>A/$</t>
  </si>
  <si>
    <t xml:space="preserve">  Northern Arapaho Nation</t>
  </si>
  <si>
    <t>Wyoming</t>
  </si>
  <si>
    <t>A/%</t>
  </si>
  <si>
    <t xml:space="preserve">  Yakama Indian Nation</t>
  </si>
  <si>
    <t xml:space="preserve">  Tulalip Tribe</t>
  </si>
  <si>
    <t xml:space="preserve">  Swinomish Indians</t>
  </si>
  <si>
    <t xml:space="preserve">  Suquamish Tribe</t>
  </si>
  <si>
    <t xml:space="preserve">  Spokane Tribe</t>
  </si>
  <si>
    <t xml:space="preserve">  South Puget Intertribal Planning Agency</t>
  </si>
  <si>
    <t xml:space="preserve">  Small Tribes Organization of W. Wash.</t>
  </si>
  <si>
    <t xml:space="preserve">  Samish Tribe</t>
  </si>
  <si>
    <t xml:space="preserve">  Quinault Tribe</t>
  </si>
  <si>
    <t xml:space="preserve">  Quileute Tribe</t>
  </si>
  <si>
    <t xml:space="preserve">  Puyallup Tribe</t>
  </si>
  <si>
    <t xml:space="preserve">  Port Gamble S'Klallam Tribe </t>
  </si>
  <si>
    <t xml:space="preserve">  Nooksack Indian Tribe</t>
  </si>
  <si>
    <t xml:space="preserve">  Muckleshoot Indian Tribe</t>
  </si>
  <si>
    <t xml:space="preserve">  Makah Indian Tribe</t>
  </si>
  <si>
    <t xml:space="preserve">  Lummi Indian Tribe</t>
  </si>
  <si>
    <t xml:space="preserve">  Lower Elwha Klallam Tribe</t>
  </si>
  <si>
    <t xml:space="preserve">  Kalispel Indian Community</t>
  </si>
  <si>
    <t xml:space="preserve">  Jamestown S'Klallam Tribe</t>
  </si>
  <si>
    <t xml:space="preserve">  Hoh Tribe</t>
  </si>
  <si>
    <t xml:space="preserve">  Colville Confederated Tribes</t>
  </si>
  <si>
    <t>Washington</t>
  </si>
  <si>
    <t xml:space="preserve"> </t>
  </si>
  <si>
    <t xml:space="preserve">  Ute Tribe (Uintah &amp; Ouray)</t>
  </si>
  <si>
    <t xml:space="preserve">  Paiute Indian Tribe of Utah</t>
  </si>
  <si>
    <t>C</t>
  </si>
  <si>
    <t xml:space="preserve">  Navajo Nation (Ariz.)</t>
  </si>
  <si>
    <t>Utah</t>
  </si>
  <si>
    <t xml:space="preserve">  Yankton Sioux Tribe</t>
  </si>
  <si>
    <t xml:space="preserve">  Standing Rock Sioux Tribe (N. Dak.)</t>
  </si>
  <si>
    <t xml:space="preserve">  Sisseton-Wahpeton Sioux Tribe</t>
  </si>
  <si>
    <t xml:space="preserve">  Rosebud Sioux Tribe</t>
  </si>
  <si>
    <t xml:space="preserve">  Oglala Sioux Tribe</t>
  </si>
  <si>
    <t xml:space="preserve">  Lower Brule Sioux Tribe</t>
  </si>
  <si>
    <t xml:space="preserve">  Cheyenne River Sioux Tribe</t>
  </si>
  <si>
    <t>South Dakota</t>
  </si>
  <si>
    <t>A/#</t>
  </si>
  <si>
    <t xml:space="preserve">  Narragansett Indian Tribe</t>
  </si>
  <si>
    <t>Rhode Island</t>
  </si>
  <si>
    <t xml:space="preserve">  Klamath Tribe</t>
  </si>
  <si>
    <t xml:space="preserve">  Cow Creek Band of Umpqua Indians</t>
  </si>
  <si>
    <t xml:space="preserve">  Conf. Tribes of Warm Springs</t>
  </si>
  <si>
    <t xml:space="preserve">  Conf. Tribes of Siletz Indians</t>
  </si>
  <si>
    <t xml:space="preserve">  Conf. Tribes of Grand Ronde</t>
  </si>
  <si>
    <t xml:space="preserve">  Conf. Tribe of Coos-Lower Umpqua </t>
  </si>
  <si>
    <t>Oregon</t>
  </si>
  <si>
    <t xml:space="preserve">  Wyandotte Nation</t>
  </si>
  <si>
    <t xml:space="preserve">  Wichita &amp; Affiliated Tribes</t>
  </si>
  <si>
    <t xml:space="preserve">  United Keetowah</t>
  </si>
  <si>
    <t xml:space="preserve">  Tonkawa Tribe </t>
  </si>
  <si>
    <t xml:space="preserve">  Shawnee Tribe</t>
  </si>
  <si>
    <t xml:space="preserve">  Seneca-Cayuga Tribe</t>
  </si>
  <si>
    <t xml:space="preserve">  Seminole Nation of Oklahoma</t>
  </si>
  <si>
    <t xml:space="preserve">  Sac &amp; Fox Tribe of Oklahoma</t>
  </si>
  <si>
    <t xml:space="preserve">  Quapaw Tribe</t>
  </si>
  <si>
    <t xml:space="preserve">  Ponca Tribe</t>
  </si>
  <si>
    <t xml:space="preserve">  Pawnee Tribe</t>
  </si>
  <si>
    <t xml:space="preserve">  Ottawa Tribe of Oklahoma</t>
  </si>
  <si>
    <t xml:space="preserve">  Otoe-Missouria Tribe</t>
  </si>
  <si>
    <t xml:space="preserve">  Osage Tribe</t>
  </si>
  <si>
    <t xml:space="preserve">  Muscogee (Creek) Nation</t>
  </si>
  <si>
    <t xml:space="preserve">  Modoc Tribe of Oklahoma</t>
  </si>
  <si>
    <t xml:space="preserve">  Miami Tribe</t>
  </si>
  <si>
    <t xml:space="preserve">  Kiowa Tribe</t>
  </si>
  <si>
    <t xml:space="preserve">  Kickapoo Tribe of Oklahoma</t>
  </si>
  <si>
    <t xml:space="preserve">  Eastern Shawnee Tribe of Oklahoma</t>
  </si>
  <si>
    <t xml:space="preserve">  Delaware Nation of Western Oklahoma</t>
  </si>
  <si>
    <t xml:space="preserve">  Comanche Indian Tribe</t>
  </si>
  <si>
    <t xml:space="preserve">  Citizen Band Potawatomi  </t>
  </si>
  <si>
    <t xml:space="preserve">  Choctaw Nation of Oklahoma</t>
  </si>
  <si>
    <t xml:space="preserve">  Chickasaw Nation of Oklahoma</t>
  </si>
  <si>
    <t xml:space="preserve">  Cheyenne-Arapaho Tribes</t>
  </si>
  <si>
    <t xml:space="preserve">  Cherokee Nation of Oklahoma</t>
  </si>
  <si>
    <t xml:space="preserve">  Caddo Indian Tribe</t>
  </si>
  <si>
    <t xml:space="preserve">  Apache Tribe of Oklahoma</t>
  </si>
  <si>
    <t xml:space="preserve">  Alabama-Quassarte Tribal Town</t>
  </si>
  <si>
    <t xml:space="preserve">  Absentee Shawnee Tribe</t>
  </si>
  <si>
    <t>Oklahoma</t>
  </si>
  <si>
    <t xml:space="preserve">  Turtle Mountain Chippewa Band</t>
  </si>
  <si>
    <t xml:space="preserve">  Three Affiliated Tribes (Fort Berthold)</t>
  </si>
  <si>
    <t xml:space="preserve">  Standing Rock Sioux Tribe</t>
  </si>
  <si>
    <t xml:space="preserve">  Spirit Lake Tribe </t>
  </si>
  <si>
    <t>North Dakota</t>
  </si>
  <si>
    <t xml:space="preserve">  Lumbee Tribe</t>
  </si>
  <si>
    <t>North Carolina</t>
  </si>
  <si>
    <t xml:space="preserve">  St. Regis Mohawk Band</t>
  </si>
  <si>
    <t xml:space="preserve">  Seneca Nation</t>
  </si>
  <si>
    <t>New York</t>
  </si>
  <si>
    <t xml:space="preserve">  Pueblo of Zuni</t>
  </si>
  <si>
    <t xml:space="preserve">  Pueblo of Laguna</t>
  </si>
  <si>
    <t xml:space="preserve">  Pueblo of Jemez</t>
  </si>
  <si>
    <t xml:space="preserve">  Jicarilla Apache Tribe</t>
  </si>
  <si>
    <t xml:space="preserve">  Five Sandoval Indian Pueblos</t>
  </si>
  <si>
    <t>New Mexico</t>
  </si>
  <si>
    <t xml:space="preserve">  Powhatan Renape Nation</t>
  </si>
  <si>
    <t>New Jersey</t>
  </si>
  <si>
    <t xml:space="preserve">  United Tribes of Ks. &amp; SE Neb. (Kansas)</t>
  </si>
  <si>
    <t>Nebraska</t>
  </si>
  <si>
    <t xml:space="preserve">  Northern Cheyenne Tribe</t>
  </si>
  <si>
    <t xml:space="preserve">  Fort Belknap Community</t>
  </si>
  <si>
    <t xml:space="preserve">  Confederated Salish &amp; Kootenai Tribes </t>
  </si>
  <si>
    <t xml:space="preserve">  Chippewa-Cree Tribe</t>
  </si>
  <si>
    <t xml:space="preserve">  Blackfeet Tribe</t>
  </si>
  <si>
    <t xml:space="preserve">  Assiniboine &amp; Sioux Tribes (Fort Peck)</t>
  </si>
  <si>
    <t>Montana</t>
  </si>
  <si>
    <t xml:space="preserve">  Mississippi Band of Choctaw Indians </t>
  </si>
  <si>
    <t>Mississippi</t>
  </si>
  <si>
    <t xml:space="preserve">  Sault Ste. Marie Chippewa Tribe</t>
  </si>
  <si>
    <t xml:space="preserve">  Pokagon Band of Potawatomi Indians</t>
  </si>
  <si>
    <t xml:space="preserve">  Little River Band of Ottawa Indians</t>
  </si>
  <si>
    <t xml:space="preserve">  Keweenaw Bay Indian Community</t>
  </si>
  <si>
    <t xml:space="preserve">  Inter-Tribal Council of Michigan </t>
  </si>
  <si>
    <t xml:space="preserve">  Grand Traverse Ottawa/Chippewa Band</t>
  </si>
  <si>
    <t>Michigan</t>
  </si>
  <si>
    <t xml:space="preserve">  Mashpee Wampanoag Tribe</t>
  </si>
  <si>
    <t>Massachusetts</t>
  </si>
  <si>
    <t xml:space="preserve">  Penobscot Tribe</t>
  </si>
  <si>
    <t xml:space="preserve">  Passamaquoddy Tribe--Pleasant Point</t>
  </si>
  <si>
    <t xml:space="preserve">  Passamaquoddy Tribe--Indian Township</t>
  </si>
  <si>
    <t xml:space="preserve">  Houlton Band of Maliseet Indians</t>
  </si>
  <si>
    <t xml:space="preserve">  Aroostook Band of Micmac Indians</t>
  </si>
  <si>
    <t>Maine</t>
  </si>
  <si>
    <t xml:space="preserve">  United Tribes of Kansas &amp; SE Nebraska</t>
  </si>
  <si>
    <t>Kansas</t>
  </si>
  <si>
    <t xml:space="preserve">  Pokagon Band (Mich.)</t>
  </si>
  <si>
    <t>Indiana</t>
  </si>
  <si>
    <t xml:space="preserve">  Shoshone-Bannock Tribes (Fort Hall) </t>
  </si>
  <si>
    <t xml:space="preserve">  Nez Perce Tribe</t>
  </si>
  <si>
    <t xml:space="preserve">  Coeur d'Alene Tribe</t>
  </si>
  <si>
    <t>Idaho</t>
  </si>
  <si>
    <t xml:space="preserve">  Poarch Band of Creek Indians (Ala.)</t>
  </si>
  <si>
    <t>Florida</t>
  </si>
  <si>
    <t xml:space="preserve">  Yurok Tribe</t>
  </si>
  <si>
    <t xml:space="preserve">  Southern Indian Health Council</t>
  </si>
  <si>
    <t xml:space="preserve">  S. Cal. Tribal Chairmen's Association</t>
  </si>
  <si>
    <t xml:space="preserve">  Smith River Rancheria</t>
  </si>
  <si>
    <t xml:space="preserve">  Shingle Springs Rancheria</t>
  </si>
  <si>
    <t xml:space="preserve">  Sherwood Valley Rancheria</t>
  </si>
  <si>
    <t xml:space="preserve">  Round Valley</t>
  </si>
  <si>
    <t xml:space="preserve">  Riverside-San Bernardino Indian Health</t>
  </si>
  <si>
    <t xml:space="preserve">  Redwood Valley</t>
  </si>
  <si>
    <t xml:space="preserve">  Redding Rancheria</t>
  </si>
  <si>
    <t xml:space="preserve">  Quechan Tribe (Ariz.)</t>
  </si>
  <si>
    <t xml:space="preserve">  Quartz Valley</t>
  </si>
  <si>
    <t xml:space="preserve">  Pit River Tribe</t>
  </si>
  <si>
    <t xml:space="preserve">  Pinoleville Rancheria</t>
  </si>
  <si>
    <t xml:space="preserve">  N. Cal. Ind. Devel. Council, Inc.(NCIDC)</t>
  </si>
  <si>
    <t xml:space="preserve">  Mooretown Rancheria</t>
  </si>
  <si>
    <t xml:space="preserve">  Karuk Tribe</t>
  </si>
  <si>
    <t xml:space="preserve">  Hopland Band</t>
  </si>
  <si>
    <t xml:space="preserve">  Hoopa Valley Tribe</t>
  </si>
  <si>
    <t xml:space="preserve">  Enterprise Rancheria</t>
  </si>
  <si>
    <t xml:space="preserve">  Coyote Valley Pomo Band</t>
  </si>
  <si>
    <t xml:space="preserve">  Colorado River Indian Tribes (Ariz.)</t>
  </si>
  <si>
    <t xml:space="preserve">  Bishop Paiute</t>
  </si>
  <si>
    <t xml:space="preserve">  Berry Creek Rancheria</t>
  </si>
  <si>
    <t>California</t>
  </si>
  <si>
    <t xml:space="preserve">  White Mountain Apache Tribe</t>
  </si>
  <si>
    <t xml:space="preserve">  San Carlos Apache Tribe</t>
  </si>
  <si>
    <t xml:space="preserve">  Salt River Pima Maricopa Ind. Cmty.</t>
  </si>
  <si>
    <t xml:space="preserve">  Quechan Tribe </t>
  </si>
  <si>
    <t xml:space="preserve">  Pascua Yaqui Tribe</t>
  </si>
  <si>
    <t xml:space="preserve">  Navajo Nation</t>
  </si>
  <si>
    <t xml:space="preserve">  Gila River Pima-Maricopa Community</t>
  </si>
  <si>
    <t xml:space="preserve">  Colorado River Indian Tribes</t>
  </si>
  <si>
    <t xml:space="preserve">  Cocopah Tribe</t>
  </si>
  <si>
    <t>Arizona</t>
  </si>
  <si>
    <t xml:space="preserve">  Yakutat Tlingit Tribe </t>
  </si>
  <si>
    <t xml:space="preserve">  Tlingit &amp; Haida Central Council</t>
  </si>
  <si>
    <t xml:space="preserve">  Tanana Chiefs Conference</t>
  </si>
  <si>
    <t xml:space="preserve">  Seldovia Village</t>
  </si>
  <si>
    <t xml:space="preserve">  Orutsararmuit Native Council</t>
  </si>
  <si>
    <t xml:space="preserve">  Kuskokwim Native Association</t>
  </si>
  <si>
    <t xml:space="preserve">  Kenaitze Indian Tribe</t>
  </si>
  <si>
    <t xml:space="preserve">  Assn. of Village Council Presidents</t>
  </si>
  <si>
    <t xml:space="preserve">  Aleutian/Pribilof Islands Association</t>
  </si>
  <si>
    <t>Alaska</t>
  </si>
  <si>
    <t xml:space="preserve">  Poarch Band of Creek Indians </t>
  </si>
  <si>
    <t xml:space="preserve">  Mowa Band of Choctaw Indians </t>
  </si>
  <si>
    <t xml:space="preserve">  Ma-Chis Lower Creek Indian Tribe</t>
  </si>
  <si>
    <t>Alabama</t>
  </si>
  <si>
    <t>TRIBAL % OF STATE GROSS ALLOTMENT</t>
  </si>
  <si>
    <t>STATE NET ALLOTMENT</t>
  </si>
  <si>
    <t>STATE TRIBAL SET-ASIDE</t>
  </si>
  <si>
    <t>TRIBAL GRANT AMOUNT</t>
  </si>
  <si>
    <t>PERCENTAGE OF STATE SHARE</t>
  </si>
  <si>
    <t>STATE GROSS ALLOTMENT</t>
  </si>
  <si>
    <t>SOURCE</t>
  </si>
  <si>
    <t>TRIBAL HHLD #</t>
  </si>
  <si>
    <t>STATE HHLD #</t>
  </si>
  <si>
    <t>TRIBES</t>
  </si>
  <si>
    <t xml:space="preserve">      $=Dollar Amount</t>
  </si>
  <si>
    <t xml:space="preserve">  Household Number </t>
  </si>
  <si>
    <t xml:space="preserve">      %=Percent of State Allotment</t>
  </si>
  <si>
    <t>D=Documented Tribal Eligible</t>
  </si>
  <si>
    <t xml:space="preserve">      #=Household Numbers</t>
  </si>
  <si>
    <t>C=Census Count of Eligible Households</t>
  </si>
  <si>
    <t xml:space="preserve">    A=State/Tribe Agreement On:</t>
  </si>
  <si>
    <t>SOURCE FOR ALLOTMENT CALCULATIONS</t>
  </si>
  <si>
    <t>Tribal Allotments and State Allotments Net of Tribal Set-asides</t>
  </si>
  <si>
    <t xml:space="preserve">Attachment 2 </t>
  </si>
  <si>
    <t>Regular Block Grant Funds Only</t>
  </si>
  <si>
    <t>Final Appropriation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</si>
</sst>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_)"/>
    <numFmt numFmtId="165" formatCode="0.0000%"/>
    <numFmt numFmtId="166" formatCode="0.000000%"/>
    <numFmt numFmtId="167" formatCode="&quot;$&quot;#,##0"/>
  </numFmts>
  <fonts count="6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7" fontId="0" fillId="0" borderId="0" xfId="21" applyFont="1" applyFill="1">
      <alignment/>
      <protection/>
    </xf>
    <xf numFmtId="5" fontId="0" fillId="0" borderId="0" xfId="21" applyNumberFormat="1" applyFont="1" applyFill="1" applyProtection="1">
      <alignment/>
      <protection/>
    </xf>
    <xf numFmtId="164" fontId="0" fillId="0" borderId="0" xfId="21" applyNumberFormat="1" applyFont="1" applyFill="1" applyProtection="1">
      <alignment/>
      <protection/>
    </xf>
    <xf numFmtId="37" fontId="0" fillId="0" borderId="0" xfId="20" applyFont="1" applyFill="1">
      <alignment/>
      <protection/>
    </xf>
    <xf numFmtId="5" fontId="0" fillId="0" borderId="1" xfId="21" applyNumberFormat="1" applyFont="1" applyFill="1" applyBorder="1" applyProtection="1">
      <alignment/>
      <protection/>
    </xf>
    <xf numFmtId="37" fontId="0" fillId="0" borderId="1" xfId="21" applyFont="1" applyFill="1" applyBorder="1">
      <alignment/>
      <protection/>
    </xf>
    <xf numFmtId="37" fontId="0" fillId="0" borderId="1" xfId="21" applyNumberFormat="1" applyFont="1" applyFill="1" applyBorder="1" applyAlignment="1" applyProtection="1">
      <alignment horizontal="left"/>
      <protection/>
    </xf>
    <xf numFmtId="165" fontId="0" fillId="0" borderId="0" xfId="21" applyNumberFormat="1" applyFont="1" applyFill="1">
      <alignment/>
      <protection/>
    </xf>
    <xf numFmtId="166" fontId="0" fillId="0" borderId="0" xfId="21" applyNumberFormat="1" applyFont="1" applyFill="1" applyProtection="1">
      <alignment/>
      <protection/>
    </xf>
    <xf numFmtId="37" fontId="0" fillId="0" borderId="0" xfId="21" applyNumberFormat="1" applyFont="1" applyFill="1" applyAlignment="1" applyProtection="1">
      <alignment horizontal="center"/>
      <protection/>
    </xf>
    <xf numFmtId="37" fontId="0" fillId="0" borderId="0" xfId="21" applyNumberFormat="1" applyFont="1" applyFill="1" applyAlignment="1" applyProtection="1">
      <alignment horizontal="left"/>
      <protection/>
    </xf>
    <xf numFmtId="5" fontId="0" fillId="0" borderId="0" xfId="21" applyNumberFormat="1" applyFont="1" applyFill="1">
      <alignment/>
      <protection/>
    </xf>
    <xf numFmtId="37" fontId="2" fillId="0" borderId="0" xfId="21" applyNumberFormat="1" applyFont="1" applyFill="1" applyAlignment="1" applyProtection="1">
      <alignment horizontal="left"/>
      <protection/>
    </xf>
    <xf numFmtId="16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5" fontId="0" fillId="0" borderId="0" xfId="21" applyNumberFormat="1" applyFont="1" applyFill="1" applyAlignment="1" applyProtection="1">
      <alignment horizontal="right"/>
      <protection/>
    </xf>
    <xf numFmtId="166" fontId="0" fillId="0" borderId="0" xfId="21" applyNumberFormat="1" applyFont="1" applyFill="1" applyAlignment="1" applyProtection="1">
      <alignment horizontal="left"/>
      <protection/>
    </xf>
    <xf numFmtId="37" fontId="0" fillId="0" borderId="0" xfId="21" applyNumberFormat="1" applyFont="1" applyFill="1" applyProtection="1">
      <alignment/>
      <protection/>
    </xf>
    <xf numFmtId="165" fontId="0" fillId="0" borderId="0" xfId="21" applyNumberFormat="1" applyFont="1" applyFill="1" applyProtection="1">
      <alignment/>
      <protection/>
    </xf>
    <xf numFmtId="37" fontId="0" fillId="0" borderId="0" xfId="21" applyNumberFormat="1" applyFont="1" applyFill="1" applyAlignment="1" applyProtection="1">
      <alignment horizontal="right"/>
      <protection/>
    </xf>
    <xf numFmtId="166" fontId="0" fillId="0" borderId="0" xfId="21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5" fontId="0" fillId="0" borderId="0" xfId="21" applyNumberFormat="1" applyFont="1" applyFill="1" applyAlignment="1" applyProtection="1">
      <alignment horizontal="left"/>
      <protection/>
    </xf>
    <xf numFmtId="165" fontId="0" fillId="0" borderId="0" xfId="21" applyNumberFormat="1" applyFont="1" applyFill="1" applyAlignment="1" applyProtection="1">
      <alignment horizontal="right"/>
      <protection/>
    </xf>
    <xf numFmtId="5" fontId="2" fillId="0" borderId="0" xfId="21" applyNumberFormat="1" applyFont="1" applyFill="1" applyAlignment="1" applyProtection="1">
      <alignment horizontal="right"/>
      <protection/>
    </xf>
    <xf numFmtId="3" fontId="0" fillId="0" borderId="0" xfId="21" applyNumberFormat="1" applyFont="1" applyFill="1" applyProtection="1">
      <alignment/>
      <protection/>
    </xf>
    <xf numFmtId="37" fontId="0" fillId="0" borderId="0" xfId="21" applyFont="1" applyFill="1" applyAlignment="1">
      <alignment horizontal="right"/>
      <protection/>
    </xf>
    <xf numFmtId="3" fontId="0" fillId="0" borderId="0" xfId="0" applyNumberFormat="1" applyFont="1" applyFill="1" applyAlignment="1">
      <alignment/>
    </xf>
    <xf numFmtId="166" fontId="0" fillId="0" borderId="0" xfId="21" applyNumberFormat="1" applyFont="1" applyFill="1">
      <alignment/>
      <protection/>
    </xf>
    <xf numFmtId="37" fontId="0" fillId="0" borderId="0" xfId="21" applyFont="1" applyFill="1" applyBorder="1">
      <alignment/>
      <protection/>
    </xf>
    <xf numFmtId="0" fontId="0" fillId="0" borderId="0" xfId="0" applyFont="1" applyFill="1" applyBorder="1" applyAlignment="1">
      <alignment horizontal="center" wrapText="1"/>
    </xf>
    <xf numFmtId="37" fontId="0" fillId="0" borderId="0" xfId="21" applyFont="1" applyFill="1" applyBorder="1" applyAlignment="1">
      <alignment horizontal="center" wrapText="1"/>
      <protection/>
    </xf>
    <xf numFmtId="37" fontId="0" fillId="0" borderId="0" xfId="21" applyNumberFormat="1" applyFont="1" applyFill="1" applyBorder="1" applyAlignment="1" applyProtection="1">
      <alignment horizontal="center" wrapText="1"/>
      <protection/>
    </xf>
    <xf numFmtId="0" fontId="3" fillId="0" borderId="0" xfId="19" applyFont="1" applyFill="1" applyAlignment="1" applyProtection="1">
      <alignment horizontal="center" vertical="top"/>
      <protection/>
    </xf>
    <xf numFmtId="37" fontId="2" fillId="0" borderId="0" xfId="21" applyFont="1" applyFill="1">
      <alignment/>
      <protection/>
    </xf>
    <xf numFmtId="15" fontId="4" fillId="0" borderId="0" xfId="0" applyNumberFormat="1" applyFont="1" applyFill="1" applyAlignment="1">
      <alignment horizontal="left"/>
    </xf>
    <xf numFmtId="37" fontId="0" fillId="0" borderId="0" xfId="21" applyFont="1" applyFill="1" applyAlignment="1" quotePrefix="1">
      <alignment horizontal="right"/>
      <protection/>
    </xf>
    <xf numFmtId="37" fontId="0" fillId="0" borderId="0" xfId="20" applyNumberFormat="1" applyFont="1" applyFill="1" applyAlignment="1" applyProtection="1">
      <alignment horizontal="left"/>
      <protection/>
    </xf>
    <xf numFmtId="167" fontId="0" fillId="0" borderId="0" xfId="20" applyNumberFormat="1" applyFont="1" applyFill="1" applyProtection="1">
      <alignment/>
      <protection/>
    </xf>
    <xf numFmtId="37" fontId="2" fillId="0" borderId="0" xfId="20" applyFont="1" applyFill="1">
      <alignment/>
      <protection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$0.25B-1B_BG" xfId="19"/>
    <cellStyle name="Normal_2005-LIHEAP Allocations-$1.884B-FINAL" xfId="20"/>
    <cellStyle name="Normal_2006-LIHEAP Alloc-$2 0B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lawson\Local%20Settings\Temporary%20Internet%20Files\OLK1AF6\2007-LIHEAP%20Allocations-$1%2098B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s"/>
      <sheetName val="Tribes"/>
    </sheetNames>
    <sheetDataSet>
      <sheetData sheetId="0">
        <row r="3">
          <cell r="B3">
            <v>1980000000</v>
          </cell>
        </row>
        <row r="7">
          <cell r="C7">
            <v>16769448</v>
          </cell>
        </row>
        <row r="8">
          <cell r="C8">
            <v>10704315</v>
          </cell>
        </row>
        <row r="9">
          <cell r="C9">
            <v>8109905</v>
          </cell>
        </row>
        <row r="11">
          <cell r="C11">
            <v>89963206</v>
          </cell>
        </row>
        <row r="16">
          <cell r="C16">
            <v>26534274</v>
          </cell>
        </row>
        <row r="19">
          <cell r="C19">
            <v>12235363</v>
          </cell>
        </row>
        <row r="21">
          <cell r="C21">
            <v>51280512</v>
          </cell>
        </row>
        <row r="23">
          <cell r="C23">
            <v>16690421</v>
          </cell>
        </row>
        <row r="26">
          <cell r="C26">
            <v>26509531</v>
          </cell>
        </row>
        <row r="28">
          <cell r="C28">
            <v>81853223</v>
          </cell>
        </row>
        <row r="29">
          <cell r="C29">
            <v>107529532</v>
          </cell>
        </row>
        <row r="31">
          <cell r="C31">
            <v>14377197</v>
          </cell>
        </row>
        <row r="33">
          <cell r="C33">
            <v>14351303</v>
          </cell>
        </row>
        <row r="34">
          <cell r="C34">
            <v>17973100</v>
          </cell>
        </row>
        <row r="37">
          <cell r="C37">
            <v>75987987</v>
          </cell>
        </row>
        <row r="38">
          <cell r="C38">
            <v>10153038</v>
          </cell>
        </row>
        <row r="39">
          <cell r="C39">
            <v>248112273</v>
          </cell>
        </row>
        <row r="40">
          <cell r="C40">
            <v>36976258</v>
          </cell>
        </row>
        <row r="41">
          <cell r="C41">
            <v>15589857</v>
          </cell>
        </row>
        <row r="43">
          <cell r="C43">
            <v>15414567</v>
          </cell>
        </row>
        <row r="44">
          <cell r="C44">
            <v>24311035</v>
          </cell>
        </row>
        <row r="46">
          <cell r="C46">
            <v>13473508</v>
          </cell>
        </row>
        <row r="48">
          <cell r="C48">
            <v>12661694</v>
          </cell>
        </row>
        <row r="51">
          <cell r="C51">
            <v>14576490</v>
          </cell>
        </row>
        <row r="54">
          <cell r="C54">
            <v>39988303</v>
          </cell>
        </row>
        <row r="57">
          <cell r="C57">
            <v>5836109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5"/>
  <sheetViews>
    <sheetView tabSelected="1" workbookViewId="0" topLeftCell="B1">
      <selection activeCell="E7" sqref="E7"/>
    </sheetView>
  </sheetViews>
  <sheetFormatPr defaultColWidth="17.8515625" defaultRowHeight="12.75"/>
  <cols>
    <col min="1" max="1" width="40.421875" style="1" customWidth="1"/>
    <col min="2" max="2" width="16.421875" style="1" customWidth="1"/>
    <col min="3" max="3" width="15.28125" style="1" customWidth="1"/>
    <col min="4" max="4" width="14.28125" style="1" customWidth="1"/>
    <col min="5" max="5" width="16.57421875" style="1" customWidth="1"/>
    <col min="6" max="6" width="17.140625" style="1" customWidth="1"/>
    <col min="7" max="9" width="16.57421875" style="1" customWidth="1"/>
    <col min="10" max="10" width="22.140625" style="1" customWidth="1"/>
    <col min="11" max="11" width="15.421875" style="1" customWidth="1"/>
    <col min="12" max="16384" width="17.8515625" style="1" customWidth="1"/>
  </cols>
  <sheetData>
    <row r="1" spans="1:11" ht="12.75" customHeight="1">
      <c r="A1" s="42" t="str">
        <f>"FY 2007 Low Income Home Energy Assistance Program (LIHEAP) Indian Tribe and Tribal Organization Allotments at "&amp;TEXT('[1]States'!$B$3/1000000000,"$0.00")&amp;" Billion"</f>
        <v>FY 2007 Low Income Home Energy Assistance Program (LIHEAP) Indian Tribe and Tribal Organization Allotments at $1.98 Billion</v>
      </c>
      <c r="B1" s="42"/>
      <c r="C1" s="42"/>
      <c r="D1" s="42"/>
      <c r="E1" s="42"/>
      <c r="F1" s="42"/>
      <c r="G1" s="42"/>
      <c r="H1" s="42"/>
      <c r="I1" s="42"/>
      <c r="J1" s="42"/>
      <c r="K1" s="41"/>
    </row>
    <row r="2" spans="1:10" ht="12.75">
      <c r="A2" s="40" t="s">
        <v>207</v>
      </c>
      <c r="B2" s="39">
        <v>1980000000</v>
      </c>
      <c r="D2" s="38" t="s">
        <v>206</v>
      </c>
      <c r="J2" s="27" t="s">
        <v>205</v>
      </c>
    </row>
    <row r="3" spans="1:6" ht="12.75">
      <c r="A3" s="40"/>
      <c r="B3" s="39"/>
      <c r="D3" s="38"/>
      <c r="F3" s="37"/>
    </row>
    <row r="4" spans="1:6" ht="14.25">
      <c r="A4" s="36" t="s">
        <v>204</v>
      </c>
      <c r="F4" s="35" t="s">
        <v>27</v>
      </c>
    </row>
    <row r="5" spans="1:2" ht="12.75">
      <c r="A5" s="11" t="s">
        <v>203</v>
      </c>
      <c r="B5" s="11" t="s">
        <v>202</v>
      </c>
    </row>
    <row r="6" spans="1:2" ht="12.75">
      <c r="A6" s="11" t="s">
        <v>201</v>
      </c>
      <c r="B6" s="11" t="s">
        <v>200</v>
      </c>
    </row>
    <row r="7" spans="1:2" ht="12.75">
      <c r="A7" s="11" t="s">
        <v>199</v>
      </c>
      <c r="B7" s="11" t="s">
        <v>198</v>
      </c>
    </row>
    <row r="8" spans="1:2" ht="12.75">
      <c r="A8" s="11" t="s">
        <v>197</v>
      </c>
      <c r="B8" s="11" t="s">
        <v>196</v>
      </c>
    </row>
    <row r="9" spans="1:10" ht="12.7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2" s="30" customFormat="1" ht="25.5">
      <c r="A10" s="33" t="s">
        <v>195</v>
      </c>
      <c r="B10" s="33" t="s">
        <v>194</v>
      </c>
      <c r="C10" s="33" t="s">
        <v>193</v>
      </c>
      <c r="D10" s="33" t="s">
        <v>192</v>
      </c>
      <c r="E10" s="33" t="s">
        <v>191</v>
      </c>
      <c r="F10" s="32" t="s">
        <v>190</v>
      </c>
      <c r="G10" s="33" t="s">
        <v>189</v>
      </c>
      <c r="H10" s="33" t="s">
        <v>188</v>
      </c>
      <c r="I10" s="33" t="s">
        <v>187</v>
      </c>
      <c r="J10" s="32" t="s">
        <v>186</v>
      </c>
      <c r="L10" s="31"/>
    </row>
    <row r="12" spans="1:9" ht="12.75">
      <c r="A12" s="13" t="s">
        <v>185</v>
      </c>
      <c r="E12" s="2">
        <f>'[1]States'!C7</f>
        <v>16769448</v>
      </c>
      <c r="H12" s="2">
        <f>SUM(G13:G15)</f>
        <v>96836</v>
      </c>
      <c r="I12" s="2">
        <f>E12-H12</f>
        <v>16672612</v>
      </c>
    </row>
    <row r="13" spans="1:10" ht="12.75">
      <c r="A13" s="1" t="s">
        <v>184</v>
      </c>
      <c r="B13" s="1">
        <v>449603</v>
      </c>
      <c r="C13" s="1">
        <v>96</v>
      </c>
      <c r="D13" s="10" t="s">
        <v>41</v>
      </c>
      <c r="E13" s="2"/>
      <c r="F13" s="29">
        <f>+C13/B13</f>
        <v>0.00021352170692811212</v>
      </c>
      <c r="G13" s="2">
        <f>ROUND(+$E$12*F13,0)</f>
        <v>3581</v>
      </c>
      <c r="H13" s="2"/>
      <c r="J13" s="8">
        <f>G13/$E$12</f>
        <v>0.00021354310529481948</v>
      </c>
    </row>
    <row r="14" spans="1:10" ht="12.75">
      <c r="A14" s="11" t="s">
        <v>183</v>
      </c>
      <c r="B14" s="18">
        <v>449603</v>
      </c>
      <c r="C14" s="11" t="s">
        <v>27</v>
      </c>
      <c r="D14" s="10" t="s">
        <v>4</v>
      </c>
      <c r="E14" s="2"/>
      <c r="F14" s="9">
        <v>0.00317</v>
      </c>
      <c r="G14" s="2">
        <f>ROUND(+$E$12*F14,0)</f>
        <v>53159</v>
      </c>
      <c r="H14" s="2"/>
      <c r="I14" s="2"/>
      <c r="J14" s="8">
        <f>G14/$E$12</f>
        <v>0.0031699910456205833</v>
      </c>
    </row>
    <row r="15" spans="1:10" ht="12.75">
      <c r="A15" s="11" t="s">
        <v>182</v>
      </c>
      <c r="B15" s="18">
        <v>449603</v>
      </c>
      <c r="C15" s="18">
        <v>1075</v>
      </c>
      <c r="D15" s="10" t="s">
        <v>41</v>
      </c>
      <c r="E15" s="2"/>
      <c r="F15" s="9">
        <f>$C15/$B15</f>
        <v>0.0023909982807054225</v>
      </c>
      <c r="G15" s="2">
        <f>ROUND(+$E$12*F15,0)</f>
        <v>40096</v>
      </c>
      <c r="H15" s="2"/>
      <c r="I15" s="2"/>
      <c r="J15" s="8">
        <f>G15/$E$12</f>
        <v>0.002391014898045541</v>
      </c>
    </row>
    <row r="16" spans="1:9" ht="12.75">
      <c r="A16" s="13" t="s">
        <v>181</v>
      </c>
      <c r="E16" s="2">
        <f>'[1]States'!C8</f>
        <v>10704315</v>
      </c>
      <c r="F16" s="9"/>
      <c r="H16" s="2">
        <f>SUM(G17:G25)</f>
        <v>3286224</v>
      </c>
      <c r="I16" s="2">
        <f>E16-H16</f>
        <v>7418091</v>
      </c>
    </row>
    <row r="17" spans="1:10" ht="12.75">
      <c r="A17" s="11" t="s">
        <v>180</v>
      </c>
      <c r="B17" s="18">
        <v>54295</v>
      </c>
      <c r="C17" s="26">
        <v>164</v>
      </c>
      <c r="D17" s="10" t="s">
        <v>4</v>
      </c>
      <c r="E17" s="2"/>
      <c r="F17" s="9">
        <v>0.00854</v>
      </c>
      <c r="G17" s="2">
        <f>ROUND(+F17*$E$16,0)</f>
        <v>91415</v>
      </c>
      <c r="H17" s="2"/>
      <c r="I17" s="11"/>
      <c r="J17" s="8">
        <f>G17/$E$16</f>
        <v>0.008540014003698509</v>
      </c>
    </row>
    <row r="18" spans="1:10" ht="12.75">
      <c r="A18" s="11" t="s">
        <v>179</v>
      </c>
      <c r="B18" s="18">
        <v>54295</v>
      </c>
      <c r="C18" s="26">
        <v>2029</v>
      </c>
      <c r="D18" s="10" t="s">
        <v>4</v>
      </c>
      <c r="E18" s="2"/>
      <c r="F18" s="9">
        <v>0.13824948</v>
      </c>
      <c r="G18" s="2">
        <f>ROUND(+F18*$E$16,0)</f>
        <v>1479866</v>
      </c>
      <c r="H18" s="2"/>
      <c r="I18" s="11"/>
      <c r="J18" s="8">
        <f>G18/$E$16</f>
        <v>0.13824948163427553</v>
      </c>
    </row>
    <row r="19" spans="1:10" ht="12.75">
      <c r="A19" s="11" t="s">
        <v>178</v>
      </c>
      <c r="B19" s="18">
        <v>54295</v>
      </c>
      <c r="C19" s="26">
        <v>111</v>
      </c>
      <c r="D19" s="10" t="s">
        <v>4</v>
      </c>
      <c r="E19" s="2"/>
      <c r="F19" s="9">
        <v>0.0068015</v>
      </c>
      <c r="G19" s="2">
        <f>ROUND(+F19*$E$16,0)</f>
        <v>72805</v>
      </c>
      <c r="H19" s="2"/>
      <c r="J19" s="8">
        <f>G19/$E$16</f>
        <v>0.006801462774591368</v>
      </c>
    </row>
    <row r="20" spans="1:10" ht="12.75">
      <c r="A20" s="11" t="s">
        <v>177</v>
      </c>
      <c r="B20" s="18">
        <v>54295</v>
      </c>
      <c r="C20" s="26">
        <v>229</v>
      </c>
      <c r="D20" s="10" t="s">
        <v>4</v>
      </c>
      <c r="E20" s="2"/>
      <c r="F20" s="9">
        <v>0.02074</v>
      </c>
      <c r="G20" s="2">
        <f>ROUND(+F20*$E$16,0)</f>
        <v>222007</v>
      </c>
      <c r="H20" s="2"/>
      <c r="I20" s="11" t="s">
        <v>27</v>
      </c>
      <c r="J20" s="8">
        <f>G20/$E$16</f>
        <v>0.020739953934464747</v>
      </c>
    </row>
    <row r="21" spans="1:10" ht="12.75">
      <c r="A21" s="11" t="s">
        <v>176</v>
      </c>
      <c r="B21" s="18">
        <v>54295</v>
      </c>
      <c r="C21" s="26">
        <v>275</v>
      </c>
      <c r="D21" s="10" t="s">
        <v>4</v>
      </c>
      <c r="E21" s="2"/>
      <c r="F21" s="9">
        <v>0.008235</v>
      </c>
      <c r="G21" s="2">
        <f>ROUND(+F21*$E$16,0)</f>
        <v>88150</v>
      </c>
      <c r="H21" s="2"/>
      <c r="J21" s="8">
        <f>G21/$E$16</f>
        <v>0.008234996821375306</v>
      </c>
    </row>
    <row r="22" spans="1:10" ht="12.75">
      <c r="A22" s="11" t="s">
        <v>175</v>
      </c>
      <c r="B22" s="18">
        <v>54295</v>
      </c>
      <c r="C22" s="26">
        <v>8</v>
      </c>
      <c r="D22" s="10" t="s">
        <v>4</v>
      </c>
      <c r="E22" s="2"/>
      <c r="F22" s="9">
        <v>0.0007015</v>
      </c>
      <c r="G22" s="2">
        <f>ROUND(+F22*$E$16,0)</f>
        <v>7509</v>
      </c>
      <c r="H22" s="2"/>
      <c r="J22" s="8">
        <f>G22/$E$16</f>
        <v>0.0007014928092082492</v>
      </c>
    </row>
    <row r="23" spans="1:10" ht="12.75">
      <c r="A23" s="11" t="s">
        <v>174</v>
      </c>
      <c r="B23" s="18">
        <v>54295</v>
      </c>
      <c r="C23" s="26">
        <v>1385</v>
      </c>
      <c r="D23" s="10" t="s">
        <v>4</v>
      </c>
      <c r="E23" s="2"/>
      <c r="F23" s="9">
        <v>0.07750751</v>
      </c>
      <c r="G23" s="2">
        <f>ROUND(+F23*$E$16,0)</f>
        <v>829665</v>
      </c>
      <c r="H23" s="2"/>
      <c r="J23" s="8">
        <f>G23/$E$16</f>
        <v>0.07750752850602771</v>
      </c>
    </row>
    <row r="24" spans="1:10" ht="12.75">
      <c r="A24" s="11" t="s">
        <v>173</v>
      </c>
      <c r="B24" s="18">
        <v>54295</v>
      </c>
      <c r="C24" s="26">
        <v>1171</v>
      </c>
      <c r="D24" s="10" t="s">
        <v>4</v>
      </c>
      <c r="E24" s="2"/>
      <c r="F24" s="9">
        <v>0.044225</v>
      </c>
      <c r="G24" s="2">
        <f>ROUND(+F24*$E$16,0)</f>
        <v>473398</v>
      </c>
      <c r="H24" s="2"/>
      <c r="I24" s="11" t="s">
        <v>27</v>
      </c>
      <c r="J24" s="8">
        <f>G24/$E$16</f>
        <v>0.044224969089568085</v>
      </c>
    </row>
    <row r="25" spans="1:10" ht="12.75">
      <c r="A25" s="15" t="s">
        <v>172</v>
      </c>
      <c r="B25" s="18">
        <v>54295</v>
      </c>
      <c r="C25" s="15">
        <v>77</v>
      </c>
      <c r="D25" s="10" t="s">
        <v>4</v>
      </c>
      <c r="E25" s="2"/>
      <c r="F25" s="9">
        <v>0.002</v>
      </c>
      <c r="G25" s="2">
        <f>ROUND(+F25*$E$16,0)</f>
        <v>21409</v>
      </c>
      <c r="H25" s="2"/>
      <c r="I25" s="11"/>
      <c r="J25" s="8">
        <f>G25/$E$16</f>
        <v>0.0020000345654999875</v>
      </c>
    </row>
    <row r="26" spans="1:9" ht="12.75">
      <c r="A26" s="13" t="s">
        <v>171</v>
      </c>
      <c r="E26" s="2">
        <f>'[1]States'!C9</f>
        <v>8109905</v>
      </c>
      <c r="F26" s="9"/>
      <c r="H26" s="2">
        <f>SUM(G27:G35)</f>
        <v>658926</v>
      </c>
      <c r="I26" s="2">
        <f>E26-H26</f>
        <v>7450979</v>
      </c>
    </row>
    <row r="27" spans="1:10" ht="12.75">
      <c r="A27" s="11" t="s">
        <v>170</v>
      </c>
      <c r="B27" s="18">
        <v>343522</v>
      </c>
      <c r="C27" s="26">
        <v>228</v>
      </c>
      <c r="D27" s="10" t="s">
        <v>41</v>
      </c>
      <c r="F27" s="9">
        <f>C27/B27</f>
        <v>0.0006637129499711809</v>
      </c>
      <c r="G27" s="2">
        <f>ROUND(+$E$26*F27,0)</f>
        <v>5383</v>
      </c>
      <c r="H27" s="2"/>
      <c r="J27" s="8">
        <f>G27/$E$26</f>
        <v>0.0006637562338892996</v>
      </c>
    </row>
    <row r="28" spans="1:10" ht="12.75">
      <c r="A28" s="11" t="s">
        <v>169</v>
      </c>
      <c r="B28" s="18">
        <v>343522</v>
      </c>
      <c r="C28" s="26">
        <v>680</v>
      </c>
      <c r="D28" s="10" t="s">
        <v>41</v>
      </c>
      <c r="E28" s="2"/>
      <c r="F28" s="9">
        <f>C28/B28</f>
        <v>0.001979494763071943</v>
      </c>
      <c r="G28" s="2">
        <f>ROUND(+$E$26*F28,0)</f>
        <v>16054</v>
      </c>
      <c r="H28" s="2"/>
      <c r="J28" s="8">
        <f>G28/$E$26</f>
        <v>0.001979554631034519</v>
      </c>
    </row>
    <row r="29" spans="1:10" ht="12.75">
      <c r="A29" s="11" t="s">
        <v>168</v>
      </c>
      <c r="B29" s="18">
        <v>343522</v>
      </c>
      <c r="C29" s="26">
        <v>2301</v>
      </c>
      <c r="D29" s="10" t="s">
        <v>41</v>
      </c>
      <c r="E29" s="2"/>
      <c r="F29" s="9">
        <f>C29/B29</f>
        <v>0.006698260955630207</v>
      </c>
      <c r="G29" s="2">
        <f>ROUND(+$E$26*F29,0)</f>
        <v>54322</v>
      </c>
      <c r="H29" s="2"/>
      <c r="J29" s="8">
        <f>G29/$E$26</f>
        <v>0.006698228894173236</v>
      </c>
    </row>
    <row r="30" spans="1:10" ht="12.75">
      <c r="A30" s="11" t="s">
        <v>167</v>
      </c>
      <c r="B30" s="18">
        <v>343522</v>
      </c>
      <c r="C30" s="26">
        <v>19524</v>
      </c>
      <c r="D30" s="10" t="s">
        <v>41</v>
      </c>
      <c r="E30" s="2"/>
      <c r="F30" s="9">
        <f>C30/B30</f>
        <v>0.056834787873847964</v>
      </c>
      <c r="G30" s="2">
        <f>ROUND(+$E$26*F30,0)</f>
        <v>460925</v>
      </c>
      <c r="H30" s="2"/>
      <c r="J30" s="8">
        <f>G30/$E$26</f>
        <v>0.05683482112305878</v>
      </c>
    </row>
    <row r="31" spans="1:10" ht="12.75">
      <c r="A31" s="11" t="s">
        <v>166</v>
      </c>
      <c r="B31" s="18">
        <v>343522</v>
      </c>
      <c r="C31" s="26">
        <v>879</v>
      </c>
      <c r="D31" s="10" t="s">
        <v>41</v>
      </c>
      <c r="E31" s="2"/>
      <c r="F31" s="9">
        <f>C31/B31</f>
        <v>0.0025587880834415265</v>
      </c>
      <c r="G31" s="2">
        <f>ROUND(+$E$26*F31,0)</f>
        <v>20752</v>
      </c>
      <c r="H31" s="2"/>
      <c r="J31" s="8">
        <f>G31/$E$26</f>
        <v>0.002558846250356817</v>
      </c>
    </row>
    <row r="32" spans="1:10" ht="12.75">
      <c r="A32" s="11" t="s">
        <v>165</v>
      </c>
      <c r="B32" s="18">
        <v>343522</v>
      </c>
      <c r="C32" s="26">
        <v>50</v>
      </c>
      <c r="D32" s="10" t="s">
        <v>41</v>
      </c>
      <c r="E32" s="2"/>
      <c r="F32" s="9">
        <f>C32/B32</f>
        <v>0.00014555108551999582</v>
      </c>
      <c r="G32" s="2">
        <f>ROUND(+$E$26*F32,0)</f>
        <v>1180</v>
      </c>
      <c r="H32" s="2"/>
      <c r="J32" s="8">
        <f>G32/$E$26</f>
        <v>0.0001455010878672438</v>
      </c>
    </row>
    <row r="33" spans="1:10" ht="12.75">
      <c r="A33" s="11" t="s">
        <v>164</v>
      </c>
      <c r="B33" s="18">
        <v>343522</v>
      </c>
      <c r="C33" s="26">
        <v>849</v>
      </c>
      <c r="D33" s="10" t="s">
        <v>41</v>
      </c>
      <c r="E33" s="2"/>
      <c r="F33" s="9">
        <f>C33/B33</f>
        <v>0.002471457432129529</v>
      </c>
      <c r="G33" s="2">
        <f>ROUND(+$E$26*F33,0)</f>
        <v>20043</v>
      </c>
      <c r="H33" s="2"/>
      <c r="J33" s="8">
        <f>G33/$E$26</f>
        <v>0.0024714222916298032</v>
      </c>
    </row>
    <row r="34" spans="1:10" ht="12.75">
      <c r="A34" s="11" t="s">
        <v>163</v>
      </c>
      <c r="B34" s="18">
        <v>343522</v>
      </c>
      <c r="C34" s="26">
        <v>1400</v>
      </c>
      <c r="D34" s="10" t="s">
        <v>41</v>
      </c>
      <c r="F34" s="9">
        <f>C34/B34</f>
        <v>0.004075430394559883</v>
      </c>
      <c r="G34" s="2">
        <f>ROUND(+$E$26*F34,0)</f>
        <v>33051</v>
      </c>
      <c r="H34" s="2"/>
      <c r="J34" s="8">
        <f>G34/$E$26</f>
        <v>0.004075386826356166</v>
      </c>
    </row>
    <row r="35" spans="1:10" ht="12.75">
      <c r="A35" s="11" t="s">
        <v>162</v>
      </c>
      <c r="B35" s="18">
        <v>343522</v>
      </c>
      <c r="C35" s="26">
        <v>2000</v>
      </c>
      <c r="D35" s="10" t="s">
        <v>41</v>
      </c>
      <c r="F35" s="9">
        <f>C35/B35</f>
        <v>0.005822043420799832</v>
      </c>
      <c r="G35" s="2">
        <f>ROUND(+$E$26*F35,0)</f>
        <v>47216</v>
      </c>
      <c r="H35" s="2"/>
      <c r="J35" s="8">
        <f>G35/$E$26</f>
        <v>0.005822016410796427</v>
      </c>
    </row>
    <row r="36" spans="1:9" ht="12.75">
      <c r="A36" s="13" t="s">
        <v>161</v>
      </c>
      <c r="E36" s="2">
        <f>'[1]States'!C11</f>
        <v>89963206</v>
      </c>
      <c r="F36" s="9">
        <f>SUM(F39:F60)</f>
        <v>0.007752481769548293</v>
      </c>
      <c r="H36" s="2">
        <f>SUM(G37:G60)</f>
        <v>726816</v>
      </c>
      <c r="I36" s="2">
        <f>E36-H36</f>
        <v>89236390</v>
      </c>
    </row>
    <row r="37" spans="1:10" ht="12.75">
      <c r="A37" s="11" t="s">
        <v>160</v>
      </c>
      <c r="B37" s="18">
        <v>1659723</v>
      </c>
      <c r="C37" s="1">
        <v>130</v>
      </c>
      <c r="D37" s="10" t="s">
        <v>41</v>
      </c>
      <c r="E37" s="2"/>
      <c r="F37" s="9">
        <f>C37/B37</f>
        <v>7.832632312741343E-05</v>
      </c>
      <c r="G37" s="2">
        <f>ROUND(+$E$36*F37,0)</f>
        <v>7046</v>
      </c>
      <c r="H37" s="2"/>
      <c r="I37" s="2"/>
      <c r="J37" s="8">
        <f>G37/$E$36</f>
        <v>7.832090821663247E-05</v>
      </c>
    </row>
    <row r="38" spans="1:10" ht="12.75">
      <c r="A38" s="15" t="s">
        <v>159</v>
      </c>
      <c r="B38" s="18">
        <v>1659723</v>
      </c>
      <c r="C38" s="1">
        <v>412</v>
      </c>
      <c r="D38" s="10" t="s">
        <v>41</v>
      </c>
      <c r="E38" s="2"/>
      <c r="F38" s="9">
        <f>C38/B38</f>
        <v>0.00024823419329611025</v>
      </c>
      <c r="G38" s="2">
        <f>ROUND(+$E$36*F38,0)</f>
        <v>22332</v>
      </c>
      <c r="H38" s="2"/>
      <c r="I38" s="2"/>
      <c r="J38" s="8">
        <f>G38/$E$36</f>
        <v>0.00024823481724295154</v>
      </c>
    </row>
    <row r="39" spans="1:10" ht="12.75">
      <c r="A39" s="11" t="s">
        <v>158</v>
      </c>
      <c r="B39" s="18">
        <v>1659723</v>
      </c>
      <c r="C39" s="26">
        <v>24</v>
      </c>
      <c r="D39" s="10" t="s">
        <v>41</v>
      </c>
      <c r="E39" s="2"/>
      <c r="F39" s="9">
        <f>C39/B39</f>
        <v>1.4460244269676325E-05</v>
      </c>
      <c r="G39" s="2">
        <f>ROUND(+$E$36*F39,0)</f>
        <v>1301</v>
      </c>
      <c r="H39" s="2"/>
      <c r="J39" s="8">
        <f>G39/$E$36</f>
        <v>1.4461467724927456E-05</v>
      </c>
    </row>
    <row r="40" spans="1:10" ht="12.75">
      <c r="A40" s="11" t="s">
        <v>157</v>
      </c>
      <c r="B40" s="18">
        <v>1659723</v>
      </c>
      <c r="C40" s="26">
        <v>108</v>
      </c>
      <c r="D40" s="10" t="s">
        <v>41</v>
      </c>
      <c r="E40" s="2"/>
      <c r="F40" s="9">
        <f>C40/B40</f>
        <v>6.507109921354347E-05</v>
      </c>
      <c r="G40" s="2">
        <f>ROUND(+$E$36*F40,0)</f>
        <v>5854</v>
      </c>
      <c r="H40" s="2"/>
      <c r="I40" s="2"/>
      <c r="J40" s="8">
        <f>G40/$E$36</f>
        <v>6.507104693445452E-05</v>
      </c>
    </row>
    <row r="41" spans="1:10" ht="12.75">
      <c r="A41" s="11" t="s">
        <v>156</v>
      </c>
      <c r="B41" s="18">
        <v>1659723</v>
      </c>
      <c r="C41" s="26">
        <v>50</v>
      </c>
      <c r="D41" s="10" t="s">
        <v>41</v>
      </c>
      <c r="E41" s="2"/>
      <c r="F41" s="9">
        <f>C41/B41</f>
        <v>3.012550889515901E-05</v>
      </c>
      <c r="G41" s="2">
        <f>ROUND(+$E$36*F41,0)</f>
        <v>2710</v>
      </c>
      <c r="H41" s="2"/>
      <c r="I41" s="2"/>
      <c r="J41" s="8">
        <f>G41/$E$36</f>
        <v>3.0123426237166337E-05</v>
      </c>
    </row>
    <row r="42" spans="1:10" ht="12.75">
      <c r="A42" s="11" t="s">
        <v>155</v>
      </c>
      <c r="B42" s="18">
        <v>1659723</v>
      </c>
      <c r="C42" s="26">
        <v>896</v>
      </c>
      <c r="D42" s="10" t="s">
        <v>41</v>
      </c>
      <c r="E42" s="2"/>
      <c r="F42" s="9">
        <f>C42/B42</f>
        <v>0.0005398491194012495</v>
      </c>
      <c r="G42" s="2">
        <f>ROUND(+$E$36*F42,0)</f>
        <v>48567</v>
      </c>
      <c r="H42" s="2"/>
      <c r="J42" s="8">
        <f>G42/$E$36</f>
        <v>0.0005398540376606854</v>
      </c>
    </row>
    <row r="43" spans="1:10" ht="12.75">
      <c r="A43" s="11" t="s">
        <v>154</v>
      </c>
      <c r="B43" s="18">
        <v>1659723</v>
      </c>
      <c r="C43" s="26">
        <v>136</v>
      </c>
      <c r="D43" s="10" t="s">
        <v>41</v>
      </c>
      <c r="F43" s="9">
        <f>C43/B43</f>
        <v>8.194138419483252E-05</v>
      </c>
      <c r="G43" s="2">
        <f>ROUND(+$E$36*F43,0)</f>
        <v>7372</v>
      </c>
      <c r="H43" s="2"/>
      <c r="J43" s="8">
        <f>G43/$E$36</f>
        <v>8.19446118894429E-05</v>
      </c>
    </row>
    <row r="44" spans="1:10" ht="12.75">
      <c r="A44" s="11" t="s">
        <v>153</v>
      </c>
      <c r="B44" s="18">
        <v>1659723</v>
      </c>
      <c r="C44" s="26">
        <v>650</v>
      </c>
      <c r="D44" s="10" t="s">
        <v>41</v>
      </c>
      <c r="E44" s="2"/>
      <c r="F44" s="9">
        <f>C44/B44</f>
        <v>0.00039163161563706713</v>
      </c>
      <c r="G44" s="2">
        <f>ROUND(+$E$36*F44,0)</f>
        <v>35232</v>
      </c>
      <c r="H44" s="2"/>
      <c r="I44" s="2"/>
      <c r="J44" s="8">
        <f>G44/$E$36</f>
        <v>0.0003916267723940385</v>
      </c>
    </row>
    <row r="45" spans="1:10" ht="12.75">
      <c r="A45" s="11" t="s">
        <v>152</v>
      </c>
      <c r="B45" s="18">
        <v>1659723</v>
      </c>
      <c r="C45" s="26">
        <v>371</v>
      </c>
      <c r="D45" s="10" t="s">
        <v>41</v>
      </c>
      <c r="E45" s="2"/>
      <c r="F45" s="9">
        <f>C45/B45</f>
        <v>0.00022353127600207987</v>
      </c>
      <c r="G45" s="2">
        <f>ROUND(+$E$36*F45,0)</f>
        <v>20110</v>
      </c>
      <c r="H45" s="2"/>
      <c r="I45" s="2"/>
      <c r="J45" s="8">
        <f>G45/$E$36</f>
        <v>0.00022353583085956273</v>
      </c>
    </row>
    <row r="46" spans="1:10" ht="12.75">
      <c r="A46" s="11" t="s">
        <v>151</v>
      </c>
      <c r="B46" s="18">
        <v>1659723</v>
      </c>
      <c r="C46" s="28">
        <v>5129</v>
      </c>
      <c r="D46" s="10" t="s">
        <v>41</v>
      </c>
      <c r="E46" s="2"/>
      <c r="F46" s="9">
        <f>C46/B46</f>
        <v>0.0030902747024654114</v>
      </c>
      <c r="G46" s="2">
        <f>ROUND(+$E$36*F46,0)</f>
        <v>278011</v>
      </c>
      <c r="H46" s="2"/>
      <c r="I46" s="2"/>
      <c r="J46" s="8">
        <f>G46/$E$36</f>
        <v>0.003090274483992934</v>
      </c>
    </row>
    <row r="47" spans="1:10" ht="12.75">
      <c r="A47" s="11" t="s">
        <v>150</v>
      </c>
      <c r="B47" s="18">
        <v>1659723</v>
      </c>
      <c r="C47" s="26">
        <v>82</v>
      </c>
      <c r="D47" s="10" t="s">
        <v>4</v>
      </c>
      <c r="E47" s="2"/>
      <c r="F47" s="9">
        <v>0.0001</v>
      </c>
      <c r="G47" s="2">
        <f>ROUND(+$E$36*F47,0)</f>
        <v>8996</v>
      </c>
      <c r="H47" s="2"/>
      <c r="J47" s="8">
        <f>G47/$E$36</f>
        <v>9.999643632086656E-05</v>
      </c>
    </row>
    <row r="48" spans="1:10" ht="12.75">
      <c r="A48" s="11" t="s">
        <v>149</v>
      </c>
      <c r="B48" s="18">
        <v>1659723</v>
      </c>
      <c r="C48" s="26">
        <v>779</v>
      </c>
      <c r="D48" s="10" t="s">
        <v>41</v>
      </c>
      <c r="E48" s="2"/>
      <c r="F48" s="9">
        <f>C48/B48</f>
        <v>0.0004693554285865774</v>
      </c>
      <c r="G48" s="2">
        <f>ROUND(+$E$36*F48,0)</f>
        <v>42225</v>
      </c>
      <c r="H48" s="2"/>
      <c r="I48" s="2"/>
      <c r="J48" s="8">
        <f>G48/$E$36</f>
        <v>0.00046935855087245335</v>
      </c>
    </row>
    <row r="49" spans="1:10" ht="12.75">
      <c r="A49" s="11" t="s">
        <v>148</v>
      </c>
      <c r="B49" s="18">
        <v>1659723</v>
      </c>
      <c r="C49" s="26">
        <v>78</v>
      </c>
      <c r="D49" s="10" t="s">
        <v>41</v>
      </c>
      <c r="E49" s="2"/>
      <c r="F49" s="9">
        <f>C49/B49</f>
        <v>4.699579387644806E-05</v>
      </c>
      <c r="G49" s="2">
        <f>ROUND(+$E$36*F49,0)</f>
        <v>4228</v>
      </c>
      <c r="H49" s="2"/>
      <c r="I49" s="2"/>
      <c r="J49" s="8">
        <f>G49/$E$36</f>
        <v>4.6996991192154716E-05</v>
      </c>
    </row>
    <row r="50" spans="1:10" ht="12.75">
      <c r="A50" s="11" t="s">
        <v>147</v>
      </c>
      <c r="B50" s="18">
        <v>1659723</v>
      </c>
      <c r="C50" s="26">
        <v>375</v>
      </c>
      <c r="D50" s="10" t="s">
        <v>41</v>
      </c>
      <c r="E50" s="2"/>
      <c r="F50" s="9">
        <f>C50/B50</f>
        <v>0.00022594131671369258</v>
      </c>
      <c r="G50" s="2">
        <f>ROUND(+$E$36*F50,0)</f>
        <v>20326</v>
      </c>
      <c r="H50" s="2"/>
      <c r="J50" s="8">
        <f>G50/$E$36</f>
        <v>0.0002259368124341856</v>
      </c>
    </row>
    <row r="51" spans="1:10" ht="12.75">
      <c r="A51" s="11" t="s">
        <v>146</v>
      </c>
      <c r="B51" s="18">
        <v>1659723</v>
      </c>
      <c r="C51" s="26">
        <v>962</v>
      </c>
      <c r="D51" s="10" t="s">
        <v>41</v>
      </c>
      <c r="E51" s="2"/>
      <c r="F51" s="9">
        <f>C51/B51</f>
        <v>0.0005796147911428593</v>
      </c>
      <c r="G51" s="2">
        <f>ROUND(+$E$36*F51,0)</f>
        <v>52144</v>
      </c>
      <c r="H51" s="2"/>
      <c r="J51" s="8">
        <f>G51/$E$36</f>
        <v>0.0005796147371626574</v>
      </c>
    </row>
    <row r="52" spans="1:10" ht="12.75">
      <c r="A52" s="11" t="s">
        <v>145</v>
      </c>
      <c r="B52" s="18">
        <v>1659723</v>
      </c>
      <c r="C52" s="26">
        <v>44</v>
      </c>
      <c r="D52" s="10" t="s">
        <v>41</v>
      </c>
      <c r="E52" s="2"/>
      <c r="F52" s="9">
        <f>C52/B52</f>
        <v>2.651044782773993E-05</v>
      </c>
      <c r="G52" s="2">
        <f>ROUND(+$E$36*F52,0)</f>
        <v>2385</v>
      </c>
      <c r="H52" s="2"/>
      <c r="J52" s="8">
        <f>G52/$E$36</f>
        <v>2.651083821979399E-05</v>
      </c>
    </row>
    <row r="53" spans="1:10" ht="12.75">
      <c r="A53" s="11" t="s">
        <v>144</v>
      </c>
      <c r="B53" s="18">
        <v>1659723</v>
      </c>
      <c r="C53" s="26">
        <v>894</v>
      </c>
      <c r="D53" s="10" t="s">
        <v>41</v>
      </c>
      <c r="E53" s="2"/>
      <c r="F53" s="9">
        <f>C53/B53</f>
        <v>0.0005386440990454431</v>
      </c>
      <c r="G53" s="2">
        <f>ROUND(+$E$36*F53,0)</f>
        <v>48458</v>
      </c>
      <c r="H53" s="2"/>
      <c r="I53" s="2"/>
      <c r="J53" s="8">
        <f>G53/$E$36</f>
        <v>0.0005386424312179359</v>
      </c>
    </row>
    <row r="54" spans="1:10" ht="12.75">
      <c r="A54" s="11" t="s">
        <v>143</v>
      </c>
      <c r="B54" s="18">
        <v>1659723</v>
      </c>
      <c r="C54" s="26">
        <v>575</v>
      </c>
      <c r="D54" s="10" t="s">
        <v>41</v>
      </c>
      <c r="E54" s="2"/>
      <c r="F54" s="9">
        <f>C54/B54</f>
        <v>0.00034644335229432863</v>
      </c>
      <c r="G54" s="2">
        <f>ROUND(+$E$36*F54,0)</f>
        <v>31167</v>
      </c>
      <c r="H54" s="2"/>
      <c r="I54" s="2"/>
      <c r="J54" s="8">
        <f>G54/$E$36</f>
        <v>0.000346441633038289</v>
      </c>
    </row>
    <row r="55" spans="1:10" ht="12.75">
      <c r="A55" s="11" t="s">
        <v>142</v>
      </c>
      <c r="B55" s="18">
        <v>1659723</v>
      </c>
      <c r="C55" s="26">
        <v>146</v>
      </c>
      <c r="D55" s="10" t="s">
        <v>41</v>
      </c>
      <c r="E55" s="2"/>
      <c r="F55" s="9">
        <f>C55/B55</f>
        <v>8.796648597386432E-05</v>
      </c>
      <c r="G55" s="2">
        <f>ROUND(+$E$36*F55,0)</f>
        <v>7914</v>
      </c>
      <c r="H55" s="2"/>
      <c r="I55" s="2"/>
      <c r="J55" s="8">
        <f>G55/$E$36</f>
        <v>8.796929713687616E-05</v>
      </c>
    </row>
    <row r="56" spans="1:10" ht="12.75">
      <c r="A56" s="1" t="s">
        <v>141</v>
      </c>
      <c r="B56" s="18">
        <v>1659723</v>
      </c>
      <c r="C56" s="27">
        <v>66</v>
      </c>
      <c r="D56" s="10" t="s">
        <v>41</v>
      </c>
      <c r="F56" s="9">
        <f>C56/B56</f>
        <v>3.97656717416099E-05</v>
      </c>
      <c r="G56" s="2">
        <f>ROUND(+$E$36*F56,0)</f>
        <v>3577</v>
      </c>
      <c r="H56" s="2"/>
      <c r="J56" s="8">
        <f>G56/$E$36</f>
        <v>3.976069950197195E-05</v>
      </c>
    </row>
    <row r="57" spans="1:10" ht="12.75">
      <c r="A57" s="11" t="s">
        <v>140</v>
      </c>
      <c r="B57" s="18">
        <v>1659723</v>
      </c>
      <c r="C57" s="26">
        <v>66</v>
      </c>
      <c r="D57" s="10" t="s">
        <v>41</v>
      </c>
      <c r="E57" s="2"/>
      <c r="F57" s="9">
        <f>C57/B57</f>
        <v>3.97656717416099E-05</v>
      </c>
      <c r="G57" s="2">
        <f>ROUND(+$E$36*F57,0)</f>
        <v>3577</v>
      </c>
      <c r="H57" s="2"/>
      <c r="J57" s="8">
        <f>G57/$E$36</f>
        <v>3.976069950197195E-05</v>
      </c>
    </row>
    <row r="58" spans="1:10" ht="12.75">
      <c r="A58" s="11" t="s">
        <v>139</v>
      </c>
      <c r="B58" s="18">
        <v>1659723</v>
      </c>
      <c r="C58" s="26">
        <v>101</v>
      </c>
      <c r="D58" s="10" t="s">
        <v>41</v>
      </c>
      <c r="E58" s="2"/>
      <c r="F58" s="9">
        <f>C58/B58</f>
        <v>6.08535279682212E-05</v>
      </c>
      <c r="G58" s="2">
        <f>ROUND(+$E$36*F58,0)</f>
        <v>5475</v>
      </c>
      <c r="H58" s="2"/>
      <c r="J58" s="8">
        <f>G58/$E$36</f>
        <v>6.085821352342646E-05</v>
      </c>
    </row>
    <row r="59" spans="1:10" ht="12.75">
      <c r="A59" s="11" t="s">
        <v>138</v>
      </c>
      <c r="B59" s="18">
        <v>1659723</v>
      </c>
      <c r="C59" s="26">
        <v>85</v>
      </c>
      <c r="D59" s="10" t="s">
        <v>41</v>
      </c>
      <c r="E59" s="2"/>
      <c r="F59" s="9">
        <f>C59/B59</f>
        <v>5.121336512177032E-05</v>
      </c>
      <c r="G59" s="2">
        <f>ROUND(+$E$36*F59,0)</f>
        <v>4607</v>
      </c>
      <c r="H59" s="2"/>
      <c r="J59" s="8">
        <f>G59/$E$36</f>
        <v>5.120982460318277E-05</v>
      </c>
    </row>
    <row r="60" spans="1:10" ht="12.75">
      <c r="A60" s="11" t="s">
        <v>137</v>
      </c>
      <c r="B60" s="18">
        <v>1659723</v>
      </c>
      <c r="C60" s="26">
        <v>1166</v>
      </c>
      <c r="D60" s="10" t="s">
        <v>41</v>
      </c>
      <c r="E60" s="2"/>
      <c r="F60" s="9">
        <f>C60/B60</f>
        <v>0.0007025268674351082</v>
      </c>
      <c r="G60" s="2">
        <f>ROUND(+$E$36*F60,0)</f>
        <v>63202</v>
      </c>
      <c r="H60" s="2"/>
      <c r="J60" s="8">
        <f>G60/$E$36</f>
        <v>0.0007025316549968217</v>
      </c>
    </row>
    <row r="61" spans="1:9" ht="12.75">
      <c r="A61" s="13" t="s">
        <v>136</v>
      </c>
      <c r="E61" s="2">
        <f>'[1]States'!C16</f>
        <v>26534274</v>
      </c>
      <c r="H61" s="2">
        <f>G62</f>
        <v>6802</v>
      </c>
      <c r="I61" s="2">
        <f>E61-H61</f>
        <v>26527472</v>
      </c>
    </row>
    <row r="62" spans="1:10" ht="12.75">
      <c r="A62" s="11" t="s">
        <v>135</v>
      </c>
      <c r="B62" s="18">
        <v>1205419</v>
      </c>
      <c r="C62" s="18">
        <v>309</v>
      </c>
      <c r="D62" s="10" t="s">
        <v>41</v>
      </c>
      <c r="E62" s="2"/>
      <c r="F62" s="9">
        <f>$C62/$B62</f>
        <v>0.00025634240044333133</v>
      </c>
      <c r="G62" s="2">
        <f>ROUND(+$E$61*F62,0)</f>
        <v>6802</v>
      </c>
      <c r="H62" s="2"/>
      <c r="I62" s="2"/>
      <c r="J62" s="8">
        <f>G62/E61</f>
        <v>0.00025634769581410065</v>
      </c>
    </row>
    <row r="63" spans="1:9" ht="12.75">
      <c r="A63" s="13" t="s">
        <v>134</v>
      </c>
      <c r="D63" s="11" t="s">
        <v>27</v>
      </c>
      <c r="E63" s="2">
        <f>'[1]States'!C19</f>
        <v>12235363</v>
      </c>
      <c r="F63" s="9"/>
      <c r="H63" s="2">
        <f>SUM(G64:G66)</f>
        <v>593721</v>
      </c>
      <c r="I63" s="2">
        <f>E63-H63</f>
        <v>11641642</v>
      </c>
    </row>
    <row r="64" spans="1:10" ht="12.75">
      <c r="A64" s="11" t="s">
        <v>133</v>
      </c>
      <c r="B64" s="18">
        <v>84047</v>
      </c>
      <c r="C64" s="1">
        <v>113</v>
      </c>
      <c r="D64" s="22" t="s">
        <v>4</v>
      </c>
      <c r="E64" s="2"/>
      <c r="F64" s="9">
        <v>0.003025</v>
      </c>
      <c r="G64" s="2">
        <f>ROUND(+$E$63*F64,0)</f>
        <v>37012</v>
      </c>
      <c r="H64" s="2"/>
      <c r="I64" s="2"/>
      <c r="J64" s="8">
        <f>G64/$E$63</f>
        <v>0.003025002200588573</v>
      </c>
    </row>
    <row r="65" spans="1:10" ht="12.75">
      <c r="A65" s="11" t="s">
        <v>132</v>
      </c>
      <c r="B65" s="18">
        <v>84047</v>
      </c>
      <c r="C65" s="18">
        <v>593</v>
      </c>
      <c r="D65" s="10" t="s">
        <v>4</v>
      </c>
      <c r="E65" s="2"/>
      <c r="F65" s="19">
        <v>0.007</v>
      </c>
      <c r="G65" s="2">
        <f>ROUND(+$E$63*F65,0)</f>
        <v>85648</v>
      </c>
      <c r="H65" s="2"/>
      <c r="I65" s="2"/>
      <c r="J65" s="8">
        <f>G65/$E$63</f>
        <v>0.007000037514211879</v>
      </c>
    </row>
    <row r="66" spans="1:10" ht="12.75">
      <c r="A66" s="11" t="s">
        <v>131</v>
      </c>
      <c r="B66" s="18">
        <v>84047</v>
      </c>
      <c r="C66" s="18">
        <v>796</v>
      </c>
      <c r="D66" s="10" t="s">
        <v>4</v>
      </c>
      <c r="E66" s="2"/>
      <c r="F66" s="19">
        <v>0.0385</v>
      </c>
      <c r="G66" s="2">
        <f>ROUND(+$E$63*F66,0)</f>
        <v>471061</v>
      </c>
      <c r="H66" s="2"/>
      <c r="I66" s="2"/>
      <c r="J66" s="8">
        <f>G66/$E$63</f>
        <v>0.03849996113723802</v>
      </c>
    </row>
    <row r="67" spans="1:9" ht="12.75">
      <c r="A67" s="13" t="s">
        <v>130</v>
      </c>
      <c r="E67" s="2">
        <f>'[1]States'!C21</f>
        <v>51280512</v>
      </c>
      <c r="H67" s="2">
        <f>G68</f>
        <v>6664</v>
      </c>
      <c r="I67" s="2">
        <f>E67-H67</f>
        <v>51273848</v>
      </c>
    </row>
    <row r="68" spans="1:10" ht="12.75">
      <c r="A68" s="11" t="s">
        <v>129</v>
      </c>
      <c r="B68" s="18">
        <v>434091</v>
      </c>
      <c r="C68" s="18">
        <v>0</v>
      </c>
      <c r="D68" s="10" t="s">
        <v>1</v>
      </c>
      <c r="F68" s="9">
        <f>$C68/$B68</f>
        <v>0</v>
      </c>
      <c r="G68" s="2">
        <f>6664</f>
        <v>6664</v>
      </c>
      <c r="H68" s="2"/>
      <c r="I68" s="2"/>
      <c r="J68" s="8">
        <f>G68/E67</f>
        <v>0.0001299519006362495</v>
      </c>
    </row>
    <row r="69" spans="1:9" ht="12.75">
      <c r="A69" s="13" t="s">
        <v>128</v>
      </c>
      <c r="D69" s="11" t="s">
        <v>27</v>
      </c>
      <c r="E69" s="2">
        <f>'[1]States'!C23</f>
        <v>16690421</v>
      </c>
      <c r="F69" s="19"/>
      <c r="H69" s="2">
        <f>G70</f>
        <v>15990</v>
      </c>
      <c r="I69" s="2">
        <f>E69-H69</f>
        <v>16674431</v>
      </c>
    </row>
    <row r="70" spans="1:10" ht="12.75">
      <c r="A70" s="11" t="s">
        <v>127</v>
      </c>
      <c r="B70" s="18">
        <v>222152</v>
      </c>
      <c r="C70" s="18">
        <v>20</v>
      </c>
      <c r="D70" s="10" t="s">
        <v>1</v>
      </c>
      <c r="E70" s="2"/>
      <c r="F70" s="21">
        <f>C70/B70</f>
        <v>9.00284489898808E-05</v>
      </c>
      <c r="G70" s="2">
        <v>15990</v>
      </c>
      <c r="H70" s="2"/>
      <c r="I70" s="2"/>
      <c r="J70" s="8">
        <f>G70/E69</f>
        <v>0.0009580345516748799</v>
      </c>
    </row>
    <row r="71" spans="1:9" ht="12.75">
      <c r="A71" s="13" t="s">
        <v>126</v>
      </c>
      <c r="E71" s="2">
        <f>'[1]States'!C26</f>
        <v>26509531</v>
      </c>
      <c r="G71" s="2"/>
      <c r="H71" s="2">
        <f>SUM(G72:G76)</f>
        <v>968922</v>
      </c>
      <c r="I71" s="2">
        <f>E71-H71</f>
        <v>25540609</v>
      </c>
    </row>
    <row r="72" spans="1:10" ht="12.75">
      <c r="A72" s="11" t="s">
        <v>125</v>
      </c>
      <c r="B72" s="18">
        <v>100697</v>
      </c>
      <c r="D72" s="10" t="s">
        <v>4</v>
      </c>
      <c r="F72" s="9">
        <v>0.00435</v>
      </c>
      <c r="G72" s="2">
        <f>ROUND(+$E$71*$F72,0)</f>
        <v>115316</v>
      </c>
      <c r="H72" s="2"/>
      <c r="I72" s="2"/>
      <c r="J72" s="8">
        <f>G72/$E$71</f>
        <v>0.004349982653408693</v>
      </c>
    </row>
    <row r="73" spans="1:10" ht="12.75">
      <c r="A73" s="11" t="s">
        <v>124</v>
      </c>
      <c r="B73" s="18">
        <v>100697</v>
      </c>
      <c r="D73" s="10" t="s">
        <v>4</v>
      </c>
      <c r="E73" s="2"/>
      <c r="F73" s="9">
        <v>0.00435</v>
      </c>
      <c r="G73" s="2">
        <f>ROUND(+$E$71*$F73,0)</f>
        <v>115316</v>
      </c>
      <c r="H73" s="2"/>
      <c r="I73" s="2"/>
      <c r="J73" s="8">
        <f>G73/$E$71</f>
        <v>0.004349982653408693</v>
      </c>
    </row>
    <row r="74" spans="1:10" ht="12.75">
      <c r="A74" s="11" t="s">
        <v>123</v>
      </c>
      <c r="B74" s="18">
        <v>100697</v>
      </c>
      <c r="C74" s="18">
        <v>83</v>
      </c>
      <c r="D74" s="10" t="s">
        <v>4</v>
      </c>
      <c r="E74" s="2"/>
      <c r="F74" s="9">
        <v>0.0083</v>
      </c>
      <c r="G74" s="2">
        <f>ROUND(+$E$71*$F74,0)</f>
        <v>220029</v>
      </c>
      <c r="H74" s="2"/>
      <c r="I74" s="2"/>
      <c r="J74" s="8">
        <f>G74/$E$71</f>
        <v>0.008299995952399157</v>
      </c>
    </row>
    <row r="75" spans="1:10" ht="12.75">
      <c r="A75" s="11" t="s">
        <v>122</v>
      </c>
      <c r="B75" s="18">
        <v>100697</v>
      </c>
      <c r="C75" s="18">
        <v>69</v>
      </c>
      <c r="D75" s="10" t="s">
        <v>4</v>
      </c>
      <c r="E75" s="2"/>
      <c r="F75" s="9">
        <v>0.01158</v>
      </c>
      <c r="G75" s="2">
        <f>ROUND(+$E$71*$F75,0)</f>
        <v>306980</v>
      </c>
      <c r="H75" s="2"/>
      <c r="I75" s="2"/>
      <c r="J75" s="8">
        <f>G75/$E$71</f>
        <v>0.011579986081232445</v>
      </c>
    </row>
    <row r="76" spans="1:10" ht="12.75">
      <c r="A76" s="11" t="s">
        <v>121</v>
      </c>
      <c r="B76" s="18">
        <v>100697</v>
      </c>
      <c r="C76" s="18">
        <v>95</v>
      </c>
      <c r="D76" s="10" t="s">
        <v>4</v>
      </c>
      <c r="E76" s="2"/>
      <c r="F76" s="9">
        <v>0.00797</v>
      </c>
      <c r="G76" s="2">
        <f>ROUND(+$E$71*$F76,0)</f>
        <v>211281</v>
      </c>
      <c r="H76" s="2"/>
      <c r="I76" s="2"/>
      <c r="J76" s="8">
        <f>G76/$E$71</f>
        <v>0.00797000143080615</v>
      </c>
    </row>
    <row r="77" spans="1:9" ht="12.75">
      <c r="A77" s="13" t="s">
        <v>120</v>
      </c>
      <c r="E77" s="2">
        <f>'[1]States'!C28</f>
        <v>81853223</v>
      </c>
      <c r="H77" s="2">
        <f>G78</f>
        <v>32741</v>
      </c>
      <c r="I77" s="2">
        <f>E77-H77</f>
        <v>81820482</v>
      </c>
    </row>
    <row r="78" spans="1:10" ht="12.75">
      <c r="A78" s="11" t="s">
        <v>119</v>
      </c>
      <c r="B78" s="18">
        <v>531692</v>
      </c>
      <c r="C78" s="18">
        <v>127</v>
      </c>
      <c r="D78" s="10" t="s">
        <v>4</v>
      </c>
      <c r="E78" s="2"/>
      <c r="F78" s="9">
        <v>0.0004</v>
      </c>
      <c r="G78" s="2">
        <f>ROUND(+$E$77*F78,0)</f>
        <v>32741</v>
      </c>
      <c r="H78" s="2"/>
      <c r="I78" s="2"/>
      <c r="J78" s="8">
        <f>G78/E77</f>
        <v>0.0003999964668465162</v>
      </c>
    </row>
    <row r="79" spans="1:9" ht="12.75">
      <c r="A79" s="13" t="s">
        <v>118</v>
      </c>
      <c r="E79" s="2">
        <f>'[1]States'!C29</f>
        <v>107529532</v>
      </c>
      <c r="H79" s="2">
        <f>SUM(G80:G85)</f>
        <v>823067</v>
      </c>
      <c r="I79" s="2">
        <f>E79-H79</f>
        <v>106706465</v>
      </c>
    </row>
    <row r="80" spans="1:10" ht="12.75">
      <c r="A80" s="11" t="s">
        <v>117</v>
      </c>
      <c r="B80" s="18">
        <v>856399</v>
      </c>
      <c r="C80" s="18">
        <v>335</v>
      </c>
      <c r="D80" s="10" t="s">
        <v>41</v>
      </c>
      <c r="E80" s="2"/>
      <c r="F80" s="9">
        <f>$C80/$B80</f>
        <v>0.0003911728061335896</v>
      </c>
      <c r="G80" s="2">
        <f>ROUND(+$E$79*F80,0)</f>
        <v>42063</v>
      </c>
      <c r="H80" s="2"/>
      <c r="I80" s="2"/>
      <c r="J80" s="8">
        <f>G80/$E$79</f>
        <v>0.00039117625844405237</v>
      </c>
    </row>
    <row r="81" spans="1:10" ht="12.75">
      <c r="A81" s="11" t="s">
        <v>116</v>
      </c>
      <c r="B81" s="18">
        <v>856399</v>
      </c>
      <c r="C81" s="18">
        <v>637</v>
      </c>
      <c r="D81" s="10" t="s">
        <v>41</v>
      </c>
      <c r="E81" s="2"/>
      <c r="F81" s="9">
        <f>$C81/$B81</f>
        <v>0.0007438121716629749</v>
      </c>
      <c r="G81" s="2">
        <f>ROUND(+$E$79*F81,0)</f>
        <v>79982</v>
      </c>
      <c r="H81" s="2"/>
      <c r="J81" s="8">
        <f>G81/$E$79</f>
        <v>0.0007438142667634785</v>
      </c>
    </row>
    <row r="82" spans="1:10" ht="12.75">
      <c r="A82" s="11" t="s">
        <v>115</v>
      </c>
      <c r="B82" s="18">
        <v>856399</v>
      </c>
      <c r="C82" s="18">
        <v>884</v>
      </c>
      <c r="D82" s="10" t="s">
        <v>41</v>
      </c>
      <c r="E82" s="2"/>
      <c r="F82" s="9">
        <f>$C82/$B82</f>
        <v>0.0010322291361853529</v>
      </c>
      <c r="G82" s="2">
        <f>ROUND(+$E$79*F82,0)</f>
        <v>110995</v>
      </c>
      <c r="H82" s="2"/>
      <c r="J82" s="8">
        <f>G82/$E$79</f>
        <v>0.0010322280580557163</v>
      </c>
    </row>
    <row r="83" spans="1:10" ht="12.75">
      <c r="A83" s="11" t="s">
        <v>114</v>
      </c>
      <c r="B83" s="18">
        <v>856399</v>
      </c>
      <c r="C83" s="18">
        <v>162</v>
      </c>
      <c r="D83" s="10" t="s">
        <v>41</v>
      </c>
      <c r="E83" s="2"/>
      <c r="F83" s="9">
        <f>$C83/$B83</f>
        <v>0.00018916416296609406</v>
      </c>
      <c r="G83" s="2">
        <f>ROUND(+$E$79*F83,0)</f>
        <v>20341</v>
      </c>
      <c r="H83" s="2"/>
      <c r="J83" s="8">
        <f>G83/$E$79</f>
        <v>0.00018916663749638565</v>
      </c>
    </row>
    <row r="84" spans="1:10" ht="12.75">
      <c r="A84" s="11" t="s">
        <v>113</v>
      </c>
      <c r="B84" s="18">
        <v>856399</v>
      </c>
      <c r="C84" s="18">
        <v>555</v>
      </c>
      <c r="D84" s="10" t="s">
        <v>41</v>
      </c>
      <c r="E84" s="2"/>
      <c r="F84" s="9">
        <f>$C84/$B84</f>
        <v>0.0006480624101616186</v>
      </c>
      <c r="G84" s="2">
        <f>ROUND(+$E$79*F84,0)</f>
        <v>69686</v>
      </c>
      <c r="H84" s="2"/>
      <c r="J84" s="8">
        <f>G84/$E$79</f>
        <v>0.000648063826782023</v>
      </c>
    </row>
    <row r="85" spans="1:10" ht="12.75">
      <c r="A85" s="11" t="s">
        <v>112</v>
      </c>
      <c r="B85" s="18">
        <v>856399</v>
      </c>
      <c r="C85" s="18">
        <v>1744</v>
      </c>
      <c r="D85" s="10" t="s">
        <v>1</v>
      </c>
      <c r="E85" s="2"/>
      <c r="F85" s="9">
        <f>$C85/$B85</f>
        <v>0.0020364339519312845</v>
      </c>
      <c r="G85" s="2">
        <f>500000</f>
        <v>500000</v>
      </c>
      <c r="H85" s="2"/>
      <c r="I85" s="2"/>
      <c r="J85" s="8">
        <f>G85/$E$79</f>
        <v>0.004649885391484825</v>
      </c>
    </row>
    <row r="86" spans="1:9" ht="12.75">
      <c r="A86" s="13" t="s">
        <v>111</v>
      </c>
      <c r="E86" s="2">
        <f>'[1]States'!C31</f>
        <v>14377197</v>
      </c>
      <c r="H86" s="2">
        <f>G87</f>
        <v>27247</v>
      </c>
      <c r="I86" s="2">
        <f>E86-H86</f>
        <v>14349950</v>
      </c>
    </row>
    <row r="87" spans="1:10" ht="12.75">
      <c r="A87" s="11" t="s">
        <v>110</v>
      </c>
      <c r="B87" s="18">
        <v>319230</v>
      </c>
      <c r="C87" s="18">
        <v>605</v>
      </c>
      <c r="D87" s="10" t="s">
        <v>30</v>
      </c>
      <c r="E87" s="2"/>
      <c r="F87" s="9">
        <f>$C87/$B87</f>
        <v>0.0018951852896031075</v>
      </c>
      <c r="G87" s="2">
        <f>ROUND(+$E$86*F87,0)</f>
        <v>27247</v>
      </c>
      <c r="H87" s="2"/>
      <c r="I87" s="2"/>
      <c r="J87" s="8">
        <f>G87/E86</f>
        <v>0.0018951538328368179</v>
      </c>
    </row>
    <row r="88" spans="1:9" ht="12.75">
      <c r="A88" s="13" t="s">
        <v>109</v>
      </c>
      <c r="E88" s="2">
        <f>'[1]States'!C33</f>
        <v>14351303</v>
      </c>
      <c r="F88" s="19">
        <f>SUM(F89:F94)</f>
        <v>0.174806</v>
      </c>
      <c r="H88" s="2">
        <f>SUM(G89:G94)</f>
        <v>2508693</v>
      </c>
      <c r="I88" s="2">
        <f>E88-H88</f>
        <v>11842610</v>
      </c>
    </row>
    <row r="89" spans="1:10" ht="12.75">
      <c r="A89" s="11" t="s">
        <v>108</v>
      </c>
      <c r="C89" s="1">
        <v>928</v>
      </c>
      <c r="D89" s="10" t="s">
        <v>4</v>
      </c>
      <c r="E89" s="2"/>
      <c r="F89" s="19">
        <v>0.038999</v>
      </c>
      <c r="G89" s="2">
        <f>ROUND(+$E$88*F89,0)</f>
        <v>559686</v>
      </c>
      <c r="H89" s="2"/>
      <c r="I89" s="19"/>
      <c r="J89" s="8">
        <f>G89/$E$88</f>
        <v>0.03899896755019387</v>
      </c>
    </row>
    <row r="90" spans="1:10" ht="12.75">
      <c r="A90" s="11" t="s">
        <v>107</v>
      </c>
      <c r="C90" s="1">
        <v>1135</v>
      </c>
      <c r="D90" s="10" t="s">
        <v>4</v>
      </c>
      <c r="E90" s="2"/>
      <c r="F90" s="19">
        <v>0.044521</v>
      </c>
      <c r="G90" s="2">
        <f>ROUND(+$E$88*F90,0)</f>
        <v>638934</v>
      </c>
      <c r="H90" s="2"/>
      <c r="J90" s="8">
        <f>G90/$E$88</f>
        <v>0.04452097485503581</v>
      </c>
    </row>
    <row r="91" spans="1:10" ht="12.75">
      <c r="A91" s="11" t="s">
        <v>106</v>
      </c>
      <c r="C91" s="1">
        <v>246</v>
      </c>
      <c r="D91" s="10" t="s">
        <v>4</v>
      </c>
      <c r="E91" s="2"/>
      <c r="F91" s="19">
        <v>0.01139</v>
      </c>
      <c r="G91" s="2">
        <f>ROUND(+$E$88*F91,0)</f>
        <v>163461</v>
      </c>
      <c r="H91" s="2"/>
      <c r="J91" s="8">
        <f>G91/$E$88</f>
        <v>0.011389976227245708</v>
      </c>
    </row>
    <row r="92" spans="1:10" ht="12.75">
      <c r="A92" s="11" t="s">
        <v>105</v>
      </c>
      <c r="C92" s="1">
        <v>871</v>
      </c>
      <c r="D92" s="10" t="s">
        <v>4</v>
      </c>
      <c r="E92" s="2"/>
      <c r="F92" s="19">
        <v>0.043658</v>
      </c>
      <c r="G92" s="2">
        <f>ROUND(+$E$88*F92,0)</f>
        <v>626549</v>
      </c>
      <c r="H92" s="2"/>
      <c r="J92" s="8">
        <f>G92/$E$88</f>
        <v>0.043657987013444005</v>
      </c>
    </row>
    <row r="93" spans="1:10" ht="12.75">
      <c r="A93" s="11" t="s">
        <v>104</v>
      </c>
      <c r="C93" s="1">
        <v>381</v>
      </c>
      <c r="D93" s="10" t="s">
        <v>4</v>
      </c>
      <c r="E93" s="2"/>
      <c r="F93" s="19">
        <v>0.015703</v>
      </c>
      <c r="G93" s="2">
        <f>ROUND(+$E$88*F93,0)</f>
        <v>225359</v>
      </c>
      <c r="H93" s="2"/>
      <c r="J93" s="8">
        <f>G93/$E$88</f>
        <v>0.015703034072934004</v>
      </c>
    </row>
    <row r="94" spans="1:10" ht="12.75">
      <c r="A94" s="11" t="s">
        <v>103</v>
      </c>
      <c r="C94" s="1">
        <v>536</v>
      </c>
      <c r="D94" s="10" t="s">
        <v>4</v>
      </c>
      <c r="E94" s="2"/>
      <c r="F94" s="19">
        <v>0.020535</v>
      </c>
      <c r="G94" s="2">
        <f>ROUND(+$E$88*F94,0)</f>
        <v>294704</v>
      </c>
      <c r="H94" s="2"/>
      <c r="J94" s="8">
        <f>G94/$E$88</f>
        <v>0.020534999504923</v>
      </c>
    </row>
    <row r="95" spans="1:9" ht="12.75">
      <c r="A95" s="13" t="s">
        <v>102</v>
      </c>
      <c r="D95" s="10"/>
      <c r="E95" s="2">
        <f>'[1]States'!C34</f>
        <v>17973100</v>
      </c>
      <c r="F95" s="19"/>
      <c r="G95" s="2"/>
      <c r="H95" s="12">
        <f>G96</f>
        <v>10000</v>
      </c>
      <c r="I95" s="2">
        <f>E95-H95</f>
        <v>17963100</v>
      </c>
    </row>
    <row r="96" spans="1:10" ht="12.75">
      <c r="A96" s="11" t="s">
        <v>101</v>
      </c>
      <c r="B96" s="1">
        <v>136572</v>
      </c>
      <c r="D96" s="10" t="s">
        <v>1</v>
      </c>
      <c r="E96" s="2"/>
      <c r="F96" s="25"/>
      <c r="G96" s="2">
        <v>10000</v>
      </c>
      <c r="H96" s="2"/>
      <c r="J96" s="8">
        <f>G96/E95</f>
        <v>0.0005563870450840423</v>
      </c>
    </row>
    <row r="97" spans="1:9" ht="12.75">
      <c r="A97" s="13" t="s">
        <v>100</v>
      </c>
      <c r="E97" s="2">
        <f>'[1]States'!C37</f>
        <v>75987987</v>
      </c>
      <c r="G97" s="2"/>
      <c r="H97" s="2">
        <f>G98</f>
        <v>189980</v>
      </c>
      <c r="I97" s="2">
        <f>E97-H97</f>
        <v>75798007</v>
      </c>
    </row>
    <row r="98" spans="1:10" ht="12.75">
      <c r="A98" s="11" t="s">
        <v>99</v>
      </c>
      <c r="B98" s="18">
        <v>602367</v>
      </c>
      <c r="C98" s="18">
        <v>1506</v>
      </c>
      <c r="D98" s="10" t="s">
        <v>30</v>
      </c>
      <c r="E98" s="2"/>
      <c r="F98" s="9">
        <f>$C98/$B98</f>
        <v>0.002500136959694007</v>
      </c>
      <c r="G98" s="2">
        <f>ROUND(+$E$97*F98,0)</f>
        <v>189980</v>
      </c>
      <c r="H98" s="2"/>
      <c r="I98" s="2"/>
      <c r="J98" s="8">
        <f>G98/E97</f>
        <v>0.00250013202744797</v>
      </c>
    </row>
    <row r="99" spans="1:9" ht="12.75">
      <c r="A99" s="13" t="s">
        <v>98</v>
      </c>
      <c r="E99" s="2">
        <f>'[1]States'!C38</f>
        <v>10153038</v>
      </c>
      <c r="F99" s="19"/>
      <c r="H99" s="2">
        <f>SUM(G100:G105)</f>
        <v>794871</v>
      </c>
      <c r="I99" s="2">
        <f>E99-H99</f>
        <v>9358167</v>
      </c>
    </row>
    <row r="100" spans="1:10" ht="12.75">
      <c r="A100" s="11" t="s">
        <v>97</v>
      </c>
      <c r="B100" s="18">
        <v>154990</v>
      </c>
      <c r="C100" s="18">
        <v>262</v>
      </c>
      <c r="D100" s="10" t="s">
        <v>30</v>
      </c>
      <c r="E100" s="2"/>
      <c r="F100" s="9">
        <f>$C100/$B100</f>
        <v>0.001690431640751016</v>
      </c>
      <c r="G100" s="2">
        <f>ROUND(+$E$99*F100,0)</f>
        <v>17163</v>
      </c>
      <c r="H100" s="2"/>
      <c r="I100" s="2"/>
      <c r="J100" s="8">
        <f>G100/$E$99</f>
        <v>0.0016904299974057025</v>
      </c>
    </row>
    <row r="101" spans="1:10" ht="12.75">
      <c r="A101" s="11" t="s">
        <v>96</v>
      </c>
      <c r="B101" s="18">
        <v>154990</v>
      </c>
      <c r="C101" s="18">
        <v>261</v>
      </c>
      <c r="D101" s="10" t="s">
        <v>30</v>
      </c>
      <c r="E101" s="2"/>
      <c r="F101" s="9">
        <f>$C101/$B101</f>
        <v>0.0016839796115878443</v>
      </c>
      <c r="G101" s="2">
        <f>ROUND(+$E$99*F101,0)</f>
        <v>17098</v>
      </c>
      <c r="H101" s="2"/>
      <c r="I101" s="2"/>
      <c r="J101" s="8">
        <f>G101/$E$99</f>
        <v>0.001684027972711222</v>
      </c>
    </row>
    <row r="102" spans="1:10" ht="12.75">
      <c r="A102" s="11" t="s">
        <v>31</v>
      </c>
      <c r="B102" s="18">
        <v>154990</v>
      </c>
      <c r="C102" s="18">
        <v>9939</v>
      </c>
      <c r="D102" s="10" t="s">
        <v>30</v>
      </c>
      <c r="E102" s="2"/>
      <c r="F102" s="9">
        <f>$C102/$B102</f>
        <v>0.06412671785276469</v>
      </c>
      <c r="G102" s="2">
        <f>ROUND(+$E$99*F102,0)</f>
        <v>651081</v>
      </c>
      <c r="H102" s="2"/>
      <c r="I102" s="2"/>
      <c r="J102" s="8">
        <f>G102/$E$99</f>
        <v>0.06412671754010967</v>
      </c>
    </row>
    <row r="103" spans="1:10" ht="12.75">
      <c r="A103" s="11" t="s">
        <v>95</v>
      </c>
      <c r="B103" s="18">
        <v>154990</v>
      </c>
      <c r="C103" s="18">
        <v>200</v>
      </c>
      <c r="D103" s="10" t="s">
        <v>30</v>
      </c>
      <c r="E103" s="2"/>
      <c r="F103" s="9">
        <f>$C103/$B103</f>
        <v>0.0012904058326343635</v>
      </c>
      <c r="G103" s="2">
        <f>ROUND(+$E$99*F103,0)</f>
        <v>13102</v>
      </c>
      <c r="H103" s="2"/>
      <c r="I103" s="2"/>
      <c r="J103" s="8">
        <f>G103/$E$99</f>
        <v>0.0012904511930320758</v>
      </c>
    </row>
    <row r="104" spans="1:10" ht="12.75">
      <c r="A104" s="11" t="s">
        <v>94</v>
      </c>
      <c r="B104" s="18">
        <v>154990</v>
      </c>
      <c r="C104" s="18">
        <v>520</v>
      </c>
      <c r="D104" s="10" t="s">
        <v>30</v>
      </c>
      <c r="E104" s="2"/>
      <c r="F104" s="9">
        <f>$C104/$B104</f>
        <v>0.003355055164849345</v>
      </c>
      <c r="G104" s="2">
        <f>ROUND(+$E$99*F104,0)</f>
        <v>34064</v>
      </c>
      <c r="H104" s="2"/>
      <c r="I104" s="2"/>
      <c r="J104" s="8">
        <f>G104/$E$99</f>
        <v>0.003355054910658268</v>
      </c>
    </row>
    <row r="105" spans="1:10" ht="12.75">
      <c r="A105" s="11" t="s">
        <v>93</v>
      </c>
      <c r="B105" s="18">
        <v>154990</v>
      </c>
      <c r="C105" s="18">
        <v>952</v>
      </c>
      <c r="D105" s="10" t="s">
        <v>30</v>
      </c>
      <c r="E105" s="2"/>
      <c r="F105" s="9">
        <f>$C105/$B105</f>
        <v>0.00614233176333957</v>
      </c>
      <c r="G105" s="2">
        <f>ROUND(+$E$99*F105,0)</f>
        <v>62363</v>
      </c>
      <c r="H105" s="2"/>
      <c r="I105" s="2"/>
      <c r="J105" s="8">
        <f>G105/$E$99</f>
        <v>0.00614229947725991</v>
      </c>
    </row>
    <row r="106" spans="1:9" ht="12.75">
      <c r="A106" s="13" t="s">
        <v>92</v>
      </c>
      <c r="E106" s="2">
        <f>'[1]States'!C39</f>
        <v>248112273</v>
      </c>
      <c r="H106" s="2">
        <f>SUM(G107:G108)</f>
        <v>404188</v>
      </c>
      <c r="I106" s="2">
        <f>E106-H106</f>
        <v>247708085</v>
      </c>
    </row>
    <row r="107" spans="1:10" ht="12.75">
      <c r="A107" s="11" t="s">
        <v>91</v>
      </c>
      <c r="B107" s="18">
        <v>1622237</v>
      </c>
      <c r="C107" s="18">
        <v>547</v>
      </c>
      <c r="D107" s="10" t="s">
        <v>41</v>
      </c>
      <c r="E107" s="2"/>
      <c r="F107" s="9">
        <f>$C107/$B107</f>
        <v>0.000337188709171348</v>
      </c>
      <c r="G107" s="2">
        <f>ROUND(+$E$106*$F107,0)+117846</f>
        <v>201507</v>
      </c>
      <c r="H107" s="2"/>
      <c r="I107" s="2"/>
      <c r="J107" s="8">
        <f>G107/$E$106</f>
        <v>0.0008121605495911926</v>
      </c>
    </row>
    <row r="108" spans="1:10" ht="12.75">
      <c r="A108" s="11" t="s">
        <v>90</v>
      </c>
      <c r="B108" s="18">
        <v>1622237</v>
      </c>
      <c r="C108" s="18">
        <v>317</v>
      </c>
      <c r="D108" s="10" t="s">
        <v>41</v>
      </c>
      <c r="E108" s="2"/>
      <c r="F108" s="9">
        <f>$C108/$B108</f>
        <v>0.0001954091788067958</v>
      </c>
      <c r="G108" s="2">
        <f>ROUND(+$E$106*$F108,0)+154198</f>
        <v>202681</v>
      </c>
      <c r="H108" s="2"/>
      <c r="I108" s="2"/>
      <c r="J108" s="8">
        <f>G108/$E$106</f>
        <v>0.0008168922784404139</v>
      </c>
    </row>
    <row r="109" spans="1:9" ht="12.75">
      <c r="A109" s="13" t="s">
        <v>89</v>
      </c>
      <c r="E109" s="2">
        <f>'[1]States'!C40</f>
        <v>36976258</v>
      </c>
      <c r="H109" s="2">
        <f>G110</f>
        <v>657597</v>
      </c>
      <c r="I109" s="2">
        <f>E109-H109</f>
        <v>36318661</v>
      </c>
    </row>
    <row r="110" spans="1:10" ht="12.75">
      <c r="A110" s="11" t="s">
        <v>88</v>
      </c>
      <c r="B110" s="18">
        <v>618221</v>
      </c>
      <c r="C110" s="18">
        <v>6441</v>
      </c>
      <c r="D110" s="10" t="s">
        <v>4</v>
      </c>
      <c r="E110" s="2"/>
      <c r="F110" s="9">
        <v>0.01778431</v>
      </c>
      <c r="G110" s="2">
        <f>ROUND(+$E$109*$F110,0)</f>
        <v>657597</v>
      </c>
      <c r="H110" s="2"/>
      <c r="I110" s="2"/>
      <c r="J110" s="8">
        <f>G110/E109</f>
        <v>0.01778430364695097</v>
      </c>
    </row>
    <row r="111" spans="1:9" ht="12.75">
      <c r="A111" s="13" t="s">
        <v>87</v>
      </c>
      <c r="D111" s="11" t="s">
        <v>27</v>
      </c>
      <c r="E111" s="2">
        <f>'[1]States'!C41</f>
        <v>15589857</v>
      </c>
      <c r="F111" s="19">
        <f>SUM(F112:F115)</f>
        <v>0.182</v>
      </c>
      <c r="H111" s="2">
        <f>SUM(G112:G115)</f>
        <v>2837355</v>
      </c>
      <c r="I111" s="2">
        <f>E111-H111</f>
        <v>12752502</v>
      </c>
    </row>
    <row r="112" spans="1:10" ht="12.75">
      <c r="A112" s="11" t="s">
        <v>86</v>
      </c>
      <c r="D112" s="10" t="s">
        <v>4</v>
      </c>
      <c r="E112" s="2"/>
      <c r="F112" s="24">
        <v>0.0402</v>
      </c>
      <c r="G112" s="2">
        <f>ROUND(+$E$111*F112,0)</f>
        <v>626712</v>
      </c>
      <c r="H112" s="2"/>
      <c r="I112" s="2"/>
      <c r="J112" s="8">
        <f>G112/$E$111</f>
        <v>0.04019998387413047</v>
      </c>
    </row>
    <row r="113" spans="1:10" ht="12.75">
      <c r="A113" s="11" t="s">
        <v>85</v>
      </c>
      <c r="D113" s="10" t="s">
        <v>4</v>
      </c>
      <c r="E113" s="2"/>
      <c r="F113" s="24">
        <v>0.0314</v>
      </c>
      <c r="G113" s="2">
        <f>ROUND(+$E$111*F113,0)</f>
        <v>489522</v>
      </c>
      <c r="H113" s="2"/>
      <c r="I113" s="2"/>
      <c r="J113" s="8">
        <f>G113/$E$111</f>
        <v>0.031400031443521256</v>
      </c>
    </row>
    <row r="114" spans="1:10" ht="12.75">
      <c r="A114" s="11" t="s">
        <v>84</v>
      </c>
      <c r="D114" s="10" t="s">
        <v>4</v>
      </c>
      <c r="E114" s="2"/>
      <c r="F114" s="24">
        <v>0.0301</v>
      </c>
      <c r="G114" s="2">
        <f>ROUND(+$E$111*F114,0)</f>
        <v>469255</v>
      </c>
      <c r="H114" s="2"/>
      <c r="I114" s="2"/>
      <c r="J114" s="8">
        <f>G114/$E$111</f>
        <v>0.030100019519101427</v>
      </c>
    </row>
    <row r="115" spans="1:10" ht="12.75">
      <c r="A115" s="11" t="s">
        <v>83</v>
      </c>
      <c r="D115" s="10" t="s">
        <v>4</v>
      </c>
      <c r="E115" s="2"/>
      <c r="F115" s="24">
        <v>0.0803</v>
      </c>
      <c r="G115" s="2">
        <f>ROUND(+$E$111*F115,0)</f>
        <v>1251866</v>
      </c>
      <c r="H115" s="2"/>
      <c r="I115" s="2"/>
      <c r="J115" s="8">
        <f>G115/$E$111</f>
        <v>0.08030003097526808</v>
      </c>
    </row>
    <row r="116" spans="1:10" ht="12.75">
      <c r="A116" s="11"/>
      <c r="D116" s="10"/>
      <c r="E116" s="2"/>
      <c r="F116" s="24"/>
      <c r="G116" s="2"/>
      <c r="H116" s="2"/>
      <c r="I116" s="2"/>
      <c r="J116" s="8"/>
    </row>
    <row r="117" spans="1:9" ht="12.75">
      <c r="A117" s="13" t="s">
        <v>82</v>
      </c>
      <c r="E117" s="2">
        <f>'[1]States'!C43</f>
        <v>15414567</v>
      </c>
      <c r="F117" s="19"/>
      <c r="H117" s="2">
        <f>SUM(G118:G148)</f>
        <v>1410591</v>
      </c>
      <c r="I117" s="2">
        <f>E117-H117</f>
        <v>14003976</v>
      </c>
    </row>
    <row r="118" spans="1:10" ht="12.75">
      <c r="A118" s="11" t="s">
        <v>81</v>
      </c>
      <c r="B118" s="18">
        <v>334782</v>
      </c>
      <c r="C118" s="18">
        <v>195</v>
      </c>
      <c r="D118" s="22" t="s">
        <v>41</v>
      </c>
      <c r="E118" s="2"/>
      <c r="F118" s="9">
        <f>$C118/$B118</f>
        <v>0.0005824685915013352</v>
      </c>
      <c r="G118" s="2">
        <f>ROUND(MAXA(+$E$117*$F118,4000),0)</f>
        <v>8979</v>
      </c>
      <c r="H118" s="2"/>
      <c r="I118" s="2"/>
      <c r="J118" s="8">
        <f>G118/$E$117</f>
        <v>0.0005825009551030529</v>
      </c>
    </row>
    <row r="119" spans="1:10" ht="12.75">
      <c r="A119" s="11" t="s">
        <v>80</v>
      </c>
      <c r="B119" s="18">
        <v>334782</v>
      </c>
      <c r="C119" s="18">
        <v>125</v>
      </c>
      <c r="D119" s="22" t="s">
        <v>41</v>
      </c>
      <c r="E119" s="2"/>
      <c r="F119" s="9">
        <f>$C119/$B119</f>
        <v>0.00037337730224444566</v>
      </c>
      <c r="G119" s="2">
        <f>ROUND(MAXA(+$E$117*$F119,4000),0)</f>
        <v>5755</v>
      </c>
      <c r="H119" s="2"/>
      <c r="I119" s="2"/>
      <c r="J119" s="8">
        <f>G119/$E$117</f>
        <v>0.00037334814529658863</v>
      </c>
    </row>
    <row r="120" spans="1:10" ht="12.75">
      <c r="A120" s="11" t="s">
        <v>79</v>
      </c>
      <c r="B120" s="18">
        <v>334782</v>
      </c>
      <c r="C120" s="18">
        <v>168</v>
      </c>
      <c r="D120" s="22" t="s">
        <v>41</v>
      </c>
      <c r="E120" s="2"/>
      <c r="F120" s="9">
        <f>$C120/$B120</f>
        <v>0.000501819094216535</v>
      </c>
      <c r="G120" s="2">
        <f>ROUND(MAXA(+$E$117*$F120,4000),0)</f>
        <v>7735</v>
      </c>
      <c r="H120" s="2"/>
      <c r="I120" s="2"/>
      <c r="J120" s="8">
        <f>G120/$E$117</f>
        <v>0.0005017980719147025</v>
      </c>
    </row>
    <row r="121" spans="1:10" ht="12.75">
      <c r="A121" s="11" t="s">
        <v>78</v>
      </c>
      <c r="B121" s="18">
        <v>334782</v>
      </c>
      <c r="C121" s="18">
        <v>196</v>
      </c>
      <c r="D121" s="22" t="s">
        <v>41</v>
      </c>
      <c r="E121" s="2"/>
      <c r="F121" s="9">
        <f>$C121/$B121</f>
        <v>0.0005854556099192908</v>
      </c>
      <c r="G121" s="2">
        <f>ROUND(MAXA(+$E$117*$F121,4000),0)</f>
        <v>9025</v>
      </c>
      <c r="H121" s="2"/>
      <c r="I121" s="2"/>
      <c r="J121" s="8">
        <f>G121/$E$117</f>
        <v>0.0005854851453174131</v>
      </c>
    </row>
    <row r="122" spans="1:10" ht="12.75">
      <c r="A122" s="11" t="s">
        <v>77</v>
      </c>
      <c r="B122" s="18">
        <v>334782</v>
      </c>
      <c r="C122" s="18">
        <v>12117</v>
      </c>
      <c r="D122" s="22" t="s">
        <v>41</v>
      </c>
      <c r="E122" s="2"/>
      <c r="F122" s="9">
        <f>$C122/$B122</f>
        <v>0.03619370217036758</v>
      </c>
      <c r="G122" s="2">
        <f>ROUND(MAXA(+$E$117*$F122,4000),0)</f>
        <v>557910</v>
      </c>
      <c r="H122" s="2"/>
      <c r="I122" s="23" t="s">
        <v>27</v>
      </c>
      <c r="J122" s="8">
        <f>G122/$E$117</f>
        <v>0.036193686141167636</v>
      </c>
    </row>
    <row r="123" spans="1:10" ht="12.75">
      <c r="A123" s="11" t="s">
        <v>76</v>
      </c>
      <c r="B123" s="18">
        <v>334782</v>
      </c>
      <c r="C123" s="18">
        <v>635</v>
      </c>
      <c r="D123" s="22" t="s">
        <v>41</v>
      </c>
      <c r="E123" s="2"/>
      <c r="F123" s="9">
        <f>$C123/$B123</f>
        <v>0.0018967566954017838</v>
      </c>
      <c r="G123" s="2">
        <f>ROUND(MAXA(+$E$117*$F123,4000),0)</f>
        <v>29238</v>
      </c>
      <c r="H123" s="2"/>
      <c r="I123" s="2"/>
      <c r="J123" s="8">
        <f>G123/$E$117</f>
        <v>0.0018967772497274818</v>
      </c>
    </row>
    <row r="124" spans="1:10" ht="12.75">
      <c r="A124" s="11" t="s">
        <v>75</v>
      </c>
      <c r="B124" s="18">
        <v>334782</v>
      </c>
      <c r="C124" s="18">
        <v>1377</v>
      </c>
      <c r="D124" s="10" t="s">
        <v>4</v>
      </c>
      <c r="E124" s="2"/>
      <c r="F124" s="9">
        <v>0.00487272</v>
      </c>
      <c r="G124" s="2">
        <f>ROUND(MAXA(+$E$117*$F124,4000),0)</f>
        <v>75111</v>
      </c>
      <c r="H124" s="2"/>
      <c r="I124" s="2"/>
      <c r="J124" s="8">
        <f>G124/$E$117</f>
        <v>0.004872728504148056</v>
      </c>
    </row>
    <row r="125" spans="1:10" ht="12.75">
      <c r="A125" s="11" t="s">
        <v>74</v>
      </c>
      <c r="B125" s="18">
        <v>334782</v>
      </c>
      <c r="C125" s="18">
        <v>4412</v>
      </c>
      <c r="D125" s="10" t="s">
        <v>4</v>
      </c>
      <c r="E125" s="2"/>
      <c r="F125" s="9">
        <v>0.01368002</v>
      </c>
      <c r="G125" s="2">
        <f>ROUND(MAXA(+$E$117*$F125,4000),0)</f>
        <v>210872</v>
      </c>
      <c r="H125" s="2"/>
      <c r="I125" s="23" t="s">
        <v>27</v>
      </c>
      <c r="J125" s="8">
        <f>G125/$E$117</f>
        <v>0.013680046932229753</v>
      </c>
    </row>
    <row r="126" spans="1:10" ht="12.75">
      <c r="A126" s="11" t="s">
        <v>73</v>
      </c>
      <c r="B126" s="18">
        <v>334782</v>
      </c>
      <c r="C126" s="18">
        <v>256</v>
      </c>
      <c r="D126" s="22" t="s">
        <v>41</v>
      </c>
      <c r="E126" s="2"/>
      <c r="F126" s="9">
        <f>$C126/$B126</f>
        <v>0.0007646767149966247</v>
      </c>
      <c r="G126" s="2">
        <f>ROUND(MAXA(+$E$117*$F126,4000),0)</f>
        <v>11787</v>
      </c>
      <c r="H126" s="2"/>
      <c r="I126" s="2"/>
      <c r="J126" s="8">
        <f>G126/$E$117</f>
        <v>0.0007646663055796508</v>
      </c>
    </row>
    <row r="127" spans="1:10" ht="12.75">
      <c r="A127" s="11" t="s">
        <v>72</v>
      </c>
      <c r="B127" s="18">
        <v>334782</v>
      </c>
      <c r="C127" s="18">
        <v>696</v>
      </c>
      <c r="D127" s="10" t="s">
        <v>4</v>
      </c>
      <c r="E127" s="2"/>
      <c r="F127" s="9">
        <v>0.00218432</v>
      </c>
      <c r="G127" s="2">
        <f>ROUND(MAXA(+$E$117*$F127,4000),0)</f>
        <v>33670</v>
      </c>
      <c r="H127" s="2"/>
      <c r="I127" s="2"/>
      <c r="J127" s="8">
        <f>G127/$E$117</f>
        <v>0.002184297489511058</v>
      </c>
    </row>
    <row r="128" spans="1:10" ht="12.75">
      <c r="A128" s="11" t="s">
        <v>71</v>
      </c>
      <c r="B128" s="18">
        <v>334782</v>
      </c>
      <c r="C128" s="18"/>
      <c r="D128" s="10" t="s">
        <v>1</v>
      </c>
      <c r="E128" s="2"/>
      <c r="F128" s="9"/>
      <c r="G128" s="2">
        <f>4000</f>
        <v>4000</v>
      </c>
      <c r="H128" s="2"/>
      <c r="I128" s="2"/>
      <c r="J128" s="8">
        <f>G128/$E$117</f>
        <v>0.0002594948012487149</v>
      </c>
    </row>
    <row r="129" spans="1:10" ht="12.75">
      <c r="A129" s="11" t="s">
        <v>70</v>
      </c>
      <c r="B129" s="18">
        <v>334782</v>
      </c>
      <c r="C129" s="18"/>
      <c r="D129" s="10" t="s">
        <v>1</v>
      </c>
      <c r="E129" s="2"/>
      <c r="F129" s="9"/>
      <c r="G129" s="2">
        <f>4000</f>
        <v>4000</v>
      </c>
      <c r="H129" s="2"/>
      <c r="I129" s="2"/>
      <c r="J129" s="8">
        <f>G129/$E$117</f>
        <v>0.0002594948012487149</v>
      </c>
    </row>
    <row r="130" spans="1:10" ht="12.75">
      <c r="A130" s="11" t="s">
        <v>69</v>
      </c>
      <c r="B130" s="18">
        <v>334782</v>
      </c>
      <c r="C130" s="18">
        <v>170</v>
      </c>
      <c r="D130" s="22" t="s">
        <v>41</v>
      </c>
      <c r="F130" s="9">
        <f>$C130/$B130</f>
        <v>0.0005077931310524461</v>
      </c>
      <c r="G130" s="2">
        <f>ROUND(MAXA(+$E$117*$F130,4000),0)</f>
        <v>7827</v>
      </c>
      <c r="H130" s="2"/>
      <c r="J130" s="8">
        <f>G130/$E$117</f>
        <v>0.0005077664523434229</v>
      </c>
    </row>
    <row r="131" spans="1:10" ht="12.75">
      <c r="A131" s="11" t="s">
        <v>68</v>
      </c>
      <c r="B131" s="18">
        <v>334782</v>
      </c>
      <c r="C131" s="18">
        <v>612</v>
      </c>
      <c r="D131" s="22" t="s">
        <v>41</v>
      </c>
      <c r="F131" s="9">
        <f>$C131/$B131</f>
        <v>0.0018280552717888057</v>
      </c>
      <c r="G131" s="2">
        <f>ROUND(MAXA(+$E$117*$F131,4000),0)</f>
        <v>28179</v>
      </c>
      <c r="H131" s="2"/>
      <c r="J131" s="8">
        <f>G131/$E$117</f>
        <v>0.0018280760010968846</v>
      </c>
    </row>
    <row r="132" spans="1:10" ht="12.75">
      <c r="A132" s="11" t="s">
        <v>67</v>
      </c>
      <c r="B132" s="18">
        <v>334782</v>
      </c>
      <c r="C132" s="18">
        <v>100</v>
      </c>
      <c r="D132" s="22" t="s">
        <v>41</v>
      </c>
      <c r="E132" s="2"/>
      <c r="F132" s="9">
        <f>$C132/$B132</f>
        <v>0.0002987018417955565</v>
      </c>
      <c r="G132" s="2">
        <f>ROUND(MAXA(+$E$117*$F132,4000),0)</f>
        <v>4604</v>
      </c>
      <c r="H132" s="2"/>
      <c r="I132" s="2"/>
      <c r="J132" s="8">
        <f>G132/$E$117</f>
        <v>0.0002986785162372709</v>
      </c>
    </row>
    <row r="133" spans="1:10" ht="12.75">
      <c r="A133" s="11" t="s">
        <v>66</v>
      </c>
      <c r="B133" s="18">
        <v>334782</v>
      </c>
      <c r="C133" s="11" t="s">
        <v>27</v>
      </c>
      <c r="D133" s="22" t="s">
        <v>1</v>
      </c>
      <c r="F133" s="9"/>
      <c r="G133" s="2">
        <f>ROUND(MAXA(+$E$117*$F133,4000),0)</f>
        <v>4000</v>
      </c>
      <c r="H133" s="2"/>
      <c r="J133" s="8">
        <f>G133/$E$117</f>
        <v>0.0002594948012487149</v>
      </c>
    </row>
    <row r="134" spans="1:10" ht="12.75">
      <c r="A134" s="11" t="s">
        <v>65</v>
      </c>
      <c r="B134" s="18">
        <v>334782</v>
      </c>
      <c r="C134" s="18">
        <v>3057</v>
      </c>
      <c r="D134" s="22" t="s">
        <v>41</v>
      </c>
      <c r="E134" s="2"/>
      <c r="F134" s="9">
        <f>$C134/$B134</f>
        <v>0.009131315303690163</v>
      </c>
      <c r="G134" s="2">
        <f>ROUND(MAXA(+$E$117*$F134,4000),0)</f>
        <v>140755</v>
      </c>
      <c r="H134" s="2"/>
      <c r="I134" s="2"/>
      <c r="J134" s="8">
        <f>G134/$E$117</f>
        <v>0.009131297687440717</v>
      </c>
    </row>
    <row r="135" spans="1:10" ht="12.75">
      <c r="A135" s="11" t="s">
        <v>64</v>
      </c>
      <c r="B135" s="18">
        <v>334782</v>
      </c>
      <c r="C135" s="18">
        <v>678</v>
      </c>
      <c r="D135" s="10" t="s">
        <v>4</v>
      </c>
      <c r="E135" s="2"/>
      <c r="F135" s="9">
        <v>0.00345851</v>
      </c>
      <c r="G135" s="2">
        <f>ROUND(MAXA(+$E$117*$F135,4000),0)</f>
        <v>53311</v>
      </c>
      <c r="H135" s="2"/>
      <c r="I135" s="2"/>
      <c r="J135" s="8">
        <f>G135/$E$117</f>
        <v>0.0034584818373425605</v>
      </c>
    </row>
    <row r="136" spans="1:10" ht="12.75">
      <c r="A136" s="11" t="s">
        <v>63</v>
      </c>
      <c r="B136" s="18">
        <v>334782</v>
      </c>
      <c r="C136" s="18">
        <v>92</v>
      </c>
      <c r="D136" s="22" t="s">
        <v>41</v>
      </c>
      <c r="E136" s="2"/>
      <c r="F136" s="9">
        <f>$C136/$B136</f>
        <v>0.000274805694451912</v>
      </c>
      <c r="G136" s="2">
        <f>ROUND(MAXA(+$E$117*$F136,4000),0)</f>
        <v>4236</v>
      </c>
      <c r="H136" s="2"/>
      <c r="I136" s="2"/>
      <c r="J136" s="8">
        <f>G136/$E$117</f>
        <v>0.0002748049945223891</v>
      </c>
    </row>
    <row r="137" spans="1:10" ht="12.75">
      <c r="A137" s="11" t="s">
        <v>62</v>
      </c>
      <c r="B137" s="18">
        <v>334782</v>
      </c>
      <c r="C137" s="18">
        <v>23</v>
      </c>
      <c r="D137" s="22" t="s">
        <v>41</v>
      </c>
      <c r="E137" s="2"/>
      <c r="F137" s="9">
        <f>$C137/$B137</f>
        <v>6.8701423612978E-05</v>
      </c>
      <c r="G137" s="2">
        <f>ROUND(MAXA(+$E$117*$F137,4000),0)</f>
        <v>4000</v>
      </c>
      <c r="H137" s="2"/>
      <c r="I137" s="2"/>
      <c r="J137" s="8">
        <f>G137/$E$117</f>
        <v>0.0002594948012487149</v>
      </c>
    </row>
    <row r="138" spans="1:10" ht="12.75">
      <c r="A138" s="11" t="s">
        <v>61</v>
      </c>
      <c r="B138" s="18">
        <v>334782</v>
      </c>
      <c r="C138" s="18">
        <v>104</v>
      </c>
      <c r="D138" s="22" t="s">
        <v>41</v>
      </c>
      <c r="E138" s="2"/>
      <c r="F138" s="9">
        <f>$C138/$B138</f>
        <v>0.0003106499154673788</v>
      </c>
      <c r="G138" s="2">
        <f>ROUND(MAXA(+$E$117*$F138,4000),0)</f>
        <v>4789</v>
      </c>
      <c r="H138" s="2"/>
      <c r="I138" s="2"/>
      <c r="J138" s="8">
        <f>G138/$E$117</f>
        <v>0.00031068015079502396</v>
      </c>
    </row>
    <row r="139" spans="1:10" ht="12.75">
      <c r="A139" s="11" t="s">
        <v>60</v>
      </c>
      <c r="B139" s="18">
        <v>334782</v>
      </c>
      <c r="C139" s="18">
        <v>225</v>
      </c>
      <c r="D139" s="22" t="s">
        <v>41</v>
      </c>
      <c r="F139" s="9">
        <f>$C139/$B139</f>
        <v>0.0006720791440400022</v>
      </c>
      <c r="G139" s="2">
        <f>ROUND(MAXA(+$E$117*$F139,4000),0)</f>
        <v>10360</v>
      </c>
      <c r="H139" s="2"/>
      <c r="J139" s="8">
        <f>G139/$E$117</f>
        <v>0.0006720915352341716</v>
      </c>
    </row>
    <row r="140" spans="1:10" ht="12.75">
      <c r="A140" s="11" t="s">
        <v>59</v>
      </c>
      <c r="B140" s="18">
        <v>334782</v>
      </c>
      <c r="C140" s="18">
        <v>246</v>
      </c>
      <c r="D140" s="22" t="s">
        <v>41</v>
      </c>
      <c r="F140" s="9">
        <f>$C140/$B140</f>
        <v>0.000734806530817069</v>
      </c>
      <c r="G140" s="2">
        <f>ROUND(MAXA(+$E$117*$F140,4000),0)</f>
        <v>11327</v>
      </c>
      <c r="H140" s="2"/>
      <c r="J140" s="8">
        <f>G140/$E$117</f>
        <v>0.0007348244034360485</v>
      </c>
    </row>
    <row r="141" spans="1:10" ht="12.75">
      <c r="A141" s="11" t="s">
        <v>58</v>
      </c>
      <c r="B141" s="18">
        <v>334782</v>
      </c>
      <c r="C141" s="18">
        <v>194</v>
      </c>
      <c r="D141" s="10" t="s">
        <v>4</v>
      </c>
      <c r="E141" s="2"/>
      <c r="F141" s="9">
        <v>0.0006441</v>
      </c>
      <c r="G141" s="2">
        <f>ROUND(MAXA(+$E$117*$F141,4000),0)</f>
        <v>9929</v>
      </c>
      <c r="H141" s="2"/>
      <c r="I141" s="2"/>
      <c r="J141" s="8">
        <f>G141/$E$117</f>
        <v>0.0006441309703996227</v>
      </c>
    </row>
    <row r="142" spans="1:10" ht="12.75">
      <c r="A142" s="11" t="s">
        <v>57</v>
      </c>
      <c r="B142" s="18">
        <v>334782</v>
      </c>
      <c r="C142" s="18">
        <v>606</v>
      </c>
      <c r="D142" s="22" t="s">
        <v>41</v>
      </c>
      <c r="E142" s="2"/>
      <c r="F142" s="9">
        <f>$C142/$B142</f>
        <v>0.0018101331612810725</v>
      </c>
      <c r="G142" s="2">
        <f>ROUND(MAXA(+$E$117*$F142,4000),0)</f>
        <v>27902</v>
      </c>
      <c r="H142" s="2"/>
      <c r="I142" s="2"/>
      <c r="J142" s="8">
        <f>G142/$E$117</f>
        <v>0.001810105986110411</v>
      </c>
    </row>
    <row r="143" spans="1:10" ht="12.75">
      <c r="A143" s="11" t="s">
        <v>56</v>
      </c>
      <c r="B143" s="18">
        <v>334782</v>
      </c>
      <c r="C143" s="18">
        <v>119</v>
      </c>
      <c r="D143" s="22" t="s">
        <v>41</v>
      </c>
      <c r="E143" s="2"/>
      <c r="F143" s="9">
        <f>$C143/$B143</f>
        <v>0.00035545519173671225</v>
      </c>
      <c r="G143" s="2">
        <f>ROUND(MAXA(+$E$117*$F143,4000),0)</f>
        <v>5479</v>
      </c>
      <c r="H143" s="2"/>
      <c r="I143" s="2"/>
      <c r="J143" s="8">
        <f>G143/$E$117</f>
        <v>0.0003554430040104273</v>
      </c>
    </row>
    <row r="144" spans="1:10" ht="12.75">
      <c r="A144" s="11" t="s">
        <v>55</v>
      </c>
      <c r="B144" s="18">
        <v>334782</v>
      </c>
      <c r="C144" s="18"/>
      <c r="D144" s="10" t="s">
        <v>1</v>
      </c>
      <c r="E144" s="2"/>
      <c r="F144" s="9"/>
      <c r="G144" s="2">
        <f>4000</f>
        <v>4000</v>
      </c>
      <c r="H144" s="2"/>
      <c r="I144" s="2"/>
      <c r="J144" s="8">
        <f>G144/$E$117</f>
        <v>0.0002594948012487149</v>
      </c>
    </row>
    <row r="145" spans="1:10" ht="12.75">
      <c r="A145" s="11" t="s">
        <v>54</v>
      </c>
      <c r="B145" s="18">
        <v>334782</v>
      </c>
      <c r="C145" s="18">
        <v>34</v>
      </c>
      <c r="D145" s="22" t="s">
        <v>41</v>
      </c>
      <c r="E145" s="2"/>
      <c r="F145" s="9">
        <f>$C145/$B145</f>
        <v>0.00010155862621048922</v>
      </c>
      <c r="G145" s="2">
        <f>ROUND(MAXA(+$E$117*$F145,4000),0)</f>
        <v>4000</v>
      </c>
      <c r="H145" s="2"/>
      <c r="I145" s="2"/>
      <c r="J145" s="8">
        <f>G145/$E$117</f>
        <v>0.0002594948012487149</v>
      </c>
    </row>
    <row r="146" spans="1:10" ht="12.75">
      <c r="A146" s="11" t="s">
        <v>53</v>
      </c>
      <c r="B146" s="18">
        <v>334782</v>
      </c>
      <c r="C146" s="18">
        <v>2600</v>
      </c>
      <c r="D146" s="22" t="s">
        <v>41</v>
      </c>
      <c r="E146" s="2"/>
      <c r="F146" s="9">
        <f>$C146/$B146</f>
        <v>0.007766247886684469</v>
      </c>
      <c r="G146" s="2">
        <f>ROUND(MAXA(+$E$117*$F146,4000),0)</f>
        <v>119713</v>
      </c>
      <c r="H146" s="2"/>
      <c r="I146" s="2"/>
      <c r="J146" s="8">
        <f>G146/$E$117</f>
        <v>0.007766225285471853</v>
      </c>
    </row>
    <row r="147" spans="1:10" ht="12.75">
      <c r="A147" s="11" t="s">
        <v>52</v>
      </c>
      <c r="B147" s="18">
        <v>334782</v>
      </c>
      <c r="C147" s="18">
        <v>89</v>
      </c>
      <c r="D147" s="22" t="s">
        <v>41</v>
      </c>
      <c r="E147" s="2"/>
      <c r="F147" s="9">
        <f>$C147/$B147</f>
        <v>0.0002658446391980453</v>
      </c>
      <c r="G147" s="2">
        <f>ROUND(MAXA(+$E$117*$F147,4000),0)</f>
        <v>4098</v>
      </c>
      <c r="H147" s="2"/>
      <c r="I147" s="2"/>
      <c r="J147" s="8">
        <f>G147/$E$117</f>
        <v>0.00026585242387930846</v>
      </c>
    </row>
    <row r="148" spans="1:10" ht="12.75">
      <c r="A148" s="11" t="s">
        <v>51</v>
      </c>
      <c r="B148" s="18">
        <v>334782</v>
      </c>
      <c r="C148" s="18">
        <v>75</v>
      </c>
      <c r="D148" s="22" t="s">
        <v>41</v>
      </c>
      <c r="E148" s="2"/>
      <c r="F148" s="9">
        <f>$C148/$B148</f>
        <v>0.00022402638134666738</v>
      </c>
      <c r="G148" s="2">
        <f>ROUND(MAXA(+$E$117*$F148,4000),0)</f>
        <v>4000</v>
      </c>
      <c r="H148" s="2"/>
      <c r="I148" s="2"/>
      <c r="J148" s="8">
        <f>G148/$E$117</f>
        <v>0.0002594948012487149</v>
      </c>
    </row>
    <row r="149" spans="1:9" ht="12.75">
      <c r="A149" s="13" t="s">
        <v>50</v>
      </c>
      <c r="D149" s="11" t="s">
        <v>27</v>
      </c>
      <c r="E149" s="2">
        <f>'[1]States'!C44</f>
        <v>24311035</v>
      </c>
      <c r="F149" s="9" t="s">
        <v>27</v>
      </c>
      <c r="H149" s="2">
        <f>SUM(G150:G155)</f>
        <v>567352</v>
      </c>
      <c r="I149" s="2">
        <f>E149-H149</f>
        <v>23743683</v>
      </c>
    </row>
    <row r="150" spans="1:10" ht="12.75">
      <c r="A150" s="11" t="s">
        <v>49</v>
      </c>
      <c r="B150" s="18">
        <v>239405</v>
      </c>
      <c r="C150" s="1">
        <v>120</v>
      </c>
      <c r="D150" s="10" t="s">
        <v>1</v>
      </c>
      <c r="E150" s="2"/>
      <c r="F150" s="9"/>
      <c r="G150" s="2">
        <v>37000</v>
      </c>
      <c r="H150" s="2"/>
      <c r="I150" s="2"/>
      <c r="J150" s="8">
        <f>G150/$E$149</f>
        <v>0.0015219426075442695</v>
      </c>
    </row>
    <row r="151" spans="1:10" ht="12.75">
      <c r="A151" s="11" t="s">
        <v>48</v>
      </c>
      <c r="B151" s="18">
        <v>239405</v>
      </c>
      <c r="D151" s="10" t="s">
        <v>1</v>
      </c>
      <c r="E151" s="2"/>
      <c r="F151" s="9">
        <f>$C151/$B151</f>
        <v>0</v>
      </c>
      <c r="G151" s="2">
        <f>118845</f>
        <v>118845</v>
      </c>
      <c r="H151" s="2"/>
      <c r="I151" s="2"/>
      <c r="J151" s="8">
        <f>G151/$E$149</f>
        <v>0.004888520789016182</v>
      </c>
    </row>
    <row r="152" spans="1:10" ht="12.75">
      <c r="A152" s="11" t="s">
        <v>47</v>
      </c>
      <c r="B152" s="18">
        <v>239405</v>
      </c>
      <c r="C152" s="1">
        <v>150</v>
      </c>
      <c r="D152" s="22" t="s">
        <v>1</v>
      </c>
      <c r="E152" s="2"/>
      <c r="F152" s="9">
        <f>$C152/$B152</f>
        <v>0.0006265533301309497</v>
      </c>
      <c r="G152" s="2">
        <f>114665</f>
        <v>114665</v>
      </c>
      <c r="H152" s="2"/>
      <c r="I152" s="2"/>
      <c r="J152" s="8">
        <f>G152/$E$149</f>
        <v>0.0047165824079476665</v>
      </c>
    </row>
    <row r="153" spans="1:10" ht="12.75">
      <c r="A153" s="11" t="s">
        <v>46</v>
      </c>
      <c r="B153" s="18">
        <v>239405</v>
      </c>
      <c r="D153" s="10" t="s">
        <v>1</v>
      </c>
      <c r="E153" s="2"/>
      <c r="F153" s="9"/>
      <c r="G153" s="2">
        <f>114665</f>
        <v>114665</v>
      </c>
      <c r="H153" s="2"/>
      <c r="I153" s="2"/>
      <c r="J153" s="8">
        <f>G153/$E$149</f>
        <v>0.0047165824079476665</v>
      </c>
    </row>
    <row r="154" spans="1:10" ht="12.75">
      <c r="A154" s="11" t="s">
        <v>45</v>
      </c>
      <c r="B154" s="18">
        <v>239405</v>
      </c>
      <c r="D154" s="10" t="s">
        <v>1</v>
      </c>
      <c r="E154" s="2"/>
      <c r="F154" s="17" t="s">
        <v>27</v>
      </c>
      <c r="G154" s="2">
        <f>12000</f>
        <v>12000</v>
      </c>
      <c r="H154" s="2"/>
      <c r="I154" s="2"/>
      <c r="J154" s="8">
        <f>G154/$E$149</f>
        <v>0.0004936030078521955</v>
      </c>
    </row>
    <row r="155" spans="1:10" ht="12.75">
      <c r="A155" s="11" t="s">
        <v>44</v>
      </c>
      <c r="B155" s="18">
        <v>239405</v>
      </c>
      <c r="D155" s="10" t="s">
        <v>4</v>
      </c>
      <c r="E155" s="2"/>
      <c r="F155" s="21">
        <v>0.007</v>
      </c>
      <c r="G155" s="2">
        <f>ROUND(+$E$149*F155,0)</f>
        <v>170177</v>
      </c>
      <c r="H155" s="2"/>
      <c r="I155" s="2"/>
      <c r="J155" s="8">
        <f>G155/$E$149</f>
        <v>0.006999989922271923</v>
      </c>
    </row>
    <row r="156" spans="1:9" ht="12.75">
      <c r="A156" s="13" t="s">
        <v>43</v>
      </c>
      <c r="E156" s="2">
        <f>'[1]States'!C46</f>
        <v>13473508</v>
      </c>
      <c r="H156" s="2">
        <f>G157</f>
        <v>38177</v>
      </c>
      <c r="I156" s="2">
        <f>E156-H156</f>
        <v>13435331</v>
      </c>
    </row>
    <row r="157" spans="1:10" ht="12.75">
      <c r="A157" s="11" t="s">
        <v>42</v>
      </c>
      <c r="B157" s="18">
        <v>84702</v>
      </c>
      <c r="C157" s="20">
        <v>240</v>
      </c>
      <c r="D157" s="10" t="s">
        <v>41</v>
      </c>
      <c r="E157" s="2"/>
      <c r="F157" s="9">
        <f>$C157/$B157</f>
        <v>0.002833463200396685</v>
      </c>
      <c r="G157" s="2">
        <f>ROUND(+$E$156*F157,0)</f>
        <v>38177</v>
      </c>
      <c r="H157" s="2"/>
      <c r="J157" s="8">
        <f>G157/E156</f>
        <v>0.002833486275437696</v>
      </c>
    </row>
    <row r="158" spans="1:9" ht="12.75">
      <c r="A158" s="13" t="s">
        <v>40</v>
      </c>
      <c r="D158" s="11" t="s">
        <v>27</v>
      </c>
      <c r="E158" s="2">
        <f>'[1]States'!C48</f>
        <v>12661694</v>
      </c>
      <c r="F158" s="19">
        <f>SUM(F159:F165)</f>
        <v>0.1778</v>
      </c>
      <c r="H158" s="2">
        <f>SUM(G159:G165)</f>
        <v>2251250</v>
      </c>
      <c r="I158" s="2">
        <f>E158-H158</f>
        <v>10410444</v>
      </c>
    </row>
    <row r="159" spans="1:10" ht="12.75">
      <c r="A159" s="11" t="s">
        <v>39</v>
      </c>
      <c r="D159" s="10" t="s">
        <v>4</v>
      </c>
      <c r="E159" s="2"/>
      <c r="F159" s="19">
        <v>0.0282</v>
      </c>
      <c r="G159" s="2">
        <f>ROUND(+$E$158*F159,0)</f>
        <v>357060</v>
      </c>
      <c r="H159" s="2"/>
      <c r="I159" s="2"/>
      <c r="J159" s="8">
        <f>G159/$E$158</f>
        <v>0.028200018101843246</v>
      </c>
    </row>
    <row r="160" spans="1:10" ht="12.75">
      <c r="A160" s="11" t="s">
        <v>38</v>
      </c>
      <c r="D160" s="10" t="s">
        <v>4</v>
      </c>
      <c r="E160" s="2"/>
      <c r="F160" s="19">
        <v>0.0038</v>
      </c>
      <c r="G160" s="2">
        <f>ROUND(+$E$158*F160,0)</f>
        <v>48114</v>
      </c>
      <c r="H160" s="2"/>
      <c r="I160" s="2"/>
      <c r="J160" s="8">
        <f>G160/$E$158</f>
        <v>0.0037999654706550325</v>
      </c>
    </row>
    <row r="161" spans="1:10" ht="12.75">
      <c r="A161" s="11" t="s">
        <v>37</v>
      </c>
      <c r="D161" s="10" t="s">
        <v>4</v>
      </c>
      <c r="E161" s="2"/>
      <c r="F161" s="19">
        <v>0.0584</v>
      </c>
      <c r="G161" s="2">
        <f>ROUND(+$E$158*F161,0)</f>
        <v>739443</v>
      </c>
      <c r="H161" s="2"/>
      <c r="I161" s="2"/>
      <c r="J161" s="8">
        <f>G161/$E$158</f>
        <v>0.0584000055600775</v>
      </c>
    </row>
    <row r="162" spans="1:10" ht="12.75">
      <c r="A162" s="11" t="s">
        <v>36</v>
      </c>
      <c r="D162" s="10" t="s">
        <v>4</v>
      </c>
      <c r="E162" s="2"/>
      <c r="F162" s="19">
        <v>0.046</v>
      </c>
      <c r="G162" s="2">
        <f>ROUND(+$E$158*F162,0)</f>
        <v>582438</v>
      </c>
      <c r="H162" s="2"/>
      <c r="I162" s="2"/>
      <c r="J162" s="8">
        <f>G162/$E$158</f>
        <v>0.046000006002356396</v>
      </c>
    </row>
    <row r="163" spans="1:10" ht="12.75">
      <c r="A163" s="11" t="s">
        <v>35</v>
      </c>
      <c r="D163" s="10" t="s">
        <v>4</v>
      </c>
      <c r="E163" s="2"/>
      <c r="F163" s="19">
        <v>0.0186</v>
      </c>
      <c r="G163" s="2">
        <f>ROUND(+$E$158*F163,0)</f>
        <v>235508</v>
      </c>
      <c r="H163" s="2"/>
      <c r="I163" s="2"/>
      <c r="J163" s="8">
        <f>G163/$E$158</f>
        <v>0.018600038825768495</v>
      </c>
    </row>
    <row r="164" spans="1:10" ht="12.75">
      <c r="A164" s="11" t="s">
        <v>34</v>
      </c>
      <c r="D164" s="10" t="s">
        <v>4</v>
      </c>
      <c r="E164" s="2"/>
      <c r="F164" s="19">
        <v>0.0116</v>
      </c>
      <c r="G164" s="2">
        <f>ROUND(+$E$158*F164,0)</f>
        <v>146876</v>
      </c>
      <c r="H164" s="2"/>
      <c r="I164" s="2"/>
      <c r="J164" s="8">
        <f>G164/$E$158</f>
        <v>0.011600027610839433</v>
      </c>
    </row>
    <row r="165" spans="1:10" ht="12.75">
      <c r="A165" s="11" t="s">
        <v>33</v>
      </c>
      <c r="D165" s="10" t="s">
        <v>4</v>
      </c>
      <c r="E165" s="2"/>
      <c r="F165" s="19">
        <v>0.0112</v>
      </c>
      <c r="G165" s="2">
        <f>ROUND(+$E$158*F165,0)</f>
        <v>141811</v>
      </c>
      <c r="H165" s="2"/>
      <c r="I165" s="2"/>
      <c r="J165" s="8">
        <f>G165/$E$158</f>
        <v>0.011200002148211765</v>
      </c>
    </row>
    <row r="166" spans="1:9" ht="12.75">
      <c r="A166" s="13" t="s">
        <v>32</v>
      </c>
      <c r="D166" s="11" t="s">
        <v>27</v>
      </c>
      <c r="E166" s="2">
        <f>'[1]States'!C51</f>
        <v>14576490</v>
      </c>
      <c r="F166" s="9"/>
      <c r="H166" s="2">
        <f>SUM(G167:G169)</f>
        <v>291063</v>
      </c>
      <c r="I166" s="2">
        <f>E166-H166</f>
        <v>14285427</v>
      </c>
    </row>
    <row r="167" spans="1:10" ht="12.75">
      <c r="A167" s="11" t="s">
        <v>31</v>
      </c>
      <c r="B167" s="18">
        <v>110884</v>
      </c>
      <c r="C167" s="18">
        <v>997</v>
      </c>
      <c r="D167" s="10" t="s">
        <v>30</v>
      </c>
      <c r="E167" s="2"/>
      <c r="F167" s="9">
        <f>C167/B167</f>
        <v>0.008991378377403412</v>
      </c>
      <c r="G167" s="2">
        <f>ROUND(+$E$166*F167,0)</f>
        <v>131063</v>
      </c>
      <c r="H167" s="2"/>
      <c r="I167" s="2"/>
      <c r="J167" s="8">
        <f>G167/$E$166</f>
        <v>0.008991396419851418</v>
      </c>
    </row>
    <row r="168" spans="1:10" ht="12.75">
      <c r="A168" s="11" t="s">
        <v>29</v>
      </c>
      <c r="B168" s="18">
        <v>110884</v>
      </c>
      <c r="D168" s="10" t="s">
        <v>1</v>
      </c>
      <c r="E168" s="2"/>
      <c r="F168" s="17" t="s">
        <v>27</v>
      </c>
      <c r="G168" s="16">
        <f>60000</f>
        <v>60000</v>
      </c>
      <c r="H168" s="16"/>
      <c r="J168" s="8">
        <f>G168/$E$166</f>
        <v>0.00411621727864527</v>
      </c>
    </row>
    <row r="169" spans="1:10" ht="12.75">
      <c r="A169" s="11" t="s">
        <v>28</v>
      </c>
      <c r="B169" s="18">
        <v>110884</v>
      </c>
      <c r="D169" s="10" t="s">
        <v>1</v>
      </c>
      <c r="E169" s="2"/>
      <c r="F169" s="17" t="s">
        <v>27</v>
      </c>
      <c r="G169" s="16">
        <f>100000</f>
        <v>100000</v>
      </c>
      <c r="H169" s="16"/>
      <c r="I169" s="2"/>
      <c r="J169" s="8">
        <f>G169/$E$166</f>
        <v>0.006860362131075451</v>
      </c>
    </row>
    <row r="170" spans="1:10" ht="12.75">
      <c r="A170" s="11"/>
      <c r="B170" s="18"/>
      <c r="D170" s="10"/>
      <c r="E170" s="2"/>
      <c r="F170" s="17"/>
      <c r="G170" s="16"/>
      <c r="H170" s="16"/>
      <c r="I170" s="2"/>
      <c r="J170" s="8"/>
    </row>
    <row r="171" spans="1:9" ht="12.75">
      <c r="A171" s="13" t="s">
        <v>26</v>
      </c>
      <c r="E171" s="2">
        <f>'[1]States'!C54</f>
        <v>39988303</v>
      </c>
      <c r="H171" s="2">
        <f>SUM(G172:G192)</f>
        <v>1630906</v>
      </c>
      <c r="I171" s="2">
        <f>E171-H171</f>
        <v>38357397</v>
      </c>
    </row>
    <row r="172" spans="1:10" ht="12.75">
      <c r="A172" s="11" t="s">
        <v>25</v>
      </c>
      <c r="B172" s="2"/>
      <c r="D172" s="10" t="s">
        <v>4</v>
      </c>
      <c r="E172" s="2"/>
      <c r="F172" s="9">
        <v>0.00847</v>
      </c>
      <c r="G172" s="2">
        <f>ROUND(+$E$171*F172,0)</f>
        <v>338701</v>
      </c>
      <c r="H172" s="2"/>
      <c r="J172" s="8">
        <f>G172/$E$171</f>
        <v>0.008470001840288146</v>
      </c>
    </row>
    <row r="173" spans="1:10" ht="12.75">
      <c r="A173" s="11" t="s">
        <v>24</v>
      </c>
      <c r="B173" s="2"/>
      <c r="D173" s="10" t="s">
        <v>1</v>
      </c>
      <c r="E173" s="2"/>
      <c r="F173" s="9"/>
      <c r="G173" s="2">
        <f>8460</f>
        <v>8460</v>
      </c>
      <c r="H173" s="2"/>
      <c r="J173" s="8">
        <f>G173/$E$171</f>
        <v>0.00021156186597865882</v>
      </c>
    </row>
    <row r="174" spans="1:10" ht="12.75">
      <c r="A174" s="11" t="s">
        <v>23</v>
      </c>
      <c r="B174" s="2"/>
      <c r="D174" s="10" t="s">
        <v>4</v>
      </c>
      <c r="E174" s="2"/>
      <c r="F174" s="9">
        <v>0.000247</v>
      </c>
      <c r="G174" s="2">
        <f>ROUND(+$E$171*F174,0)</f>
        <v>9877</v>
      </c>
      <c r="H174" s="2"/>
      <c r="J174" s="8">
        <f>G174/$E$171</f>
        <v>0.000246997228164446</v>
      </c>
    </row>
    <row r="175" spans="1:10" ht="12.75">
      <c r="A175" s="11" t="s">
        <v>22</v>
      </c>
      <c r="B175" s="2"/>
      <c r="D175" s="10" t="s">
        <v>4</v>
      </c>
      <c r="E175" s="2"/>
      <c r="F175" s="9">
        <v>0.000247</v>
      </c>
      <c r="G175" s="2">
        <f>ROUND(+$E$171*F175,0)</f>
        <v>9877</v>
      </c>
      <c r="H175" s="2"/>
      <c r="J175" s="8">
        <f>G175/$E$171</f>
        <v>0.000246997228164446</v>
      </c>
    </row>
    <row r="176" spans="1:10" ht="12.75">
      <c r="A176" s="11" t="s">
        <v>21</v>
      </c>
      <c r="B176" s="2"/>
      <c r="D176" s="10" t="s">
        <v>4</v>
      </c>
      <c r="E176" s="2"/>
      <c r="F176" s="9">
        <v>0.000604</v>
      </c>
      <c r="G176" s="2">
        <f>ROUND(+$E$171*F176,0)</f>
        <v>24153</v>
      </c>
      <c r="H176" s="2"/>
      <c r="J176" s="8">
        <f>G176/$E$171</f>
        <v>0.0006040016251752418</v>
      </c>
    </row>
    <row r="177" spans="1:10" ht="12.75">
      <c r="A177" s="11" t="s">
        <v>20</v>
      </c>
      <c r="B177" s="2"/>
      <c r="D177" s="10" t="s">
        <v>4</v>
      </c>
      <c r="E177" s="2"/>
      <c r="F177" s="9">
        <v>0.002499</v>
      </c>
      <c r="G177" s="2">
        <f>ROUND(+$E$171*F177,0)</f>
        <v>99931</v>
      </c>
      <c r="H177" s="2"/>
      <c r="J177" s="8">
        <f>G177/$E$171</f>
        <v>0.0024990057717628076</v>
      </c>
    </row>
    <row r="178" spans="1:10" ht="12.75">
      <c r="A178" s="11" t="s">
        <v>19</v>
      </c>
      <c r="B178" s="2"/>
      <c r="D178" s="10" t="s">
        <v>4</v>
      </c>
      <c r="E178" s="2"/>
      <c r="F178" s="9">
        <v>0.001949</v>
      </c>
      <c r="G178" s="2">
        <f>ROUND(+$E$171*F178,0)</f>
        <v>77937</v>
      </c>
      <c r="H178" s="2"/>
      <c r="J178" s="8">
        <f>G178/$E$171</f>
        <v>0.0019489949348438216</v>
      </c>
    </row>
    <row r="179" spans="1:10" ht="12.75">
      <c r="A179" s="11" t="s">
        <v>18</v>
      </c>
      <c r="B179" s="2"/>
      <c r="D179" s="10" t="s">
        <v>4</v>
      </c>
      <c r="E179" s="2"/>
      <c r="F179" s="9">
        <v>0.000892</v>
      </c>
      <c r="G179" s="2">
        <f>ROUND(+$E$171*F179,0)</f>
        <v>35670</v>
      </c>
      <c r="H179" s="2"/>
      <c r="J179" s="8">
        <f>G179/$E$171</f>
        <v>0.000892010846271721</v>
      </c>
    </row>
    <row r="180" spans="1:10" ht="12.75">
      <c r="A180" s="11" t="s">
        <v>17</v>
      </c>
      <c r="B180" s="2"/>
      <c r="D180" s="10" t="s">
        <v>4</v>
      </c>
      <c r="E180" s="2"/>
      <c r="F180" s="9">
        <v>0.000686</v>
      </c>
      <c r="G180" s="2">
        <f>ROUND(+$E$171*F180,0)</f>
        <v>27432</v>
      </c>
      <c r="H180" s="2"/>
      <c r="J180" s="8">
        <f>G180/$E$171</f>
        <v>0.0006860006037265448</v>
      </c>
    </row>
    <row r="181" spans="1:10" ht="12.75">
      <c r="A181" s="11" t="s">
        <v>16</v>
      </c>
      <c r="B181" s="2"/>
      <c r="D181" s="10" t="s">
        <v>4</v>
      </c>
      <c r="E181" s="2"/>
      <c r="F181" s="9">
        <v>0.000412</v>
      </c>
      <c r="G181" s="2">
        <f>ROUND(+$E$171*F181,0)</f>
        <v>16475</v>
      </c>
      <c r="H181" s="2"/>
      <c r="J181" s="8">
        <f>G181/$E$171</f>
        <v>0.0004119954777775891</v>
      </c>
    </row>
    <row r="182" spans="1:10" ht="12.75">
      <c r="A182" s="11" t="s">
        <v>15</v>
      </c>
      <c r="B182" s="2"/>
      <c r="D182" s="10" t="s">
        <v>4</v>
      </c>
      <c r="E182" s="2"/>
      <c r="F182" s="9">
        <v>0.002787</v>
      </c>
      <c r="G182" s="2">
        <f>ROUND(+$E$171*F182,0)</f>
        <v>111447</v>
      </c>
      <c r="H182" s="2"/>
      <c r="J182" s="8">
        <f>G182/$E$171</f>
        <v>0.0027869899855465234</v>
      </c>
    </row>
    <row r="183" spans="1:10" ht="12.75">
      <c r="A183" s="11" t="s">
        <v>14</v>
      </c>
      <c r="B183" s="2"/>
      <c r="D183" s="10" t="s">
        <v>4</v>
      </c>
      <c r="E183" s="2"/>
      <c r="F183" s="9">
        <v>0.000796</v>
      </c>
      <c r="G183" s="2">
        <f>ROUND(+$E$171*F183,0)</f>
        <v>31831</v>
      </c>
      <c r="H183" s="2"/>
      <c r="J183" s="8">
        <f>G183/$E$171</f>
        <v>0.0007960077725728946</v>
      </c>
    </row>
    <row r="184" spans="1:10" ht="12.75">
      <c r="A184" s="11" t="s">
        <v>13</v>
      </c>
      <c r="B184" s="2"/>
      <c r="D184" s="10" t="s">
        <v>4</v>
      </c>
      <c r="E184" s="2"/>
      <c r="F184" s="9">
        <v>0.002169</v>
      </c>
      <c r="G184" s="2">
        <f>ROUND(+$E$171*F184,0)</f>
        <v>86735</v>
      </c>
      <c r="H184" s="2"/>
      <c r="J184" s="8">
        <f>G184/$E$171</f>
        <v>0.0021690092725365215</v>
      </c>
    </row>
    <row r="185" spans="1:10" ht="12.75">
      <c r="A185" s="11" t="s">
        <v>12</v>
      </c>
      <c r="B185" s="2"/>
      <c r="D185" s="10" t="s">
        <v>4</v>
      </c>
      <c r="E185" s="2"/>
      <c r="F185" s="9">
        <v>0.000823</v>
      </c>
      <c r="G185" s="2">
        <f>ROUND(+$E$171*F185,0)</f>
        <v>32910</v>
      </c>
      <c r="H185" s="2"/>
      <c r="J185" s="8">
        <f>G185/$E$171</f>
        <v>0.0008229906630446408</v>
      </c>
    </row>
    <row r="186" spans="1:10" ht="12.75">
      <c r="A186" s="11" t="s">
        <v>11</v>
      </c>
      <c r="B186" s="2"/>
      <c r="D186" s="10" t="s">
        <v>4</v>
      </c>
      <c r="E186" s="2"/>
      <c r="F186" s="9">
        <v>0.001317</v>
      </c>
      <c r="G186" s="2">
        <f>ROUND(+$E$171*F186,0)</f>
        <v>52665</v>
      </c>
      <c r="H186" s="2"/>
      <c r="J186" s="8">
        <f>G186/$E$171</f>
        <v>0.0013170101266862962</v>
      </c>
    </row>
    <row r="187" spans="1:10" ht="12.75">
      <c r="A187" s="11" t="s">
        <v>10</v>
      </c>
      <c r="B187" s="2"/>
      <c r="D187" s="10" t="s">
        <v>4</v>
      </c>
      <c r="E187" s="2"/>
      <c r="F187" s="9">
        <v>0.002782</v>
      </c>
      <c r="G187" s="2">
        <f>ROUND(+$E$171*F187,0)</f>
        <v>111247</v>
      </c>
      <c r="H187" s="2"/>
      <c r="J187" s="8">
        <f>G187/$E$171</f>
        <v>0.0027819885229938366</v>
      </c>
    </row>
    <row r="188" spans="1:10" ht="12.75">
      <c r="A188" s="11" t="s">
        <v>9</v>
      </c>
      <c r="B188" s="2"/>
      <c r="D188" s="10" t="s">
        <v>4</v>
      </c>
      <c r="E188" s="2"/>
      <c r="F188" s="9">
        <v>0.001744</v>
      </c>
      <c r="G188" s="2">
        <f>ROUND(+$E$171*F188,0)</f>
        <v>69740</v>
      </c>
      <c r="H188" s="2"/>
      <c r="J188" s="8">
        <f>G188/$E$171</f>
        <v>0.0017440099921219462</v>
      </c>
    </row>
    <row r="189" spans="1:10" ht="12.75">
      <c r="A189" s="15" t="s">
        <v>8</v>
      </c>
      <c r="B189" s="2"/>
      <c r="D189" s="10" t="s">
        <v>4</v>
      </c>
      <c r="E189" s="2"/>
      <c r="F189" s="9">
        <v>0.000247</v>
      </c>
      <c r="G189" s="2">
        <f>ROUND(+$E$171*F189,0)</f>
        <v>9877</v>
      </c>
      <c r="H189" s="2"/>
      <c r="J189" s="8">
        <f>G189/$E$171</f>
        <v>0.000246997228164446</v>
      </c>
    </row>
    <row r="190" spans="1:10" ht="12.75">
      <c r="A190" s="11" t="s">
        <v>7</v>
      </c>
      <c r="B190" s="2"/>
      <c r="D190" s="10" t="s">
        <v>4</v>
      </c>
      <c r="E190" s="2"/>
      <c r="F190" s="9">
        <v>0.001057</v>
      </c>
      <c r="G190" s="2">
        <f>ROUND(+$E$171*F190,0)</f>
        <v>42268</v>
      </c>
      <c r="H190" s="2"/>
      <c r="J190" s="8">
        <f>G190/$E$171</f>
        <v>0.001057009095884864</v>
      </c>
    </row>
    <row r="191" spans="1:10" ht="12.75">
      <c r="A191" s="11" t="s">
        <v>6</v>
      </c>
      <c r="B191" s="2"/>
      <c r="D191" s="10" t="s">
        <v>4</v>
      </c>
      <c r="E191" s="2"/>
      <c r="F191" s="14">
        <v>0.001867</v>
      </c>
      <c r="G191" s="2">
        <f>ROUND(+$E$171*F191,0)</f>
        <v>74658</v>
      </c>
      <c r="H191" s="2"/>
      <c r="J191" s="8">
        <f>G191/$E$171</f>
        <v>0.001866995956292519</v>
      </c>
    </row>
    <row r="192" spans="1:10" ht="12.75">
      <c r="A192" s="11" t="s">
        <v>5</v>
      </c>
      <c r="B192" s="2"/>
      <c r="D192" s="10" t="s">
        <v>4</v>
      </c>
      <c r="E192" s="2"/>
      <c r="F192" s="9">
        <v>0.008978</v>
      </c>
      <c r="G192" s="2">
        <f>ROUND(+$E$171*F192,0)</f>
        <v>359015</v>
      </c>
      <c r="H192" s="2"/>
      <c r="J192" s="8">
        <f>G192/$E$171</f>
        <v>0.008978000391764562</v>
      </c>
    </row>
    <row r="193" spans="1:9" ht="12.75">
      <c r="A193" s="13" t="s">
        <v>3</v>
      </c>
      <c r="B193" s="2"/>
      <c r="D193" s="10"/>
      <c r="E193" s="2">
        <f>'[1]States'!C57</f>
        <v>5836109</v>
      </c>
      <c r="F193" s="9"/>
      <c r="G193" s="2"/>
      <c r="H193" s="12">
        <f>G194</f>
        <v>210000</v>
      </c>
      <c r="I193" s="2">
        <f>E193-H193</f>
        <v>5626109</v>
      </c>
    </row>
    <row r="194" spans="1:10" ht="13.5" thickBot="1">
      <c r="A194" s="11" t="s">
        <v>2</v>
      </c>
      <c r="B194" s="2"/>
      <c r="D194" s="10" t="s">
        <v>1</v>
      </c>
      <c r="E194" s="2"/>
      <c r="F194" s="9">
        <v>0.0146</v>
      </c>
      <c r="G194" s="2">
        <f>210000</f>
        <v>210000</v>
      </c>
      <c r="H194" s="2"/>
      <c r="J194" s="8">
        <f>G194/$E$193</f>
        <v>0.03598287831841386</v>
      </c>
    </row>
    <row r="195" spans="1:10" ht="13.5" thickTop="1">
      <c r="A195" s="7" t="s">
        <v>0</v>
      </c>
      <c r="B195" s="6"/>
      <c r="C195" s="6"/>
      <c r="D195" s="6"/>
      <c r="E195" s="5">
        <f>SUM(E12:E194)</f>
        <v>1007962449</v>
      </c>
      <c r="F195" s="6"/>
      <c r="G195" s="5">
        <f>SUM(G12:G194)</f>
        <v>21045979</v>
      </c>
      <c r="H195" s="5">
        <f>SUM(H12:H194)</f>
        <v>21045979</v>
      </c>
      <c r="I195" s="5">
        <f>SUM(I12:I194)</f>
        <v>986916470</v>
      </c>
      <c r="J195" s="5"/>
    </row>
    <row r="197" ht="12.75">
      <c r="A197" s="4"/>
    </row>
    <row r="447" ht="12.75">
      <c r="J447" s="3"/>
    </row>
    <row r="449" ht="12.75">
      <c r="E449" s="3"/>
    </row>
    <row r="452" ht="12.75">
      <c r="E452" s="3"/>
    </row>
    <row r="453" ht="12.75">
      <c r="E453" s="3"/>
    </row>
    <row r="454" ht="12.75">
      <c r="E454" s="3"/>
    </row>
    <row r="455" ht="12.75">
      <c r="E455" s="3"/>
    </row>
    <row r="456" ht="12.75">
      <c r="E456" s="3"/>
    </row>
    <row r="457" ht="12.75">
      <c r="E457" s="3"/>
    </row>
    <row r="458" ht="12.75">
      <c r="E458" s="3"/>
    </row>
    <row r="459" ht="12.75">
      <c r="E459" s="3"/>
    </row>
    <row r="460" ht="12.75">
      <c r="E460" s="3"/>
    </row>
    <row r="461" ht="12.75">
      <c r="E461" s="3"/>
    </row>
    <row r="462" ht="12.75">
      <c r="E462" s="3"/>
    </row>
    <row r="463" ht="12.75">
      <c r="E463" s="3"/>
    </row>
    <row r="464" ht="12.75">
      <c r="E464" s="3"/>
    </row>
    <row r="465" ht="12.75">
      <c r="E465" s="3"/>
    </row>
    <row r="466" ht="12.75">
      <c r="E466" s="3"/>
    </row>
    <row r="467" ht="12.75">
      <c r="E467" s="3"/>
    </row>
    <row r="468" ht="12.75">
      <c r="E468" s="3"/>
    </row>
    <row r="469" ht="12.75">
      <c r="E469" s="3"/>
    </row>
    <row r="470" ht="12.75"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  <row r="483" ht="12.75">
      <c r="E483" s="3"/>
    </row>
    <row r="484" ht="12.75">
      <c r="E484" s="3"/>
    </row>
    <row r="485" ht="12.75">
      <c r="E485" s="3"/>
    </row>
    <row r="486" ht="12.75">
      <c r="E486" s="3"/>
    </row>
    <row r="487" ht="12.75">
      <c r="E487" s="3"/>
    </row>
    <row r="488" ht="12.75">
      <c r="E488" s="3"/>
    </row>
    <row r="489" ht="12.75">
      <c r="E489" s="3"/>
    </row>
    <row r="490" ht="12.75">
      <c r="E490" s="3"/>
    </row>
    <row r="491" ht="12.75">
      <c r="E491" s="3"/>
    </row>
    <row r="492" ht="12.75">
      <c r="E492" s="3"/>
    </row>
    <row r="493" ht="12.75">
      <c r="E493" s="3"/>
    </row>
    <row r="494" ht="12.75">
      <c r="E494" s="3"/>
    </row>
    <row r="495" ht="12.75">
      <c r="E495" s="3"/>
    </row>
    <row r="496" ht="12.75">
      <c r="E496" s="3"/>
    </row>
    <row r="497" ht="12.75">
      <c r="E497" s="3"/>
    </row>
    <row r="498" ht="12.75">
      <c r="E498" s="3"/>
    </row>
    <row r="499" ht="12.75">
      <c r="E499" s="3"/>
    </row>
    <row r="500" ht="12.75">
      <c r="E500" s="3"/>
    </row>
    <row r="501" ht="12.75">
      <c r="E501" s="3"/>
    </row>
    <row r="502" ht="12.75">
      <c r="E502" s="3"/>
    </row>
    <row r="503" ht="12.75">
      <c r="E503" s="3"/>
    </row>
    <row r="504" spans="5:10" ht="12.75">
      <c r="E504" s="3"/>
      <c r="G504" s="2"/>
      <c r="H504" s="2"/>
      <c r="I504" s="2"/>
      <c r="J504" s="2"/>
    </row>
    <row r="506" spans="5:10" ht="12.75">
      <c r="E506" s="2"/>
      <c r="J506" s="2"/>
    </row>
    <row r="508" ht="12.75">
      <c r="J508" s="2"/>
    </row>
    <row r="509" spans="5:10" ht="12.75">
      <c r="E509" s="2"/>
      <c r="J509" s="2"/>
    </row>
    <row r="510" spans="5:10" ht="12.75">
      <c r="E510" s="2"/>
      <c r="J510" s="2"/>
    </row>
    <row r="511" spans="5:10" ht="12.75">
      <c r="E511" s="2"/>
      <c r="J511" s="2"/>
    </row>
    <row r="512" spans="5:10" ht="12.75">
      <c r="E512" s="2"/>
      <c r="J512" s="2"/>
    </row>
    <row r="513" spans="5:10" ht="12.75">
      <c r="E513" s="2"/>
      <c r="J513" s="2"/>
    </row>
    <row r="514" spans="5:10" ht="12.75">
      <c r="E514" s="2"/>
      <c r="J514" s="2"/>
    </row>
    <row r="515" spans="5:10" ht="12.75">
      <c r="E515" s="2"/>
      <c r="J515" s="2"/>
    </row>
  </sheetData>
  <sheetProtection password="E68A" sheet="1" objects="1" scenarios="1"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DHHS/OS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2007-08-14T15:21:43Z</dcterms:created>
  <dcterms:modified xsi:type="dcterms:W3CDTF">2007-08-14T15:25:34Z</dcterms:modified>
  <cp:category/>
  <cp:version/>
  <cp:contentType/>
  <cp:contentStatus/>
</cp:coreProperties>
</file>