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tabRatio="818" firstSheet="2" activeTab="7"/>
  </bookViews>
  <sheets>
    <sheet name="XXX" sheetId="1" state="veryHidden" r:id="rId1"/>
    <sheet name="XX0" sheetId="2" state="veryHidden" r:id="rId2"/>
    <sheet name="Inv. Summary" sheetId="3" r:id="rId3"/>
    <sheet name="Existing Tier 1" sheetId="4" r:id="rId4"/>
    <sheet name="Existing Tier 2" sheetId="5" r:id="rId5"/>
    <sheet name="Existing Tier 3" sheetId="6" r:id="rId6"/>
    <sheet name="Existing (Sched)" sheetId="7" r:id="rId7"/>
    <sheet name="Stage 1" sheetId="8" r:id="rId8"/>
    <sheet name="Stage 1 (Sched)" sheetId="9" r:id="rId9"/>
    <sheet name="IESWTR" sheetId="10" r:id="rId10"/>
    <sheet name="IESWTR (Sched)" sheetId="11" r:id="rId11"/>
    <sheet name="FBRR" sheetId="12" r:id="rId12"/>
    <sheet name="FBRR (Sched)" sheetId="13" r:id="rId13"/>
    <sheet name="Rads" sheetId="14" r:id="rId14"/>
    <sheet name="Rads (Sched)" sheetId="15" r:id="rId15"/>
    <sheet name="Total (Sched)" sheetId="16" r:id="rId16"/>
    <sheet name="Prep Burden" sheetId="17" r:id="rId17"/>
    <sheet name="Dist Burden" sheetId="18" r:id="rId18"/>
    <sheet name="Repeat Burden" sheetId="19" r:id="rId19"/>
    <sheet name="Total Burden" sheetId="20" r:id="rId20"/>
    <sheet name="Primacy Agency Burden" sheetId="21" r:id="rId21"/>
    <sheet name="Primacy" sheetId="22" state="hidden" r:id="rId22"/>
    <sheet name="SBREFA" sheetId="23" state="hidden" r:id="rId23"/>
  </sheets>
  <externalReferences>
    <externalReference r:id="rId26"/>
  </externalReferences>
  <definedNames>
    <definedName name="lcop">#REF!</definedName>
    <definedName name="nitrate">#REF!</definedName>
    <definedName name="nmon">#REF!</definedName>
    <definedName name="post">#REF!</definedName>
    <definedName name="_xlnm.Print_Area" localSheetId="17">'Dist Burden'!$A$6:$K$98</definedName>
    <definedName name="_xlnm.Print_Area" localSheetId="6">'Existing (Sched)'!$A$1:$P$29</definedName>
    <definedName name="_xlnm.Print_Area" localSheetId="3">'Existing Tier 1'!$A$1:$P$30</definedName>
    <definedName name="_xlnm.Print_Area" localSheetId="4">'Existing Tier 2'!$A$1:$O$29</definedName>
    <definedName name="_xlnm.Print_Area" localSheetId="5">'Existing Tier 3'!$A$1:$L$30</definedName>
    <definedName name="_xlnm.Print_Area" localSheetId="11">'FBRR'!$A$1:$H$28</definedName>
    <definedName name="_xlnm.Print_Area" localSheetId="12">'FBRR (Sched)'!$A$1:$P$27</definedName>
    <definedName name="_xlnm.Print_Area" localSheetId="9">'IESWTR'!$A$1:$K$30</definedName>
    <definedName name="_xlnm.Print_Area" localSheetId="10">'IESWTR (Sched)'!$A$1:$P$28</definedName>
    <definedName name="_xlnm.Print_Area" localSheetId="2">'Inv. Summary'!$A$1:$F$23</definedName>
    <definedName name="_xlnm.Print_Area" localSheetId="16">'Prep Burden'!$A$9:$J$98</definedName>
    <definedName name="_xlnm.Print_Area" localSheetId="21">'Primacy'!$A$5:$J$13</definedName>
    <definedName name="_xlnm.Print_Area" localSheetId="20">'Primacy Agency Burden'!$A$8:$J$26</definedName>
    <definedName name="_xlnm.Print_Area" localSheetId="13">'Rads'!$A$1:$L$29</definedName>
    <definedName name="_xlnm.Print_Area" localSheetId="14">'Rads (Sched)'!$A$1:$P$28</definedName>
    <definedName name="_xlnm.Print_Area" localSheetId="18">'Repeat Burden'!$A$9:$K$84</definedName>
    <definedName name="_xlnm.Print_Area" localSheetId="7">'Stage 1'!$A$1:$X$30</definedName>
    <definedName name="_xlnm.Print_Area" localSheetId="8">'Stage 1 (Sched)'!$A$1:$P$29</definedName>
    <definedName name="_xlnm.Print_Area" localSheetId="15">'Total (Sched)'!$A$1:$P$27</definedName>
    <definedName name="_xlnm.Print_Area" localSheetId="19">'Total Burden'!$A$9:$G$41</definedName>
    <definedName name="_xlnm.Print_Titles" localSheetId="17">'Dist Burden'!$10:$16</definedName>
    <definedName name="_xlnm.Print_Titles" localSheetId="16">'Prep Burden'!$10:$16</definedName>
    <definedName name="_xlnm.Print_Titles" localSheetId="20">'Primacy Agency Burden'!$10:$16</definedName>
    <definedName name="_xlnm.Print_Titles" localSheetId="18">'Repeat Burden'!$10:$16</definedName>
    <definedName name="_xlnm.Print_Titles" localSheetId="19">'Total Burden'!$10:$16</definedName>
    <definedName name="scop">#REF!</definedName>
    <definedName name="tcr">#REF!</definedName>
  </definedNames>
  <calcPr fullCalcOnLoad="1"/>
</workbook>
</file>

<file path=xl/sharedStrings.xml><?xml version="1.0" encoding="utf-8"?>
<sst xmlns="http://schemas.openxmlformats.org/spreadsheetml/2006/main" count="1541" uniqueCount="334">
  <si>
    <t>CWS</t>
  </si>
  <si>
    <t>TOTAL</t>
  </si>
  <si>
    <t>NTNCWS</t>
  </si>
  <si>
    <t>Capital/</t>
  </si>
  <si>
    <t xml:space="preserve">Startup </t>
  </si>
  <si>
    <t xml:space="preserve">O&amp;M </t>
  </si>
  <si>
    <t>Total</t>
  </si>
  <si>
    <t xml:space="preserve">INFORMATION COLLECTION </t>
  </si>
  <si>
    <t>Costs per</t>
  </si>
  <si>
    <t>or</t>
  </si>
  <si>
    <t>ACTIVITY</t>
  </si>
  <si>
    <t>per hour</t>
  </si>
  <si>
    <t>Activity</t>
  </si>
  <si>
    <t>Year</t>
  </si>
  <si>
    <t>Preparation of Notice</t>
  </si>
  <si>
    <t>TIER 1 - Preparation</t>
  </si>
  <si>
    <t>Systems serving 25 - 500</t>
  </si>
  <si>
    <t>Systems serving 501 - 3,300</t>
  </si>
  <si>
    <t>Systems serving 3,301 - 10,000</t>
  </si>
  <si>
    <t>Systems serving over 100,000</t>
  </si>
  <si>
    <t>TIER 2 - Preparation</t>
  </si>
  <si>
    <t>TIER 3 - Preparation</t>
  </si>
  <si>
    <t>TOTAL - Preparation</t>
  </si>
  <si>
    <t>Total CWS</t>
  </si>
  <si>
    <t>Total NTNCWS</t>
  </si>
  <si>
    <t>Total TNCWS</t>
  </si>
  <si>
    <t>Distribution of Notice</t>
  </si>
  <si>
    <t>TIER 1 - Distribution</t>
  </si>
  <si>
    <t>Systems serving 501 - 3,300 (Mass Media)</t>
  </si>
  <si>
    <t>Systems serving 3,301 - 10,000 (Mass Media)</t>
  </si>
  <si>
    <t>Systems serving over 100,000 (Mass Media)</t>
  </si>
  <si>
    <t>TIER 2 - Distribution</t>
  </si>
  <si>
    <t>TIER 3 - Distribution</t>
  </si>
  <si>
    <t>Systems serving over 100,000 (CCR)</t>
  </si>
  <si>
    <t>TOTAL - Distribution</t>
  </si>
  <si>
    <t>DEVELOPMENT AND DISTRIBUTION OF REPEAT PUBLIC NOTIFICATION</t>
  </si>
  <si>
    <t>Preparation of Repeat Notice</t>
  </si>
  <si>
    <t>CWS - Nitrate</t>
  </si>
  <si>
    <t>CWS - Coliform</t>
  </si>
  <si>
    <r>
      <t>CWS - MCL, not 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or Coliform</t>
    </r>
  </si>
  <si>
    <t>TOTAL - Preparation of Repeat Notice</t>
  </si>
  <si>
    <t>Distribution of Repeat Notice</t>
  </si>
  <si>
    <t>TOTAL - Distribution of Repeat Notice</t>
  </si>
  <si>
    <t>Preparation and Distribution of Repeat Notice</t>
  </si>
  <si>
    <t>Number of</t>
  </si>
  <si>
    <t>Systems serving 3,301 - 10,000 (Posting and mass media)</t>
  </si>
  <si>
    <t>Systems serving over 100,000 (Posting and mass media)</t>
  </si>
  <si>
    <t>Systems serving 501 - 3,300 (Posting and mass media)</t>
  </si>
  <si>
    <t>TWS</t>
  </si>
  <si>
    <t>Total TWS</t>
  </si>
  <si>
    <t>Systems serving 501 - 3,300 (Mail or Bill Stuffer)</t>
  </si>
  <si>
    <t>Systems serving 3,301 - 10,000 (Mail or Bill Stuffer)</t>
  </si>
  <si>
    <t>Systems serving over 100,000 (Mail or Bill Stuffer)</t>
  </si>
  <si>
    <t>Systems serving 501 - 3,300 (CCR and mail)</t>
  </si>
  <si>
    <t>Systems serving 3,301 - 10,000 (CCR and mail)</t>
  </si>
  <si>
    <t>Labor</t>
  </si>
  <si>
    <t>per</t>
  </si>
  <si>
    <t>Systems serving 501 - 3,300 (Posting and hand delivery)</t>
  </si>
  <si>
    <t>Systems serving 3,301 - 10,000 (Posting and hand delivery)</t>
  </si>
  <si>
    <t>Systems serving over 100,000 (Posting and hand delivery)</t>
  </si>
  <si>
    <t xml:space="preserve">Total </t>
  </si>
  <si>
    <t>Tier 1</t>
  </si>
  <si>
    <t>Tier 2</t>
  </si>
  <si>
    <t>Tier 3</t>
  </si>
  <si>
    <t>Systems serving 10,001 - 100,000</t>
  </si>
  <si>
    <t>Systems serving 10,001 - 100,000 (Mass Media)</t>
  </si>
  <si>
    <t>Systems serving 10,001 - 100,000 (Posting and mass media)</t>
  </si>
  <si>
    <t>Systems serving 10,001 - 100,000 (Mail or Bill Stuffer)</t>
  </si>
  <si>
    <t>Systems serving 10,001 - 100,000 (Posting and hand delivery)</t>
  </si>
  <si>
    <t>Systems serving 10,001 - 100,000 (CCR)</t>
  </si>
  <si>
    <t>Costs</t>
  </si>
  <si>
    <t>Hours</t>
  </si>
  <si>
    <t>Responses</t>
  </si>
  <si>
    <t>Activities</t>
  </si>
  <si>
    <t xml:space="preserve">CWS </t>
  </si>
  <si>
    <t>Hrs/activity</t>
  </si>
  <si>
    <t>Cost/activity</t>
  </si>
  <si>
    <t>O&amp;M/activity</t>
  </si>
  <si>
    <t>Total hrs/yr</t>
  </si>
  <si>
    <t>Total Cost/yr</t>
  </si>
  <si>
    <t>Consultation - T1</t>
  </si>
  <si>
    <t>Consultation - T2</t>
  </si>
  <si>
    <t>Consultation - T3</t>
  </si>
  <si>
    <t>Recieve/review PN Cert</t>
  </si>
  <si>
    <t>File reports</t>
  </si>
  <si>
    <t>Primacy agency burden (ICR Table 2)</t>
  </si>
  <si>
    <t>Primacy pkg update</t>
  </si>
  <si>
    <t>Managerial rate</t>
  </si>
  <si>
    <t>Technical rate</t>
  </si>
  <si>
    <t>Clerical rate</t>
  </si>
  <si>
    <t>No. Activities</t>
  </si>
  <si>
    <t>Man.</t>
  </si>
  <si>
    <t>Tech.</t>
  </si>
  <si>
    <t>Cler.</t>
  </si>
  <si>
    <t xml:space="preserve">total # T1 </t>
  </si>
  <si>
    <t>total # T2</t>
  </si>
  <si>
    <t>total # T3</t>
  </si>
  <si>
    <t>total # violations</t>
  </si>
  <si>
    <t>Table 1</t>
  </si>
  <si>
    <t>Number of Systems</t>
  </si>
  <si>
    <t>Estimated Revenues or Expenditures per System ($)</t>
  </si>
  <si>
    <t>Total Compliance Cost Per System ($)</t>
  </si>
  <si>
    <t>Total Cost/Rev</t>
  </si>
  <si>
    <t>From CWSS</t>
  </si>
  <si>
    <t>C/B</t>
  </si>
  <si>
    <t>(A)</t>
  </si>
  <si>
    <t>(B)</t>
  </si>
  <si>
    <t>(C)</t>
  </si>
  <si>
    <t>(C/B)</t>
  </si>
  <si>
    <t>Small Governments</t>
  </si>
  <si>
    <t>Small Businesses</t>
  </si>
  <si>
    <t>Small Organizations</t>
  </si>
  <si>
    <t>Table 2</t>
  </si>
  <si>
    <t>From ICR Table 3</t>
  </si>
  <si>
    <t>Highest cost for all types, from Table 2</t>
  </si>
  <si>
    <t>56 primacy agencies.  Revision burden is .25 FTE/state over 3 years or .083 FTE/yr</t>
  </si>
  <si>
    <t>System
Category</t>
  </si>
  <si>
    <t>Population
Served</t>
  </si>
  <si>
    <t>&lt;500</t>
  </si>
  <si>
    <t>501-3,300</t>
  </si>
  <si>
    <t>&gt;100,000</t>
  </si>
  <si>
    <t>Number of
Systems</t>
  </si>
  <si>
    <t>3,301-10,000</t>
  </si>
  <si>
    <t>10,001-100,000</t>
  </si>
  <si>
    <t>TNCWS</t>
  </si>
  <si>
    <t>Public Water System Inventory</t>
  </si>
  <si>
    <t>Source: SDWIS, September 2000 frozen inventory.</t>
  </si>
  <si>
    <t xml:space="preserve">Subtotal </t>
  </si>
  <si>
    <t xml:space="preserve">Total for All Systems </t>
  </si>
  <si>
    <t>Sources:</t>
  </si>
  <si>
    <t>3,301-10k</t>
  </si>
  <si>
    <t>10,001-100k</t>
  </si>
  <si>
    <t>&gt;100k</t>
  </si>
  <si>
    <t>Total
Systems
(A)</t>
  </si>
  <si>
    <t>Systems
(SW/GWUDI)</t>
  </si>
  <si>
    <t>Systems
(Disinfecting Groundwater)</t>
  </si>
  <si>
    <t>NTNC</t>
  </si>
  <si>
    <t>TNC</t>
  </si>
  <si>
    <r>
      <t>&lt;</t>
    </r>
    <r>
      <rPr>
        <sz val="10"/>
        <rFont val="Arial"/>
        <family val="0"/>
      </rPr>
      <t>100</t>
    </r>
  </si>
  <si>
    <t>101-500</t>
  </si>
  <si>
    <t>501-1,000</t>
  </si>
  <si>
    <t>1,001-3,300</t>
  </si>
  <si>
    <t>3,301-10K</t>
  </si>
  <si>
    <t>10,001-50K</t>
  </si>
  <si>
    <t>50,001-100K</t>
  </si>
  <si>
    <t>100,001-1M</t>
  </si>
  <si>
    <t>&gt;1M</t>
  </si>
  <si>
    <t>Stage 1 DBPR Inventory</t>
  </si>
  <si>
    <t>Pop.</t>
  </si>
  <si>
    <t>N/A</t>
  </si>
  <si>
    <t>Derivation of Annual Tier 1 Violation Estimates for Existing Rules</t>
  </si>
  <si>
    <t>Chlorine
Dioxide
(B)</t>
  </si>
  <si>
    <t>Derivation of Stage 1 DBPR Violation Estimates</t>
  </si>
  <si>
    <t>Nitrate Special
Notices (NCWSs)
(E)=(D)*10%</t>
  </si>
  <si>
    <t>Outbreaks/
Emergencies
(J)</t>
  </si>
  <si>
    <t>Total Tier 1
Violations
(K)=Sum (B:J)</t>
  </si>
  <si>
    <t>Derivation of Annual Tier 2 Violation Estimates for Existing Rules</t>
  </si>
  <si>
    <t>SDWIS
Total
(A)</t>
  </si>
  <si>
    <t>MCL Violations</t>
  </si>
  <si>
    <t>TTHM
(C)</t>
  </si>
  <si>
    <t>TCR Fecal
MCL
(B)</t>
  </si>
  <si>
    <t>TCR Confirmation 
Sample
(C)=(A)*1%</t>
  </si>
  <si>
    <t>Nitrate
MCL
(D)</t>
  </si>
  <si>
    <t>TCR
MCL
(A)</t>
  </si>
  <si>
    <t>Nitrite
MCL
(F)</t>
  </si>
  <si>
    <t>N+N
MCL
(G)</t>
  </si>
  <si>
    <t>Nitrate/Nitrite
Conf. Sample
(H)=(D+F+G)*5%</t>
  </si>
  <si>
    <t>Tier 1
SWTR TT
(I)</t>
  </si>
  <si>
    <t>TT Violations</t>
  </si>
  <si>
    <t>M/R Violations</t>
  </si>
  <si>
    <t>Derivation of Annual Tier 3 Violation Estimates for Existing Rules</t>
  </si>
  <si>
    <t>SDWIS
M/R Total
(A)</t>
  </si>
  <si>
    <t>1976 Rads
(B)</t>
  </si>
  <si>
    <t>Notes:</t>
  </si>
  <si>
    <t>Figures for 1976 Radionuclides and TTHM Rules are subtracted out and analyzed separately since each is superceded by a more recent regulation.</t>
  </si>
  <si>
    <t>TTHM Rule
MCL Rate
(C)</t>
  </si>
  <si>
    <t>Large
TTHM
(D)=(C*2)</t>
  </si>
  <si>
    <t>Small
TTHM
(E)</t>
  </si>
  <si>
    <t>Large
HAA5
(F)=(C*3)</t>
  </si>
  <si>
    <t>Small
HAA5
(G)</t>
  </si>
  <si>
    <t>Large
Residuals
(H)</t>
  </si>
  <si>
    <t>Small
Residuals
(I)</t>
  </si>
  <si>
    <t>Large
Bromate
(J)</t>
  </si>
  <si>
    <t>Small
Bromate
(K)</t>
  </si>
  <si>
    <t>Chlorite
Systems
(L)</t>
  </si>
  <si>
    <t>Large
Chlorite
(M)</t>
  </si>
  <si>
    <t>Small
Chlorite
(N)</t>
  </si>
  <si>
    <t>Annual Average Violations</t>
  </si>
  <si>
    <t>Total Violations - Year 1
(July 1 - Dec. 31, 2002)</t>
  </si>
  <si>
    <t>Total Violations - Year 2
(Jan. 1 - Dec. 31, 2003)</t>
  </si>
  <si>
    <t>Total Violations - Year 3
(Jan. 1 - Dec. 31, 2004)</t>
  </si>
  <si>
    <t>IESWTR Inventory</t>
  </si>
  <si>
    <t>Derivation of IESWTR Violation Estimates</t>
  </si>
  <si>
    <t>Total
Turbidity
(C)</t>
  </si>
  <si>
    <t>Tier 2
Turbidity
(D)=(C*95%)</t>
  </si>
  <si>
    <t>Failure to Take Corrective Action
(E)=(A*2%)</t>
  </si>
  <si>
    <t>Elevated Single
Exceedances
(B)=(C*5%)</t>
  </si>
  <si>
    <t>Derivation of FBRR Violation Estimates</t>
  </si>
  <si>
    <t>FBRR Inventory</t>
  </si>
  <si>
    <t>System Category</t>
  </si>
  <si>
    <t>Population Served</t>
  </si>
  <si>
    <t>Summary of Annual FBRR Violation Estimates</t>
  </si>
  <si>
    <t>Derivation of Radionuclides Violation Estimates</t>
  </si>
  <si>
    <t>Summary of Annual Radionuclides Violation Estimates</t>
  </si>
  <si>
    <t>Existing
M/R
(D)=(F*5%)</t>
  </si>
  <si>
    <t>TT
(B)=(A*2%)</t>
  </si>
  <si>
    <t>Summary of Annual Violation Estimates for Existing Rules</t>
  </si>
  <si>
    <t>Total for All Systems</t>
  </si>
  <si>
    <t>Total Violations - Year 1
(Jul. 1 - Dec. 31, 2002)</t>
  </si>
  <si>
    <t>Detail may not add to totals due to independent rounding.</t>
  </si>
  <si>
    <t>Figures for 1976 Radionuclides and TTHM Rules are not included in totals. Violations under these rules are analyzed separately since each is superceded by a more recent regulation.</t>
  </si>
  <si>
    <t>Total Tier 2
(D)=(A)-(B+C)</t>
  </si>
  <si>
    <t>SDWIS
Total
(E)</t>
  </si>
  <si>
    <t>SWTR
Total
(F)</t>
  </si>
  <si>
    <t>SWTR
Tier 2
(G)=(F)*95%</t>
  </si>
  <si>
    <t>Total Tier 2
(H)=(E)-(F)+(G)</t>
  </si>
  <si>
    <t>Total Tier 2
(I)=(Tier 3 M/R)*5%</t>
  </si>
  <si>
    <t>Total Tier 2
(All Types)
(J)=(D+H+I)</t>
  </si>
  <si>
    <t>Total Tier 3
(D)=((A)-(B+C))*.95</t>
  </si>
  <si>
    <t>Large
TT
(O)=(C*2)</t>
  </si>
  <si>
    <t>Small
TT
(P)</t>
  </si>
  <si>
    <t>Large
M/R
(S)=(A*1%*95%)</t>
  </si>
  <si>
    <t>Small
M/R
(T)=(A*1%*95%)</t>
  </si>
  <si>
    <t>Large
M/R
(Q)=(A*1%*5%)</t>
  </si>
  <si>
    <t>Small
M/R
(R)=(A*1%*5%)</t>
  </si>
  <si>
    <t>M/R
(D)=(A*1%*95%)</t>
  </si>
  <si>
    <t>M/R
(F)=(G*1%*5%)</t>
  </si>
  <si>
    <t>(C) Number of turbidity violations estimated at 2 times the TTHM MCL violation rate.</t>
  </si>
  <si>
    <t>M/R
(G)=(A*1%*95%)</t>
  </si>
  <si>
    <t>(B, D, F, H, J, M, and O) Annual Stage 1 DBPR violations for large systems based on EPA estimates.</t>
  </si>
  <si>
    <t>Summary of Annual Violation Estimates for the IESWTR</t>
  </si>
  <si>
    <t>Summary of Annual Violation Estimates for the Stage 1 DBPR</t>
  </si>
  <si>
    <t>M/R
(C)=(A*1%*5%)</t>
  </si>
  <si>
    <t>(B) FBRR TT violations (2% of all systems) based on EPA estimate.</t>
  </si>
  <si>
    <t>Existing MCL
(B)</t>
  </si>
  <si>
    <t>Total
Existing M/R
(F)</t>
  </si>
  <si>
    <t>Uranium
M/R
(E)=(F*5%)</t>
  </si>
  <si>
    <t>Existing M/R
(G)=(F)*95%</t>
  </si>
  <si>
    <t>Summary of Annual Violation Estimates (All Rules)</t>
  </si>
  <si>
    <t>Systems serving &lt;500</t>
  </si>
  <si>
    <t>$24.03</t>
  </si>
  <si>
    <t>Hours @</t>
  </si>
  <si>
    <t>PN RULE ANNUAL ESTIMATED RESPONDENT BURDEN &amp; COST (PWS BURDEN) - PREPARATION OF NOTICES</t>
  </si>
  <si>
    <t>Systems serving &lt;500 (Posting and hand delivery)</t>
  </si>
  <si>
    <t>Service</t>
  </si>
  <si>
    <t>Connections</t>
  </si>
  <si>
    <t>System</t>
  </si>
  <si>
    <t>Systems serving &lt;500 (Posting and Hand delivery)</t>
  </si>
  <si>
    <t xml:space="preserve">Avg. O&amp;M </t>
  </si>
  <si>
    <t>O&amp;M Costs</t>
  </si>
  <si>
    <t>Capital/SU/</t>
  </si>
  <si>
    <t>PN RULE ANNUAL ESTIMATED RESPONDENT BURDEN &amp; COST (PWS BURDEN) - PREPARATION AND DISTRIBUTION OF REPEAT NOTICES</t>
  </si>
  <si>
    <t>PN RULE ANNUAL ESTIMATED RESPONDENT BURDEN &amp; COST (PWS BURDEN) - TOTAL BURDEN SUMMARY</t>
  </si>
  <si>
    <t>TOTAL BURDEN SUMMARY</t>
  </si>
  <si>
    <t>PN RULE ANNUAL ESTIMATED RESPONDENT BURDEN &amp; COST (PWS BURDEN) - DISTRIBUTION OF NOTICES</t>
  </si>
  <si>
    <t>Violation Data</t>
  </si>
  <si>
    <t>System Data</t>
  </si>
  <si>
    <t>SDWIS
M/R Total
(E)</t>
  </si>
  <si>
    <t>1976 Rads
(F)</t>
  </si>
  <si>
    <t>TTHM
(G)</t>
  </si>
  <si>
    <t>Total Tier 3
(H)=(E)-(F+G)</t>
  </si>
  <si>
    <t>Tier 3 M/R totals include Flouride MCL violations and UCMR reporting requirements.</t>
  </si>
  <si>
    <t>Note:  Detail may not add to totals due to independent rounding.</t>
  </si>
  <si>
    <t>Average Service
Connections/System</t>
  </si>
  <si>
    <t>PN RULE ANNUAL ESTIMATED PRIMACY AGENCY BURDEN &amp; COST - TOTAL BURDEN SUMMARY</t>
  </si>
  <si>
    <t>$28.89</t>
  </si>
  <si>
    <t>Total Primacy Agencies</t>
  </si>
  <si>
    <t>Consultation:  Tier 3</t>
  </si>
  <si>
    <t>Consultation:  Tier 1</t>
  </si>
  <si>
    <t>Consultation:  Tier 2</t>
  </si>
  <si>
    <t>Receive/Review PN Certification</t>
  </si>
  <si>
    <t>File Reports</t>
  </si>
  <si>
    <t>(C) Rate of failure to take TCR confirmation samples (1%) based on EPA estimate (carried forward from previous ICR).</t>
  </si>
  <si>
    <t>(E) Number of Nitrate special notices for NCWSs (10% of Nitrate MCL violations) based on EPA estimate (carried forward from previous ICR).</t>
  </si>
  <si>
    <t>(H) Rate of failure to take Nitrate/Nitrate confirmation samples (5%) based on EPA estimate (carried forward from previous ICR).</t>
  </si>
  <si>
    <t>(I) SWTR single exceedance of turbidity limit TT violations elevated to Tier 1 (5% of all SWTR TT violations) based on EPA estimate (carried forward from previous ICR).</t>
  </si>
  <si>
    <t>(I) Tier 3 violations elevated to Tier 2 (5% of all M/R violations) based on EPA estimate (carried forward from previous ICR).</t>
  </si>
  <si>
    <t>(A, B, D, F, and G)  SDWIS, September 2000 frozen inventory and FY 2000 4th Quarter violations tables.</t>
  </si>
  <si>
    <t>(A, B, C, E, and F) SDWIS, September 2000 frozen inventory and FY 2000 4th Quarter violations tables.</t>
  </si>
  <si>
    <t>(A, B, C, E, F, and G)  SDWIS, September 2000 frozen inventory and FY 2000 4th Quarter violations tables.</t>
  </si>
  <si>
    <t>(D) Tier 3 violations elevated to Tier 2 (5% of all M/R violations) based on EPA estimate (carried forward from previous ICR).</t>
  </si>
  <si>
    <r>
      <t>(J) Estimate of waterborne disease outbreaks/emergencies from biennial "</t>
    </r>
    <r>
      <rPr>
        <i/>
        <sz val="8"/>
        <rFont val="Arial"/>
        <family val="2"/>
      </rPr>
      <t>Surveillance for Waterborne Disease Outbreaks – United States"</t>
    </r>
    <r>
      <rPr>
        <sz val="8"/>
        <rFont val="Arial"/>
        <family val="2"/>
      </rPr>
      <t xml:space="preserve"> reports prepared by the Center for 
 Disease Control (CDC).</t>
    </r>
  </si>
  <si>
    <t>(C)  SDWIS, September 2000 frozen inventory and FY 2000 4th Quarter violations tables.</t>
  </si>
  <si>
    <t>(Q, R, S, and T) Annual Stage 1 DBPR M/R violations (1% of all systems) and Tier 3 violations elevated to Tier 2 (5% of all M/R violations) based on EPA estimates (carried forward from previous ICR).</t>
  </si>
  <si>
    <t>Due to differing implementation schedules, violations represent only large systems until 2004.</t>
  </si>
  <si>
    <t xml:space="preserve">(A) IESWTR inventory of systems taken from the 2001 Microbial ICR inventory tables.  </t>
  </si>
  <si>
    <t>(A) FBRR system inventory taken from the 2001 FBRR ICR inventory tables.</t>
  </si>
  <si>
    <t>(A)  Radionuclides inventory of systems taken from the 2001 DBP/Chem/Rads ICR inventory tables.</t>
  </si>
  <si>
    <t>(A, L) Stage 1 DBPR inventories of systems taken from the 2001 DBP/Chem/Rads ICR inventory tables.</t>
  </si>
  <si>
    <t>(B and F) SDWIS, September 2000 frozen inventory and FY 2000 4th Quarter violations tables.</t>
  </si>
  <si>
    <t>(E) Rate of failure to take corrective action (2% of all systems) based on EPA estimate (carried forward from previous ICR).</t>
  </si>
  <si>
    <t>(F and G) Annual IESWTR M/R violations (1% of all systems) and Tier 3 violations elevated to Tier 2 (5% of all M/R violations) based on EPA estimates (carried forward from previous ICR).</t>
  </si>
  <si>
    <t>(B and D) Single exceedance of turbidity limit TT violations elevated to Tier 1 (5% of all turbidity violations) based on EPA estimate (carried forward from previous ICR).</t>
  </si>
  <si>
    <t>(C and D) Annual FBRR M/R violations (1% of all systems) and Tier 3 
 violations elevated to Tier 2 (5% of all M/R violations) based on EPA 
 estimates (carried forward from previous ICR).</t>
  </si>
  <si>
    <t>Uranium
MCL
(C)=(B*.5)</t>
  </si>
  <si>
    <t>Uranium
M/R
(H)=(F*.5)*95%</t>
  </si>
  <si>
    <t>Exhibit C-2</t>
  </si>
  <si>
    <t>Exhibit C-3</t>
  </si>
  <si>
    <t>Exhibit C-1</t>
  </si>
  <si>
    <t>Exhibit C-4</t>
  </si>
  <si>
    <t>Exhibit C-5</t>
  </si>
  <si>
    <t>Exhibit C-6</t>
  </si>
  <si>
    <t>Exhibit C-7</t>
  </si>
  <si>
    <t>Exhibit C-8</t>
  </si>
  <si>
    <t>Exhibit C-9</t>
  </si>
  <si>
    <t>Exhibit C-10</t>
  </si>
  <si>
    <t>Exhibit C-11</t>
  </si>
  <si>
    <t>Exhibit C-12</t>
  </si>
  <si>
    <t>Exhibit C-13</t>
  </si>
  <si>
    <t>Exhibit C-14</t>
  </si>
  <si>
    <t>Exhibit C-15</t>
  </si>
  <si>
    <t>Exhibit C-17</t>
  </si>
  <si>
    <t>Exhibit C-16</t>
  </si>
  <si>
    <t>Exhibit C-18</t>
  </si>
  <si>
    <t>Exhibit C-19</t>
  </si>
  <si>
    <t>Existing Violations Tables (Exhibits C-2, C-3, and C-4).</t>
  </si>
  <si>
    <t>Year 1 figures represent 50% of totals from Exhibits C-2, C-3, and C-4.</t>
  </si>
  <si>
    <t>Stage 1 DBPR Violations Table (Exhibit C-6).</t>
  </si>
  <si>
    <t>Year 1 figures represent 50% of totals from Exhibit C-6.</t>
  </si>
  <si>
    <t>IESWTR Violations Table (Exhibit C-8).</t>
  </si>
  <si>
    <t>Year 1 figures represent 50% of totals from Exhibit C-8.</t>
  </si>
  <si>
    <t>FBRR Violations Table (Exhibits C-10).</t>
  </si>
  <si>
    <t>Radionuclides Violations Table (Exhibit C-12).</t>
  </si>
  <si>
    <t>Year 1 figures represent 50% of totals from Exhibit C-12.</t>
  </si>
  <si>
    <t>Sum of all schedule tables (Exhibits C-5, C-7, C-9, C-11, and C-13).</t>
  </si>
  <si>
    <t>Total Systems
with Tier 2
Violations</t>
  </si>
  <si>
    <t>Total Systems
with Tier 1
Violations</t>
  </si>
  <si>
    <t>(G) SWTR single exceedance of turbidity limit TT violations elevated to Tier 1 (5% of all TT violations) based on EPA estimate. All remaining SWTR TT violations are considered to be Tier 2.</t>
  </si>
  <si>
    <t>(E-H) Burden for Tier 3 violations is calculated on a per-system basis since multiple violations at one system are likely to be reported in a single report.</t>
  </si>
  <si>
    <t>Annual average violations represent total from all years divided by the period covered by this ICR (i.e., sum of violations for years 1 to 3/2.5 years).</t>
  </si>
  <si>
    <t>(E, G, I, K, N, and P) Annual Stage 1 DBPR violations for small and very large (&gt;100k) systems estimated based on large system (10,001-100k) violations multiplied by the ratio of small and very large to large systems in each size category.</t>
  </si>
  <si>
    <t>(C and H) Number of additional violations due to uranium requirements estimated to be half the number of existing violations under the 1976 Radionuclides Rule.</t>
  </si>
  <si>
    <t>(D, E, G, and H) Tier 3 violations elevated to Tier 2 (5% of all M/R violations) based on EPA estimates (carried forward from previous ICR).</t>
  </si>
  <si>
    <t>Annual average violations represent total from all years divided by the period covered by this ICR (i.e., sum of violations for years 1 to 3/2.5 years)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</si>
</sst>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"/>
    <numFmt numFmtId="168" formatCode="#,##0.0"/>
    <numFmt numFmtId="169" formatCode="0.00_)"/>
    <numFmt numFmtId="170" formatCode="General_)"/>
    <numFmt numFmtId="171" formatCode="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_(* #,##0.000_);_(* \(#,##0.000\);_(* &quot;-&quot;??_);_(@_)"/>
    <numFmt numFmtId="177" formatCode="0.0%"/>
    <numFmt numFmtId="178" formatCode="_(&quot;$&quot;* #,##0_);_(&quot;$&quot;* \(#,##0\);_(&quot;$&quot;* &quot;-&quot;??_);_(@_)"/>
    <numFmt numFmtId="179" formatCode="&quot;$&quot;#,##0.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_(* #,##0.0000_);_(* \(#,##0.0000\);_(* &quot;-&quot;??_);_(@_)"/>
    <numFmt numFmtId="186" formatCode="&quot;[&quot;#,###&quot;]&quot;"/>
    <numFmt numFmtId="187" formatCode="&quot;[&quot;#,##0&quot;]&quot;"/>
    <numFmt numFmtId="188" formatCode="_(* #,##0.00000_);_(* \(#,##0.00000\);_(* &quot;-&quot;??_);_(@_)"/>
    <numFmt numFmtId="189" formatCode="_(* #,##0.000000_);_(* \(#,##0.000000\);_(* &quot;-&quot;??_);_(@_)"/>
    <numFmt numFmtId="190" formatCode="0.0000"/>
    <numFmt numFmtId="191" formatCode="0.00000"/>
    <numFmt numFmtId="192" formatCode="0.00000000"/>
    <numFmt numFmtId="193" formatCode="0.0000000"/>
    <numFmt numFmtId="194" formatCode="0.000000"/>
    <numFmt numFmtId="195" formatCode="0.00000000000000%"/>
    <numFmt numFmtId="196" formatCode="0.0000000000000%"/>
    <numFmt numFmtId="197" formatCode="0.000000000000%"/>
    <numFmt numFmtId="198" formatCode="0.00000000000000000%"/>
    <numFmt numFmtId="199" formatCode="0.0000000000000000%"/>
    <numFmt numFmtId="200" formatCode="0.000000000000000%"/>
    <numFmt numFmtId="201" formatCode="0.00000000000%"/>
    <numFmt numFmtId="202" formatCode="0.0000000000%"/>
    <numFmt numFmtId="203" formatCode="0.000000000%"/>
    <numFmt numFmtId="204" formatCode="0.00000000%"/>
    <numFmt numFmtId="205" formatCode="_(* #,##0.000_);_(* \(#,##0.000\);_(* &quot;-&quot;???_);_(@_)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(* #,##0.0_);_(* \(#,##0.0\);_(* &quot;-&quot;?_);_(@_)"/>
    <numFmt numFmtId="211" formatCode="#,##0;[Red]#,##0"/>
    <numFmt numFmtId="212" formatCode="00000"/>
    <numFmt numFmtId="213" formatCode="#,##0.000"/>
    <numFmt numFmtId="214" formatCode="#,##0.0000"/>
    <numFmt numFmtId="215" formatCode="0.E+00"/>
    <numFmt numFmtId="216" formatCode="0.0E+00"/>
    <numFmt numFmtId="217" formatCode="&quot;$&quot;#,##0"/>
    <numFmt numFmtId="218" formatCode="0.0_)"/>
    <numFmt numFmtId="219" formatCode="#,##0.0_);\(#,##0.0\)"/>
    <numFmt numFmtId="220" formatCode="0_)"/>
    <numFmt numFmtId="221" formatCode="_(&quot;$&quot;* #,##0.0_);_(&quot;$&quot;* \(#,##0.0\);_(&quot;$&quot;* &quot;-&quot;??_);_(@_)"/>
    <numFmt numFmtId="222" formatCode="_(&quot;$&quot;* #,##0.000_);_(&quot;$&quot;* \(#,##0.000\);_(&quot;$&quot;* &quot;-&quot;??_);_(@_)"/>
    <numFmt numFmtId="223" formatCode="_(&quot;$&quot;* #,##0.0000_);_(&quot;$&quot;* \(#,##0.0000\);_(&quot;$&quot;* &quot;-&quot;??_);_(@_)"/>
    <numFmt numFmtId="224" formatCode="_(&quot;$&quot;* #,##0.00000_);_(&quot;$&quot;* \(#,##0.00000\);_(&quot;$&quot;* &quot;-&quot;??_);_(@_)"/>
    <numFmt numFmtId="225" formatCode="_(&quot;$&quot;* #,##0.000000_);_(&quot;$&quot;* \(#,##0.000000\);_(&quot;$&quot;* &quot;-&quot;??_);_(@_)"/>
    <numFmt numFmtId="226" formatCode="&quot;$&quot;#,##0.0_);\(&quot;$&quot;#,##0.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Helv"/>
      <family val="0"/>
    </font>
    <font>
      <sz val="10"/>
      <color indexed="8"/>
      <name val="Arial"/>
      <family val="2"/>
    </font>
    <font>
      <b/>
      <sz val="10"/>
      <name val="Helv"/>
      <family val="0"/>
    </font>
    <font>
      <b/>
      <sz val="10"/>
      <color indexed="8"/>
      <name val="Arial"/>
      <family val="0"/>
    </font>
    <font>
      <b/>
      <sz val="10"/>
      <color indexed="8"/>
      <name val="Helv"/>
      <family val="0"/>
    </font>
    <font>
      <vertAlign val="subscript"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10" fillId="2" borderId="0" applyNumberFormat="0" applyBorder="0" applyAlignment="0" applyProtection="0"/>
    <xf numFmtId="0" fontId="18" fillId="0" borderId="0" applyNumberFormat="0" applyFill="0" applyBorder="0" applyAlignment="0" applyProtection="0"/>
    <xf numFmtId="10" fontId="10" fillId="3" borderId="1" applyNumberFormat="0" applyBorder="0" applyAlignment="0" applyProtection="0"/>
    <xf numFmtId="169" fontId="11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Continuous"/>
    </xf>
    <xf numFmtId="8" fontId="4" fillId="0" borderId="0" xfId="0" applyNumberFormat="1" applyFont="1" applyAlignment="1">
      <alignment horizontal="centerContinuous"/>
    </xf>
    <xf numFmtId="7" fontId="4" fillId="0" borderId="0" xfId="0" applyNumberFormat="1" applyFont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0" xfId="15" applyNumberFormat="1" applyAlignment="1">
      <alignment/>
    </xf>
    <xf numFmtId="3" fontId="4" fillId="0" borderId="0" xfId="15" applyNumberFormat="1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4" fontId="0" fillId="0" borderId="0" xfId="17" applyAlignment="1">
      <alignment/>
    </xf>
    <xf numFmtId="0" fontId="10" fillId="0" borderId="0" xfId="0" applyFont="1" applyAlignment="1">
      <alignment/>
    </xf>
    <xf numFmtId="165" fontId="10" fillId="0" borderId="1" xfId="15" applyNumberFormat="1" applyFont="1" applyBorder="1" applyAlignment="1">
      <alignment/>
    </xf>
    <xf numFmtId="7" fontId="4" fillId="0" borderId="6" xfId="0" applyNumberFormat="1" applyFont="1" applyBorder="1" applyAlignment="1">
      <alignment/>
    </xf>
    <xf numFmtId="0" fontId="13" fillId="0" borderId="0" xfId="0" applyFont="1" applyAlignment="1">
      <alignment/>
    </xf>
    <xf numFmtId="44" fontId="0" fillId="0" borderId="0" xfId="17" applyBorder="1" applyAlignment="1">
      <alignment/>
    </xf>
    <xf numFmtId="7" fontId="0" fillId="0" borderId="0" xfId="17" applyNumberFormat="1" applyBorder="1" applyAlignment="1">
      <alignment/>
    </xf>
    <xf numFmtId="165" fontId="0" fillId="0" borderId="0" xfId="15" applyNumberFormat="1" applyBorder="1" applyAlignment="1">
      <alignment/>
    </xf>
    <xf numFmtId="0" fontId="1" fillId="0" borderId="7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/>
    </xf>
    <xf numFmtId="178" fontId="0" fillId="0" borderId="9" xfId="17" applyNumberFormat="1" applyBorder="1" applyAlignment="1">
      <alignment/>
    </xf>
    <xf numFmtId="0" fontId="0" fillId="0" borderId="10" xfId="0" applyBorder="1" applyAlignment="1">
      <alignment/>
    </xf>
    <xf numFmtId="165" fontId="0" fillId="0" borderId="5" xfId="0" applyNumberFormat="1" applyBorder="1" applyAlignment="1">
      <alignment/>
    </xf>
    <xf numFmtId="178" fontId="0" fillId="0" borderId="11" xfId="17" applyNumberFormat="1" applyBorder="1" applyAlignment="1">
      <alignment/>
    </xf>
    <xf numFmtId="0" fontId="10" fillId="0" borderId="0" xfId="0" applyFont="1" applyFill="1" applyAlignment="1">
      <alignment/>
    </xf>
    <xf numFmtId="0" fontId="14" fillId="0" borderId="0" xfId="0" applyFont="1" applyAlignment="1">
      <alignment/>
    </xf>
    <xf numFmtId="5" fontId="0" fillId="0" borderId="0" xfId="0" applyNumberFormat="1" applyAlignment="1">
      <alignment/>
    </xf>
    <xf numFmtId="0" fontId="15" fillId="0" borderId="0" xfId="0" applyFont="1" applyAlignment="1">
      <alignment wrapText="1"/>
    </xf>
    <xf numFmtId="0" fontId="4" fillId="0" borderId="12" xfId="0" applyFont="1" applyBorder="1" applyAlignment="1">
      <alignment horizontal="centerContinuous"/>
    </xf>
    <xf numFmtId="43" fontId="10" fillId="0" borderId="1" xfId="15" applyFont="1" applyBorder="1" applyAlignment="1">
      <alignment/>
    </xf>
    <xf numFmtId="43" fontId="0" fillId="0" borderId="1" xfId="15" applyBorder="1" applyAlignment="1">
      <alignment/>
    </xf>
    <xf numFmtId="0" fontId="12" fillId="0" borderId="1" xfId="0" applyFont="1" applyBorder="1" applyAlignment="1">
      <alignment horizontal="center" wrapText="1"/>
    </xf>
    <xf numFmtId="43" fontId="10" fillId="0" borderId="13" xfId="15" applyFont="1" applyBorder="1" applyAlignment="1">
      <alignment horizontal="right"/>
    </xf>
    <xf numFmtId="165" fontId="0" fillId="0" borderId="1" xfId="15" applyNumberFormat="1" applyBorder="1" applyAlignment="1">
      <alignment/>
    </xf>
    <xf numFmtId="43" fontId="10" fillId="0" borderId="0" xfId="15" applyFont="1" applyBorder="1" applyAlignment="1">
      <alignment/>
    </xf>
    <xf numFmtId="0" fontId="1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3" fontId="0" fillId="0" borderId="1" xfId="24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6" xfId="0" applyFont="1" applyBorder="1" applyAlignment="1">
      <alignment/>
    </xf>
    <xf numFmtId="3" fontId="1" fillId="0" borderId="16" xfId="24" applyNumberFormat="1" applyFont="1" applyFill="1" applyBorder="1" applyAlignment="1">
      <alignment/>
    </xf>
    <xf numFmtId="165" fontId="12" fillId="0" borderId="1" xfId="15" applyNumberFormat="1" applyFont="1" applyBorder="1" applyAlignment="1">
      <alignment/>
    </xf>
    <xf numFmtId="43" fontId="10" fillId="0" borderId="1" xfId="15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165" fontId="10" fillId="0" borderId="0" xfId="15" applyNumberFormat="1" applyFont="1" applyBorder="1" applyAlignment="1">
      <alignment/>
    </xf>
    <xf numFmtId="43" fontId="10" fillId="0" borderId="0" xfId="15" applyFont="1" applyBorder="1" applyAlignment="1">
      <alignment horizontal="right"/>
    </xf>
    <xf numFmtId="165" fontId="12" fillId="0" borderId="0" xfId="15" applyNumberFormat="1" applyFont="1" applyBorder="1" applyAlignment="1">
      <alignment/>
    </xf>
    <xf numFmtId="43" fontId="12" fillId="0" borderId="0" xfId="15" applyFont="1" applyBorder="1" applyAlignment="1">
      <alignment horizontal="right"/>
    </xf>
    <xf numFmtId="43" fontId="10" fillId="0" borderId="0" xfId="15" applyFont="1" applyBorder="1" applyAlignment="1">
      <alignment horizontal="right" vertical="top"/>
    </xf>
    <xf numFmtId="43" fontId="10" fillId="0" borderId="0" xfId="15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3" fontId="0" fillId="0" borderId="1" xfId="24" applyNumberFormat="1" applyFont="1" applyFill="1" applyBorder="1" applyAlignment="1">
      <alignment horizontal="right"/>
    </xf>
    <xf numFmtId="165" fontId="10" fillId="0" borderId="1" xfId="15" applyNumberFormat="1" applyFont="1" applyBorder="1" applyAlignment="1">
      <alignment horizontal="right"/>
    </xf>
    <xf numFmtId="43" fontId="12" fillId="0" borderId="14" xfId="15" applyFont="1" applyBorder="1" applyAlignment="1">
      <alignment horizontal="right"/>
    </xf>
    <xf numFmtId="165" fontId="10" fillId="0" borderId="1" xfId="15" applyNumberFormat="1" applyFont="1" applyFill="1" applyBorder="1" applyAlignment="1">
      <alignment/>
    </xf>
    <xf numFmtId="43" fontId="10" fillId="0" borderId="15" xfId="15" applyFont="1" applyBorder="1" applyAlignment="1">
      <alignment/>
    </xf>
    <xf numFmtId="165" fontId="10" fillId="0" borderId="15" xfId="15" applyNumberFormat="1" applyFont="1" applyFill="1" applyBorder="1" applyAlignment="1">
      <alignment/>
    </xf>
    <xf numFmtId="165" fontId="10" fillId="0" borderId="15" xfId="15" applyNumberFormat="1" applyFont="1" applyBorder="1" applyAlignment="1">
      <alignment/>
    </xf>
    <xf numFmtId="0" fontId="12" fillId="0" borderId="14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165" fontId="10" fillId="0" borderId="15" xfId="15" applyNumberFormat="1" applyFont="1" applyBorder="1" applyAlignment="1">
      <alignment horizontal="right"/>
    </xf>
    <xf numFmtId="43" fontId="10" fillId="0" borderId="15" xfId="15" applyFont="1" applyBorder="1" applyAlignment="1">
      <alignment horizontal="right"/>
    </xf>
    <xf numFmtId="165" fontId="12" fillId="0" borderId="14" xfId="15" applyNumberFormat="1" applyFont="1" applyBorder="1" applyAlignment="1">
      <alignment horizontal="right"/>
    </xf>
    <xf numFmtId="165" fontId="12" fillId="0" borderId="15" xfId="15" applyNumberFormat="1" applyFont="1" applyBorder="1" applyAlignment="1">
      <alignment horizontal="right"/>
    </xf>
    <xf numFmtId="43" fontId="10" fillId="0" borderId="0" xfId="15" applyFont="1" applyAlignment="1">
      <alignment horizontal="right"/>
    </xf>
    <xf numFmtId="165" fontId="12" fillId="0" borderId="14" xfId="15" applyNumberFormat="1" applyFont="1" applyFill="1" applyBorder="1" applyAlignment="1">
      <alignment horizontal="center" wrapText="1"/>
    </xf>
    <xf numFmtId="165" fontId="12" fillId="0" borderId="14" xfId="15" applyNumberFormat="1" applyFont="1" applyFill="1" applyBorder="1" applyAlignment="1">
      <alignment/>
    </xf>
    <xf numFmtId="43" fontId="12" fillId="0" borderId="14" xfId="15" applyNumberFormat="1" applyFont="1" applyFill="1" applyBorder="1" applyAlignment="1">
      <alignment/>
    </xf>
    <xf numFmtId="165" fontId="12" fillId="0" borderId="15" xfId="15" applyNumberFormat="1" applyFont="1" applyFill="1" applyBorder="1" applyAlignment="1">
      <alignment/>
    </xf>
    <xf numFmtId="43" fontId="12" fillId="0" borderId="15" xfId="15" applyNumberFormat="1" applyFont="1" applyFill="1" applyBorder="1" applyAlignment="1">
      <alignment/>
    </xf>
    <xf numFmtId="165" fontId="12" fillId="0" borderId="1" xfId="15" applyNumberFormat="1" applyFont="1" applyFill="1" applyBorder="1" applyAlignment="1">
      <alignment/>
    </xf>
    <xf numFmtId="165" fontId="12" fillId="0" borderId="14" xfId="15" applyNumberFormat="1" applyFont="1" applyBorder="1" applyAlignment="1">
      <alignment/>
    </xf>
    <xf numFmtId="165" fontId="12" fillId="0" borderId="15" xfId="15" applyNumberFormat="1" applyFont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43" fontId="10" fillId="0" borderId="13" xfId="15" applyFont="1" applyBorder="1" applyAlignment="1">
      <alignment horizontal="right" vertical="top"/>
    </xf>
    <xf numFmtId="165" fontId="10" fillId="0" borderId="15" xfId="15" applyNumberFormat="1" applyFont="1" applyFill="1" applyBorder="1" applyAlignment="1">
      <alignment horizontal="right"/>
    </xf>
    <xf numFmtId="165" fontId="10" fillId="0" borderId="1" xfId="15" applyNumberFormat="1" applyFont="1" applyFill="1" applyBorder="1" applyAlignment="1">
      <alignment horizontal="right"/>
    </xf>
    <xf numFmtId="165" fontId="12" fillId="0" borderId="14" xfId="15" applyNumberFormat="1" applyFont="1" applyFill="1" applyBorder="1" applyAlignment="1">
      <alignment horizontal="right"/>
    </xf>
    <xf numFmtId="165" fontId="12" fillId="0" borderId="15" xfId="15" applyNumberFormat="1" applyFont="1" applyFill="1" applyBorder="1" applyAlignment="1">
      <alignment horizontal="right"/>
    </xf>
    <xf numFmtId="43" fontId="10" fillId="0" borderId="0" xfId="15" applyFont="1" applyFill="1" applyAlignment="1">
      <alignment horizontal="right"/>
    </xf>
    <xf numFmtId="0" fontId="12" fillId="0" borderId="18" xfId="0" applyFont="1" applyBorder="1" applyAlignment="1">
      <alignment horizontal="center" wrapText="1"/>
    </xf>
    <xf numFmtId="165" fontId="10" fillId="0" borderId="19" xfId="15" applyNumberFormat="1" applyFont="1" applyBorder="1" applyAlignment="1">
      <alignment horizontal="right"/>
    </xf>
    <xf numFmtId="165" fontId="10" fillId="0" borderId="20" xfId="15" applyNumberFormat="1" applyFont="1" applyBorder="1" applyAlignment="1">
      <alignment horizontal="right"/>
    </xf>
    <xf numFmtId="165" fontId="12" fillId="0" borderId="18" xfId="15" applyNumberFormat="1" applyFont="1" applyBorder="1" applyAlignment="1">
      <alignment horizontal="right"/>
    </xf>
    <xf numFmtId="165" fontId="12" fillId="0" borderId="19" xfId="15" applyNumberFormat="1" applyFont="1" applyBorder="1" applyAlignment="1">
      <alignment horizontal="right"/>
    </xf>
    <xf numFmtId="43" fontId="10" fillId="0" borderId="21" xfId="15" applyFont="1" applyBorder="1" applyAlignment="1">
      <alignment/>
    </xf>
    <xf numFmtId="43" fontId="10" fillId="0" borderId="22" xfId="15" applyFont="1" applyBorder="1" applyAlignment="1">
      <alignment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165" fontId="10" fillId="0" borderId="25" xfId="15" applyNumberFormat="1" applyFont="1" applyBorder="1" applyAlignment="1">
      <alignment horizontal="right"/>
    </xf>
    <xf numFmtId="165" fontId="10" fillId="0" borderId="21" xfId="15" applyNumberFormat="1" applyFont="1" applyBorder="1" applyAlignment="1">
      <alignment horizontal="right"/>
    </xf>
    <xf numFmtId="165" fontId="10" fillId="0" borderId="26" xfId="15" applyNumberFormat="1" applyFont="1" applyBorder="1" applyAlignment="1">
      <alignment horizontal="right"/>
    </xf>
    <xf numFmtId="165" fontId="10" fillId="0" borderId="22" xfId="15" applyNumberFormat="1" applyFont="1" applyBorder="1" applyAlignment="1">
      <alignment horizontal="right"/>
    </xf>
    <xf numFmtId="165" fontId="12" fillId="0" borderId="23" xfId="15" applyNumberFormat="1" applyFont="1" applyBorder="1" applyAlignment="1">
      <alignment horizontal="right"/>
    </xf>
    <xf numFmtId="165" fontId="12" fillId="0" borderId="24" xfId="15" applyNumberFormat="1" applyFont="1" applyBorder="1" applyAlignment="1">
      <alignment horizontal="right"/>
    </xf>
    <xf numFmtId="165" fontId="12" fillId="0" borderId="25" xfId="15" applyNumberFormat="1" applyFont="1" applyBorder="1" applyAlignment="1">
      <alignment horizontal="right"/>
    </xf>
    <xf numFmtId="165" fontId="12" fillId="0" borderId="21" xfId="15" applyNumberFormat="1" applyFont="1" applyBorder="1" applyAlignment="1">
      <alignment horizontal="right"/>
    </xf>
    <xf numFmtId="3" fontId="0" fillId="0" borderId="0" xfId="15" applyNumberFormat="1" applyAlignment="1">
      <alignment/>
    </xf>
    <xf numFmtId="44" fontId="0" fillId="0" borderId="0" xfId="17" applyAlignment="1">
      <alignment/>
    </xf>
    <xf numFmtId="44" fontId="0" fillId="0" borderId="0" xfId="17" applyFill="1" applyBorder="1" applyAlignment="1">
      <alignment/>
    </xf>
    <xf numFmtId="4" fontId="0" fillId="0" borderId="0" xfId="0" applyNumberFormat="1" applyFill="1" applyAlignment="1">
      <alignment/>
    </xf>
    <xf numFmtId="7" fontId="4" fillId="0" borderId="0" xfId="0" applyNumberFormat="1" applyFont="1" applyFill="1" applyAlignment="1">
      <alignment horizontal="centerContinuous"/>
    </xf>
    <xf numFmtId="44" fontId="1" fillId="0" borderId="0" xfId="17" applyFont="1" applyFill="1" applyBorder="1" applyAlignment="1">
      <alignment horizontal="right"/>
    </xf>
    <xf numFmtId="44" fontId="1" fillId="0" borderId="0" xfId="17" applyFont="1" applyFill="1" applyBorder="1" applyAlignment="1">
      <alignment horizontal="left"/>
    </xf>
    <xf numFmtId="7" fontId="4" fillId="0" borderId="0" xfId="0" applyNumberFormat="1" applyFont="1" applyFill="1" applyBorder="1" applyAlignment="1">
      <alignment horizontal="right"/>
    </xf>
    <xf numFmtId="44" fontId="0" fillId="0" borderId="0" xfId="17" applyFill="1" applyBorder="1" applyAlignment="1">
      <alignment horizontal="right"/>
    </xf>
    <xf numFmtId="7" fontId="4" fillId="0" borderId="0" xfId="0" applyNumberFormat="1" applyFont="1" applyFill="1" applyBorder="1" applyAlignment="1" applyProtection="1">
      <alignment horizontal="left"/>
      <protection/>
    </xf>
    <xf numFmtId="44" fontId="4" fillId="0" borderId="0" xfId="17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7" fontId="4" fillId="0" borderId="0" xfId="0" applyNumberFormat="1" applyFont="1" applyFill="1" applyBorder="1" applyAlignment="1" applyProtection="1">
      <alignment horizontal="right"/>
      <protection/>
    </xf>
    <xf numFmtId="44" fontId="4" fillId="0" borderId="0" xfId="17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horizontal="right"/>
    </xf>
    <xf numFmtId="7" fontId="4" fillId="0" borderId="0" xfId="0" applyNumberFormat="1" applyFont="1" applyFill="1" applyBorder="1" applyAlignment="1" applyProtection="1">
      <alignment horizontal="center"/>
      <protection/>
    </xf>
    <xf numFmtId="7" fontId="0" fillId="0" borderId="0" xfId="0" applyNumberFormat="1" applyFill="1" applyBorder="1" applyAlignment="1">
      <alignment/>
    </xf>
    <xf numFmtId="7" fontId="0" fillId="0" borderId="0" xfId="0" applyNumberFormat="1" applyFill="1" applyBorder="1" applyAlignment="1" applyProtection="1">
      <alignment/>
      <protection/>
    </xf>
    <xf numFmtId="7" fontId="5" fillId="0" borderId="0" xfId="0" applyNumberFormat="1" applyFont="1" applyFill="1" applyBorder="1" applyAlignment="1" applyProtection="1">
      <alignment/>
      <protection/>
    </xf>
    <xf numFmtId="171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3" fontId="0" fillId="0" borderId="3" xfId="0" applyNumberFormat="1" applyFill="1" applyBorder="1" applyAlignment="1">
      <alignment/>
    </xf>
    <xf numFmtId="44" fontId="5" fillId="0" borderId="0" xfId="17" applyFont="1" applyFill="1" applyBorder="1" applyAlignment="1" applyProtection="1">
      <alignment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17" applyFill="1" applyBorder="1" applyAlignment="1" applyProtection="1">
      <alignment/>
      <protection/>
    </xf>
    <xf numFmtId="7" fontId="1" fillId="0" borderId="0" xfId="0" applyNumberFormat="1" applyFont="1" applyFill="1" applyBorder="1" applyAlignment="1" applyProtection="1">
      <alignment/>
      <protection/>
    </xf>
    <xf numFmtId="44" fontId="1" fillId="0" borderId="0" xfId="17" applyFont="1" applyFill="1" applyBorder="1" applyAlignment="1" applyProtection="1">
      <alignment/>
      <protection/>
    </xf>
    <xf numFmtId="7" fontId="4" fillId="0" borderId="0" xfId="0" applyNumberFormat="1" applyFont="1" applyAlignment="1">
      <alignment horizontal="right"/>
    </xf>
    <xf numFmtId="3" fontId="4" fillId="0" borderId="0" xfId="15" applyNumberFormat="1" applyFont="1" applyAlignment="1" applyProtection="1">
      <alignment horizontal="right"/>
      <protection/>
    </xf>
    <xf numFmtId="8" fontId="4" fillId="0" borderId="0" xfId="0" applyNumberFormat="1" applyFont="1" applyAlignment="1">
      <alignment horizontal="right"/>
    </xf>
    <xf numFmtId="44" fontId="0" fillId="0" borderId="0" xfId="17" applyNumberFormat="1" applyAlignment="1">
      <alignment/>
    </xf>
    <xf numFmtId="178" fontId="0" fillId="0" borderId="0" xfId="17" applyNumberFormat="1" applyAlignment="1">
      <alignment/>
    </xf>
    <xf numFmtId="43" fontId="12" fillId="0" borderId="24" xfId="15" applyFont="1" applyBorder="1" applyAlignment="1">
      <alignment horizontal="right"/>
    </xf>
    <xf numFmtId="0" fontId="12" fillId="0" borderId="22" xfId="0" applyFont="1" applyBorder="1" applyAlignment="1">
      <alignment horizontal="center" wrapText="1"/>
    </xf>
    <xf numFmtId="0" fontId="4" fillId="0" borderId="4" xfId="0" applyFont="1" applyBorder="1" applyAlignment="1">
      <alignment vertical="center"/>
    </xf>
    <xf numFmtId="3" fontId="4" fillId="0" borderId="0" xfId="15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70" fontId="4" fillId="0" borderId="4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0" fontId="4" fillId="0" borderId="27" xfId="0" applyNumberFormat="1" applyFont="1" applyBorder="1" applyAlignment="1" applyProtection="1">
      <alignment horizontal="left" vertical="center"/>
      <protection/>
    </xf>
    <xf numFmtId="3" fontId="4" fillId="0" borderId="5" xfId="15" applyNumberFormat="1" applyFont="1" applyBorder="1" applyAlignment="1" applyProtection="1">
      <alignment horizontal="center" vertical="center"/>
      <protection/>
    </xf>
    <xf numFmtId="4" fontId="4" fillId="0" borderId="5" xfId="0" applyNumberFormat="1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3" fontId="0" fillId="0" borderId="29" xfId="15" applyNumberFormat="1" applyBorder="1" applyAlignment="1" applyProtection="1">
      <alignment vertical="center"/>
      <protection/>
    </xf>
    <xf numFmtId="4" fontId="0" fillId="0" borderId="29" xfId="0" applyNumberFormat="1" applyBorder="1" applyAlignment="1">
      <alignment vertical="center"/>
    </xf>
    <xf numFmtId="7" fontId="0" fillId="0" borderId="30" xfId="0" applyNumberFormat="1" applyBorder="1" applyAlignment="1">
      <alignment vertical="center"/>
    </xf>
    <xf numFmtId="0" fontId="5" fillId="2" borderId="31" xfId="0" applyFont="1" applyFill="1" applyBorder="1" applyAlignment="1" applyProtection="1">
      <alignment horizontal="left" vertical="center" wrapText="1"/>
      <protection/>
    </xf>
    <xf numFmtId="3" fontId="5" fillId="2" borderId="17" xfId="15" applyNumberFormat="1" applyFont="1" applyFill="1" applyBorder="1" applyAlignment="1" applyProtection="1">
      <alignment vertical="center"/>
      <protection/>
    </xf>
    <xf numFmtId="3" fontId="5" fillId="2" borderId="17" xfId="0" applyNumberFormat="1" applyFont="1" applyFill="1" applyBorder="1" applyAlignment="1" applyProtection="1">
      <alignment vertical="center"/>
      <protection/>
    </xf>
    <xf numFmtId="7" fontId="5" fillId="2" borderId="32" xfId="0" applyNumberFormat="1" applyFont="1" applyFill="1" applyBorder="1" applyAlignment="1" applyProtection="1">
      <alignment vertical="center"/>
      <protection/>
    </xf>
    <xf numFmtId="0" fontId="5" fillId="5" borderId="31" xfId="0" applyFont="1" applyFill="1" applyBorder="1" applyAlignment="1" applyProtection="1">
      <alignment horizontal="left" vertical="center" wrapText="1"/>
      <protection/>
    </xf>
    <xf numFmtId="3" fontId="5" fillId="5" borderId="1" xfId="0" applyNumberFormat="1" applyFont="1" applyFill="1" applyBorder="1" applyAlignment="1" applyProtection="1">
      <alignment vertical="center"/>
      <protection/>
    </xf>
    <xf numFmtId="178" fontId="5" fillId="5" borderId="1" xfId="17" applyNumberFormat="1" applyFont="1" applyFill="1" applyBorder="1" applyAlignment="1" applyProtection="1">
      <alignment vertical="center"/>
      <protection/>
    </xf>
    <xf numFmtId="178" fontId="5" fillId="5" borderId="22" xfId="17" applyNumberFormat="1" applyFont="1" applyFill="1" applyBorder="1" applyAlignment="1" applyProtection="1">
      <alignment vertical="center"/>
      <protection/>
    </xf>
    <xf numFmtId="0" fontId="5" fillId="5" borderId="28" xfId="0" applyFont="1" applyFill="1" applyBorder="1" applyAlignment="1" applyProtection="1">
      <alignment horizontal="left" vertical="center" wrapText="1"/>
      <protection/>
    </xf>
    <xf numFmtId="3" fontId="5" fillId="5" borderId="33" xfId="0" applyNumberFormat="1" applyFont="1" applyFill="1" applyBorder="1" applyAlignment="1" applyProtection="1">
      <alignment vertical="center"/>
      <protection/>
    </xf>
    <xf numFmtId="178" fontId="5" fillId="5" borderId="33" xfId="17" applyNumberFormat="1" applyFont="1" applyFill="1" applyBorder="1" applyAlignment="1" applyProtection="1">
      <alignment vertical="center"/>
      <protection/>
    </xf>
    <xf numFmtId="178" fontId="5" fillId="5" borderId="34" xfId="17" applyNumberFormat="1" applyFont="1" applyFill="1" applyBorder="1" applyAlignment="1" applyProtection="1">
      <alignment vertical="center"/>
      <protection/>
    </xf>
    <xf numFmtId="178" fontId="5" fillId="2" borderId="35" xfId="17" applyNumberFormat="1" applyFont="1" applyFill="1" applyBorder="1" applyAlignment="1" applyProtection="1">
      <alignment vertical="center"/>
      <protection/>
    </xf>
    <xf numFmtId="178" fontId="5" fillId="2" borderId="36" xfId="17" applyNumberFormat="1" applyFont="1" applyFill="1" applyBorder="1" applyAlignment="1" applyProtection="1">
      <alignment vertical="center"/>
      <protection/>
    </xf>
    <xf numFmtId="0" fontId="5" fillId="5" borderId="28" xfId="0" applyFont="1" applyFill="1" applyBorder="1" applyAlignment="1" applyProtection="1">
      <alignment horizontal="left" vertical="center"/>
      <protection/>
    </xf>
    <xf numFmtId="0" fontId="7" fillId="5" borderId="28" xfId="0" applyFont="1" applyFill="1" applyBorder="1" applyAlignment="1" applyProtection="1">
      <alignment horizontal="left" vertical="center" wrapText="1"/>
      <protection/>
    </xf>
    <xf numFmtId="3" fontId="7" fillId="5" borderId="33" xfId="0" applyNumberFormat="1" applyFont="1" applyFill="1" applyBorder="1" applyAlignment="1" applyProtection="1">
      <alignment vertical="center"/>
      <protection/>
    </xf>
    <xf numFmtId="178" fontId="7" fillId="5" borderId="33" xfId="17" applyNumberFormat="1" applyFont="1" applyFill="1" applyBorder="1" applyAlignment="1" applyProtection="1">
      <alignment vertical="center"/>
      <protection/>
    </xf>
    <xf numFmtId="178" fontId="7" fillId="5" borderId="34" xfId="17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8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7" fontId="4" fillId="0" borderId="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8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/>
    </xf>
    <xf numFmtId="8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70" fontId="4" fillId="0" borderId="5" xfId="0" applyNumberFormat="1" applyFont="1" applyBorder="1" applyAlignment="1" applyProtection="1">
      <alignment horizontal="center" vertical="center"/>
      <protection/>
    </xf>
    <xf numFmtId="8" fontId="4" fillId="0" borderId="5" xfId="0" applyNumberFormat="1" applyFont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44" fontId="0" fillId="0" borderId="29" xfId="17" applyBorder="1" applyAlignment="1">
      <alignment vertical="center"/>
    </xf>
    <xf numFmtId="0" fontId="6" fillId="0" borderId="37" xfId="0" applyFont="1" applyBorder="1" applyAlignment="1" applyProtection="1">
      <alignment horizontal="left" vertical="center"/>
      <protection/>
    </xf>
    <xf numFmtId="0" fontId="0" fillId="0" borderId="3" xfId="0" applyBorder="1" applyAlignment="1">
      <alignment vertical="center"/>
    </xf>
    <xf numFmtId="44" fontId="0" fillId="0" borderId="3" xfId="17" applyBorder="1" applyAlignment="1">
      <alignment vertical="center"/>
    </xf>
    <xf numFmtId="3" fontId="0" fillId="0" borderId="3" xfId="15" applyNumberFormat="1" applyBorder="1" applyAlignment="1" applyProtection="1">
      <alignment vertical="center"/>
      <protection/>
    </xf>
    <xf numFmtId="4" fontId="0" fillId="0" borderId="3" xfId="0" applyNumberFormat="1" applyBorder="1" applyAlignment="1">
      <alignment vertical="center"/>
    </xf>
    <xf numFmtId="7" fontId="0" fillId="0" borderId="38" xfId="0" applyNumberFormat="1" applyBorder="1" applyAlignment="1">
      <alignment vertical="center"/>
    </xf>
    <xf numFmtId="0" fontId="6" fillId="0" borderId="39" xfId="0" applyFont="1" applyBorder="1" applyAlignment="1" applyProtection="1">
      <alignment horizontal="left" vertical="center"/>
      <protection/>
    </xf>
    <xf numFmtId="0" fontId="0" fillId="0" borderId="35" xfId="0" applyBorder="1" applyAlignment="1">
      <alignment vertical="center"/>
    </xf>
    <xf numFmtId="44" fontId="0" fillId="0" borderId="35" xfId="17" applyBorder="1" applyAlignment="1">
      <alignment vertical="center"/>
    </xf>
    <xf numFmtId="3" fontId="0" fillId="0" borderId="35" xfId="15" applyNumberFormat="1" applyBorder="1" applyAlignment="1" applyProtection="1">
      <alignment vertical="center"/>
      <protection/>
    </xf>
    <xf numFmtId="4" fontId="0" fillId="0" borderId="35" xfId="0" applyNumberFormat="1" applyBorder="1" applyAlignment="1">
      <alignment vertical="center"/>
    </xf>
    <xf numFmtId="7" fontId="0" fillId="0" borderId="36" xfId="0" applyNumberFormat="1" applyBorder="1" applyAlignment="1">
      <alignment vertical="center"/>
    </xf>
    <xf numFmtId="0" fontId="0" fillId="2" borderId="31" xfId="0" applyFill="1" applyBorder="1" applyAlignment="1" applyProtection="1">
      <alignment horizontal="left" vertical="center" wrapText="1"/>
      <protection/>
    </xf>
    <xf numFmtId="39" fontId="0" fillId="2" borderId="17" xfId="0" applyNumberFormat="1" applyFill="1" applyBorder="1" applyAlignment="1" applyProtection="1">
      <alignment vertical="center"/>
      <protection/>
    </xf>
    <xf numFmtId="44" fontId="0" fillId="2" borderId="17" xfId="17" applyFill="1" applyBorder="1" applyAlignment="1" applyProtection="1">
      <alignment vertical="center"/>
      <protection/>
    </xf>
    <xf numFmtId="3" fontId="0" fillId="2" borderId="17" xfId="15" applyNumberFormat="1" applyFill="1" applyBorder="1" applyAlignment="1" applyProtection="1">
      <alignment vertical="center"/>
      <protection/>
    </xf>
    <xf numFmtId="4" fontId="0" fillId="2" borderId="17" xfId="0" applyNumberFormat="1" applyFill="1" applyBorder="1" applyAlignment="1" applyProtection="1">
      <alignment vertical="center"/>
      <protection/>
    </xf>
    <xf numFmtId="7" fontId="0" fillId="2" borderId="32" xfId="0" applyNumberFormat="1" applyFill="1" applyBorder="1" applyAlignment="1" applyProtection="1">
      <alignment vertical="center"/>
      <protection/>
    </xf>
    <xf numFmtId="0" fontId="0" fillId="5" borderId="31" xfId="0" applyFill="1" applyBorder="1" applyAlignment="1" applyProtection="1">
      <alignment horizontal="left" vertical="center" wrapText="1"/>
      <protection/>
    </xf>
    <xf numFmtId="4" fontId="5" fillId="5" borderId="40" xfId="0" applyNumberFormat="1" applyFont="1" applyFill="1" applyBorder="1" applyAlignment="1" applyProtection="1">
      <alignment vertical="center"/>
      <protection/>
    </xf>
    <xf numFmtId="44" fontId="5" fillId="5" borderId="40" xfId="17" applyFont="1" applyFill="1" applyBorder="1" applyAlignment="1" applyProtection="1">
      <alignment vertical="center"/>
      <protection/>
    </xf>
    <xf numFmtId="44" fontId="5" fillId="5" borderId="41" xfId="17" applyFont="1" applyFill="1" applyBorder="1" applyAlignment="1" applyProtection="1">
      <alignment vertical="center"/>
      <protection/>
    </xf>
    <xf numFmtId="165" fontId="5" fillId="5" borderId="41" xfId="15" applyNumberFormat="1" applyFont="1" applyFill="1" applyBorder="1" applyAlignment="1" applyProtection="1">
      <alignment horizontal="right" vertical="center"/>
      <protection/>
    </xf>
    <xf numFmtId="3" fontId="5" fillId="5" borderId="42" xfId="15" applyNumberFormat="1" applyFont="1" applyFill="1" applyBorder="1" applyAlignment="1" applyProtection="1">
      <alignment vertical="center"/>
      <protection/>
    </xf>
    <xf numFmtId="3" fontId="5" fillId="5" borderId="40" xfId="0" applyNumberFormat="1" applyFont="1" applyFill="1" applyBorder="1" applyAlignment="1" applyProtection="1">
      <alignment vertical="center"/>
      <protection/>
    </xf>
    <xf numFmtId="178" fontId="5" fillId="5" borderId="43" xfId="17" applyNumberFormat="1" applyFont="1" applyFill="1" applyBorder="1" applyAlignment="1" applyProtection="1">
      <alignment vertical="center"/>
      <protection/>
    </xf>
    <xf numFmtId="178" fontId="5" fillId="5" borderId="44" xfId="17" applyNumberFormat="1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horizontal="left" vertical="center" wrapText="1"/>
      <protection/>
    </xf>
    <xf numFmtId="44" fontId="0" fillId="0" borderId="40" xfId="17" applyBorder="1" applyAlignment="1" applyProtection="1">
      <alignment vertical="center"/>
      <protection/>
    </xf>
    <xf numFmtId="44" fontId="0" fillId="0" borderId="41" xfId="17" applyBorder="1" applyAlignment="1" applyProtection="1">
      <alignment vertical="center"/>
      <protection/>
    </xf>
    <xf numFmtId="178" fontId="0" fillId="0" borderId="44" xfId="17" applyNumberFormat="1" applyBorder="1" applyAlignment="1" applyProtection="1">
      <alignment vertical="center"/>
      <protection/>
    </xf>
    <xf numFmtId="0" fontId="0" fillId="0" borderId="42" xfId="0" applyBorder="1" applyAlignment="1" applyProtection="1">
      <alignment horizontal="left" vertical="center" wrapText="1"/>
      <protection/>
    </xf>
    <xf numFmtId="44" fontId="0" fillId="0" borderId="46" xfId="17" applyBorder="1" applyAlignment="1" applyProtection="1">
      <alignment vertical="center"/>
      <protection/>
    </xf>
    <xf numFmtId="3" fontId="0" fillId="0" borderId="35" xfId="0" applyNumberFormat="1" applyBorder="1" applyAlignment="1">
      <alignment vertical="center"/>
    </xf>
    <xf numFmtId="165" fontId="0" fillId="0" borderId="35" xfId="15" applyNumberFormat="1" applyBorder="1" applyAlignment="1">
      <alignment vertical="center"/>
    </xf>
    <xf numFmtId="3" fontId="0" fillId="2" borderId="17" xfId="0" applyNumberFormat="1" applyFill="1" applyBorder="1" applyAlignment="1" applyProtection="1">
      <alignment vertical="center"/>
      <protection/>
    </xf>
    <xf numFmtId="165" fontId="0" fillId="2" borderId="17" xfId="15" applyNumberFormat="1" applyFill="1" applyBorder="1" applyAlignment="1" applyProtection="1">
      <alignment vertical="center"/>
      <protection/>
    </xf>
    <xf numFmtId="165" fontId="5" fillId="5" borderId="42" xfId="15" applyNumberFormat="1" applyFont="1" applyFill="1" applyBorder="1" applyAlignment="1" applyProtection="1">
      <alignment vertical="center"/>
      <protection/>
    </xf>
    <xf numFmtId="165" fontId="5" fillId="5" borderId="40" xfId="15" applyNumberFormat="1" applyFont="1" applyFill="1" applyBorder="1" applyAlignment="1" applyProtection="1">
      <alignment vertical="center"/>
      <protection/>
    </xf>
    <xf numFmtId="44" fontId="0" fillId="0" borderId="47" xfId="17" applyBorder="1" applyAlignment="1" applyProtection="1">
      <alignment vertical="center"/>
      <protection/>
    </xf>
    <xf numFmtId="0" fontId="6" fillId="5" borderId="39" xfId="0" applyFont="1" applyFill="1" applyBorder="1" applyAlignment="1" applyProtection="1">
      <alignment horizontal="left" vertical="center"/>
      <protection/>
    </xf>
    <xf numFmtId="0" fontId="0" fillId="5" borderId="35" xfId="0" applyFill="1" applyBorder="1" applyAlignment="1">
      <alignment vertical="center"/>
    </xf>
    <xf numFmtId="44" fontId="0" fillId="5" borderId="35" xfId="17" applyFill="1" applyBorder="1" applyAlignment="1">
      <alignment vertical="center"/>
    </xf>
    <xf numFmtId="3" fontId="0" fillId="5" borderId="35" xfId="15" applyNumberFormat="1" applyFill="1" applyBorder="1" applyAlignment="1" applyProtection="1">
      <alignment vertical="center"/>
      <protection/>
    </xf>
    <xf numFmtId="3" fontId="0" fillId="5" borderId="35" xfId="0" applyNumberFormat="1" applyFill="1" applyBorder="1" applyAlignment="1">
      <alignment vertical="center"/>
    </xf>
    <xf numFmtId="7" fontId="0" fillId="5" borderId="36" xfId="0" applyNumberFormat="1" applyFill="1" applyBorder="1" applyAlignment="1">
      <alignment vertical="center"/>
    </xf>
    <xf numFmtId="0" fontId="0" fillId="5" borderId="37" xfId="0" applyFill="1" applyBorder="1" applyAlignment="1" applyProtection="1">
      <alignment horizontal="left" vertical="center" wrapText="1"/>
      <protection/>
    </xf>
    <xf numFmtId="39" fontId="5" fillId="5" borderId="17" xfId="0" applyNumberFormat="1" applyFont="1" applyFill="1" applyBorder="1" applyAlignment="1" applyProtection="1">
      <alignment vertical="center"/>
      <protection/>
    </xf>
    <xf numFmtId="44" fontId="5" fillId="5" borderId="32" xfId="17" applyFont="1" applyFill="1" applyBorder="1" applyAlignment="1" applyProtection="1">
      <alignment vertical="center"/>
      <protection/>
    </xf>
    <xf numFmtId="3" fontId="5" fillId="5" borderId="17" xfId="15" applyNumberFormat="1" applyFont="1" applyFill="1" applyBorder="1" applyAlignment="1" applyProtection="1">
      <alignment vertical="center"/>
      <protection/>
    </xf>
    <xf numFmtId="44" fontId="0" fillId="0" borderId="32" xfId="17" applyBorder="1" applyAlignment="1" applyProtection="1">
      <alignment vertical="center"/>
      <protection/>
    </xf>
    <xf numFmtId="39" fontId="5" fillId="5" borderId="48" xfId="0" applyNumberFormat="1" applyFont="1" applyFill="1" applyBorder="1" applyAlignment="1" applyProtection="1">
      <alignment vertical="center"/>
      <protection/>
    </xf>
    <xf numFmtId="44" fontId="0" fillId="0" borderId="49" xfId="17" applyBorder="1" applyAlignment="1" applyProtection="1">
      <alignment vertical="center"/>
      <protection/>
    </xf>
    <xf numFmtId="3" fontId="5" fillId="5" borderId="13" xfId="15" applyNumberFormat="1" applyFont="1" applyFill="1" applyBorder="1" applyAlignment="1" applyProtection="1">
      <alignment vertical="center"/>
      <protection/>
    </xf>
    <xf numFmtId="0" fontId="0" fillId="5" borderId="28" xfId="0" applyFill="1" applyBorder="1" applyAlignment="1" applyProtection="1">
      <alignment horizontal="left" vertical="center" wrapText="1"/>
      <protection/>
    </xf>
    <xf numFmtId="39" fontId="0" fillId="5" borderId="29" xfId="0" applyNumberFormat="1" applyFill="1" applyBorder="1" applyAlignment="1" applyProtection="1">
      <alignment vertical="center"/>
      <protection/>
    </xf>
    <xf numFmtId="44" fontId="0" fillId="5" borderId="29" xfId="17" applyFill="1" applyBorder="1" applyAlignment="1" applyProtection="1">
      <alignment vertical="center"/>
      <protection/>
    </xf>
    <xf numFmtId="3" fontId="5" fillId="5" borderId="50" xfId="15" applyNumberFormat="1" applyFont="1" applyFill="1" applyBorder="1" applyAlignment="1" applyProtection="1">
      <alignment vertical="center"/>
      <protection/>
    </xf>
    <xf numFmtId="178" fontId="5" fillId="5" borderId="33" xfId="17" applyNumberFormat="1" applyFont="1" applyFill="1" applyBorder="1" applyAlignment="1" applyProtection="1">
      <alignment vertical="center"/>
      <protection/>
    </xf>
    <xf numFmtId="178" fontId="0" fillId="5" borderId="34" xfId="17" applyNumberFormat="1" applyFill="1" applyBorder="1" applyAlignment="1" applyProtection="1">
      <alignment vertical="center"/>
      <protection/>
    </xf>
    <xf numFmtId="0" fontId="1" fillId="5" borderId="31" xfId="0" applyFont="1" applyFill="1" applyBorder="1" applyAlignment="1" applyProtection="1">
      <alignment horizontal="left" vertical="center" wrapText="1"/>
      <protection/>
    </xf>
    <xf numFmtId="39" fontId="0" fillId="5" borderId="17" xfId="0" applyNumberFormat="1" applyFill="1" applyBorder="1" applyAlignment="1" applyProtection="1">
      <alignment vertical="center"/>
      <protection/>
    </xf>
    <xf numFmtId="44" fontId="0" fillId="5" borderId="17" xfId="17" applyFill="1" applyBorder="1" applyAlignment="1" applyProtection="1">
      <alignment vertical="center"/>
      <protection/>
    </xf>
    <xf numFmtId="3" fontId="0" fillId="5" borderId="3" xfId="15" applyNumberFormat="1" applyFill="1" applyBorder="1" applyAlignment="1" applyProtection="1">
      <alignment vertical="center"/>
      <protection/>
    </xf>
    <xf numFmtId="4" fontId="0" fillId="5" borderId="17" xfId="0" applyNumberFormat="1" applyFill="1" applyBorder="1" applyAlignment="1" applyProtection="1">
      <alignment vertical="center"/>
      <protection/>
    </xf>
    <xf numFmtId="7" fontId="0" fillId="5" borderId="32" xfId="0" applyNumberFormat="1" applyFill="1" applyBorder="1" applyAlignment="1" applyProtection="1">
      <alignment vertical="center"/>
      <protection/>
    </xf>
    <xf numFmtId="0" fontId="1" fillId="5" borderId="39" xfId="0" applyFont="1" applyFill="1" applyBorder="1" applyAlignment="1" applyProtection="1">
      <alignment horizontal="left" vertical="center" wrapText="1"/>
      <protection/>
    </xf>
    <xf numFmtId="39" fontId="0" fillId="5" borderId="35" xfId="0" applyNumberFormat="1" applyFill="1" applyBorder="1" applyAlignment="1" applyProtection="1">
      <alignment vertical="center"/>
      <protection/>
    </xf>
    <xf numFmtId="44" fontId="0" fillId="5" borderId="35" xfId="17" applyFill="1" applyBorder="1" applyAlignment="1" applyProtection="1">
      <alignment vertical="center"/>
      <protection/>
    </xf>
    <xf numFmtId="4" fontId="0" fillId="5" borderId="35" xfId="0" applyNumberFormat="1" applyFill="1" applyBorder="1" applyAlignment="1" applyProtection="1">
      <alignment vertical="center"/>
      <protection/>
    </xf>
    <xf numFmtId="7" fontId="0" fillId="5" borderId="36" xfId="0" applyNumberFormat="1" applyFill="1" applyBorder="1" applyAlignment="1" applyProtection="1">
      <alignment vertical="center"/>
      <protection/>
    </xf>
    <xf numFmtId="165" fontId="5" fillId="5" borderId="41" xfId="15" applyNumberFormat="1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horizontal="left" vertical="center" wrapText="1"/>
      <protection/>
    </xf>
    <xf numFmtId="44" fontId="0" fillId="0" borderId="1" xfId="17" applyBorder="1" applyAlignment="1" applyProtection="1">
      <alignment vertical="center"/>
      <protection/>
    </xf>
    <xf numFmtId="3" fontId="0" fillId="5" borderId="17" xfId="0" applyNumberFormat="1" applyFill="1" applyBorder="1" applyAlignment="1" applyProtection="1">
      <alignment vertical="center"/>
      <protection/>
    </xf>
    <xf numFmtId="3" fontId="0" fillId="0" borderId="17" xfId="15" applyNumberFormat="1" applyBorder="1" applyAlignment="1" applyProtection="1">
      <alignment vertical="center"/>
      <protection/>
    </xf>
    <xf numFmtId="0" fontId="8" fillId="0" borderId="39" xfId="0" applyFont="1" applyFill="1" applyBorder="1" applyAlignment="1" applyProtection="1">
      <alignment horizontal="left" vertical="center"/>
      <protection/>
    </xf>
    <xf numFmtId="0" fontId="5" fillId="0" borderId="35" xfId="0" applyFont="1" applyFill="1" applyBorder="1" applyAlignment="1">
      <alignment vertical="center"/>
    </xf>
    <xf numFmtId="44" fontId="5" fillId="0" borderId="35" xfId="17" applyFont="1" applyFill="1" applyBorder="1" applyAlignment="1">
      <alignment vertical="center"/>
    </xf>
    <xf numFmtId="3" fontId="5" fillId="0" borderId="35" xfId="15" applyNumberFormat="1" applyFont="1" applyFill="1" applyBorder="1" applyAlignment="1" applyProtection="1">
      <alignment vertical="center"/>
      <protection/>
    </xf>
    <xf numFmtId="3" fontId="5" fillId="0" borderId="35" xfId="0" applyNumberFormat="1" applyFont="1" applyFill="1" applyBorder="1" applyAlignment="1">
      <alignment vertical="center"/>
    </xf>
    <xf numFmtId="7" fontId="5" fillId="0" borderId="36" xfId="0" applyNumberFormat="1" applyFont="1" applyFill="1" applyBorder="1" applyAlignment="1">
      <alignment vertical="center"/>
    </xf>
    <xf numFmtId="39" fontId="5" fillId="2" borderId="17" xfId="0" applyNumberFormat="1" applyFont="1" applyFill="1" applyBorder="1" applyAlignment="1" applyProtection="1">
      <alignment vertical="center"/>
      <protection/>
    </xf>
    <xf numFmtId="44" fontId="5" fillId="2" borderId="17" xfId="17" applyFont="1" applyFill="1" applyBorder="1" applyAlignment="1" applyProtection="1">
      <alignment vertical="center"/>
      <protection/>
    </xf>
    <xf numFmtId="0" fontId="5" fillId="5" borderId="37" xfId="0" applyFont="1" applyFill="1" applyBorder="1" applyAlignment="1" applyProtection="1">
      <alignment horizontal="left" vertical="center" wrapText="1"/>
      <protection/>
    </xf>
    <xf numFmtId="39" fontId="5" fillId="5" borderId="3" xfId="0" applyNumberFormat="1" applyFont="1" applyFill="1" applyBorder="1" applyAlignment="1" applyProtection="1">
      <alignment vertical="center"/>
      <protection/>
    </xf>
    <xf numFmtId="44" fontId="5" fillId="5" borderId="17" xfId="17" applyFont="1" applyFill="1" applyBorder="1" applyAlignment="1" applyProtection="1">
      <alignment vertical="center"/>
      <protection/>
    </xf>
    <xf numFmtId="3" fontId="5" fillId="5" borderId="20" xfId="15" applyNumberFormat="1" applyFont="1" applyFill="1" applyBorder="1" applyAlignment="1" applyProtection="1">
      <alignment vertical="center"/>
      <protection/>
    </xf>
    <xf numFmtId="44" fontId="5" fillId="5" borderId="13" xfId="17" applyFont="1" applyFill="1" applyBorder="1" applyAlignment="1" applyProtection="1">
      <alignment vertical="center"/>
      <protection/>
    </xf>
    <xf numFmtId="44" fontId="5" fillId="5" borderId="51" xfId="17" applyFont="1" applyFill="1" applyBorder="1" applyAlignment="1" applyProtection="1">
      <alignment vertical="center"/>
      <protection/>
    </xf>
    <xf numFmtId="39" fontId="5" fillId="5" borderId="29" xfId="0" applyNumberFormat="1" applyFont="1" applyFill="1" applyBorder="1" applyAlignment="1" applyProtection="1">
      <alignment vertical="center"/>
      <protection/>
    </xf>
    <xf numFmtId="44" fontId="5" fillId="5" borderId="29" xfId="17" applyFont="1" applyFill="1" applyBorder="1" applyAlignment="1" applyProtection="1">
      <alignment vertical="center"/>
      <protection/>
    </xf>
    <xf numFmtId="44" fontId="5" fillId="5" borderId="30" xfId="17" applyFont="1" applyFill="1" applyBorder="1" applyAlignment="1" applyProtection="1">
      <alignment vertical="center"/>
      <protection/>
    </xf>
    <xf numFmtId="3" fontId="5" fillId="5" borderId="52" xfId="15" applyNumberFormat="1" applyFont="1" applyFill="1" applyBorder="1" applyAlignment="1" applyProtection="1">
      <alignment vertical="center"/>
      <protection/>
    </xf>
    <xf numFmtId="0" fontId="1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44" fontId="0" fillId="0" borderId="2" xfId="17" applyBorder="1" applyAlignment="1">
      <alignment vertical="center"/>
    </xf>
    <xf numFmtId="3" fontId="0" fillId="0" borderId="2" xfId="15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8" fontId="0" fillId="5" borderId="17" xfId="0" applyNumberFormat="1" applyFill="1" applyBorder="1" applyAlignment="1" applyProtection="1">
      <alignment vertical="center"/>
      <protection/>
    </xf>
    <xf numFmtId="3" fontId="0" fillId="5" borderId="17" xfId="15" applyNumberFormat="1" applyFill="1" applyBorder="1" applyAlignment="1" applyProtection="1">
      <alignment vertical="center"/>
      <protection/>
    </xf>
    <xf numFmtId="8" fontId="0" fillId="5" borderId="35" xfId="0" applyNumberFormat="1" applyFill="1" applyBorder="1" applyAlignment="1" applyProtection="1">
      <alignment vertical="center"/>
      <protection/>
    </xf>
    <xf numFmtId="8" fontId="0" fillId="2" borderId="17" xfId="0" applyNumberFormat="1" applyFill="1" applyBorder="1" applyAlignment="1" applyProtection="1">
      <alignment vertical="center"/>
      <protection/>
    </xf>
    <xf numFmtId="3" fontId="0" fillId="0" borderId="40" xfId="15" applyNumberFormat="1" applyBorder="1" applyAlignment="1" applyProtection="1">
      <alignment vertical="center"/>
      <protection/>
    </xf>
    <xf numFmtId="44" fontId="0" fillId="0" borderId="40" xfId="17" applyBorder="1" applyAlignment="1" applyProtection="1">
      <alignment vertical="center"/>
      <protection/>
    </xf>
    <xf numFmtId="44" fontId="0" fillId="0" borderId="41" xfId="17" applyBorder="1" applyAlignment="1" applyProtection="1">
      <alignment vertical="center"/>
      <protection/>
    </xf>
    <xf numFmtId="165" fontId="0" fillId="0" borderId="41" xfId="15" applyNumberFormat="1" applyBorder="1" applyAlignment="1" applyProtection="1">
      <alignment vertical="center"/>
      <protection/>
    </xf>
    <xf numFmtId="3" fontId="0" fillId="0" borderId="40" xfId="0" applyNumberFormat="1" applyBorder="1" applyAlignment="1" applyProtection="1">
      <alignment vertical="center"/>
      <protection/>
    </xf>
    <xf numFmtId="3" fontId="0" fillId="0" borderId="1" xfId="0" applyNumberFormat="1" applyBorder="1" applyAlignment="1" applyProtection="1">
      <alignment vertical="center"/>
      <protection/>
    </xf>
    <xf numFmtId="44" fontId="0" fillId="0" borderId="1" xfId="17" applyBorder="1" applyAlignment="1" applyProtection="1">
      <alignment vertical="center"/>
      <protection/>
    </xf>
    <xf numFmtId="165" fontId="0" fillId="0" borderId="1" xfId="15" applyNumberFormat="1" applyBorder="1" applyAlignment="1" applyProtection="1">
      <alignment vertical="center"/>
      <protection/>
    </xf>
    <xf numFmtId="44" fontId="0" fillId="2" borderId="17" xfId="17" applyFill="1" applyBorder="1" applyAlignment="1" applyProtection="1">
      <alignment vertical="center"/>
      <protection/>
    </xf>
    <xf numFmtId="3" fontId="5" fillId="2" borderId="17" xfId="0" applyNumberFormat="1" applyFont="1" applyFill="1" applyBorder="1" applyAlignment="1" applyProtection="1">
      <alignment vertical="center"/>
      <protection/>
    </xf>
    <xf numFmtId="178" fontId="0" fillId="2" borderId="32" xfId="17" applyNumberFormat="1" applyFill="1" applyBorder="1" applyAlignment="1" applyProtection="1">
      <alignment vertical="center"/>
      <protection/>
    </xf>
    <xf numFmtId="44" fontId="0" fillId="0" borderId="46" xfId="17" applyBorder="1" applyAlignment="1" applyProtection="1">
      <alignment vertical="center"/>
      <protection/>
    </xf>
    <xf numFmtId="0" fontId="0" fillId="0" borderId="53" xfId="0" applyBorder="1" applyAlignment="1" applyProtection="1">
      <alignment horizontal="left" vertical="center" wrapText="1"/>
      <protection/>
    </xf>
    <xf numFmtId="3" fontId="0" fillId="0" borderId="14" xfId="0" applyNumberFormat="1" applyBorder="1" applyAlignment="1" applyProtection="1">
      <alignment vertical="center"/>
      <protection/>
    </xf>
    <xf numFmtId="44" fontId="0" fillId="0" borderId="14" xfId="17" applyBorder="1" applyAlignment="1" applyProtection="1">
      <alignment vertical="center"/>
      <protection/>
    </xf>
    <xf numFmtId="3" fontId="5" fillId="5" borderId="54" xfId="0" applyNumberFormat="1" applyFont="1" applyFill="1" applyBorder="1" applyAlignment="1" applyProtection="1">
      <alignment vertical="center"/>
      <protection/>
    </xf>
    <xf numFmtId="178" fontId="0" fillId="0" borderId="55" xfId="17" applyNumberFormat="1" applyBorder="1" applyAlignment="1" applyProtection="1">
      <alignment vertical="center"/>
      <protection/>
    </xf>
    <xf numFmtId="44" fontId="0" fillId="5" borderId="17" xfId="17" applyFill="1" applyBorder="1" applyAlignment="1" applyProtection="1">
      <alignment vertical="center"/>
      <protection/>
    </xf>
    <xf numFmtId="178" fontId="0" fillId="5" borderId="36" xfId="17" applyNumberFormat="1" applyFill="1" applyBorder="1" applyAlignment="1" applyProtection="1">
      <alignment vertical="center"/>
      <protection/>
    </xf>
    <xf numFmtId="3" fontId="0" fillId="5" borderId="35" xfId="0" applyNumberFormat="1" applyFill="1" applyBorder="1" applyAlignment="1" applyProtection="1">
      <alignment vertical="center"/>
      <protection/>
    </xf>
    <xf numFmtId="44" fontId="0" fillId="5" borderId="35" xfId="17" applyFill="1" applyBorder="1" applyAlignment="1" applyProtection="1">
      <alignment vertical="center"/>
      <protection/>
    </xf>
    <xf numFmtId="178" fontId="5" fillId="0" borderId="36" xfId="17" applyNumberFormat="1" applyFont="1" applyFill="1" applyBorder="1" applyAlignment="1">
      <alignment vertical="center"/>
    </xf>
    <xf numFmtId="44" fontId="5" fillId="2" borderId="32" xfId="17" applyFont="1" applyFill="1" applyBorder="1" applyAlignment="1" applyProtection="1">
      <alignment vertical="center"/>
      <protection/>
    </xf>
    <xf numFmtId="3" fontId="5" fillId="2" borderId="20" xfId="15" applyNumberFormat="1" applyFont="1" applyFill="1" applyBorder="1" applyAlignment="1" applyProtection="1">
      <alignment vertical="center"/>
      <protection/>
    </xf>
    <xf numFmtId="3" fontId="5" fillId="2" borderId="1" xfId="0" applyNumberFormat="1" applyFont="1" applyFill="1" applyBorder="1" applyAlignment="1" applyProtection="1">
      <alignment vertical="center"/>
      <protection/>
    </xf>
    <xf numFmtId="178" fontId="5" fillId="2" borderId="22" xfId="17" applyNumberFormat="1" applyFont="1" applyFill="1" applyBorder="1" applyAlignment="1" applyProtection="1">
      <alignment vertical="center"/>
      <protection/>
    </xf>
    <xf numFmtId="178" fontId="5" fillId="5" borderId="56" xfId="17" applyNumberFormat="1" applyFont="1" applyFill="1" applyBorder="1" applyAlignment="1" applyProtection="1">
      <alignment vertical="center"/>
      <protection/>
    </xf>
    <xf numFmtId="3" fontId="5" fillId="5" borderId="52" xfId="15" applyNumberFormat="1" applyFont="1" applyFill="1" applyBorder="1" applyAlignment="1" applyProtection="1">
      <alignment vertical="center"/>
      <protection/>
    </xf>
    <xf numFmtId="0" fontId="5" fillId="2" borderId="39" xfId="0" applyFont="1" applyFill="1" applyBorder="1" applyAlignment="1" applyProtection="1">
      <alignment horizontal="left" vertical="center" wrapText="1"/>
      <protection/>
    </xf>
    <xf numFmtId="39" fontId="5" fillId="2" borderId="35" xfId="0" applyNumberFormat="1" applyFont="1" applyFill="1" applyBorder="1" applyAlignment="1" applyProtection="1">
      <alignment vertical="center"/>
      <protection/>
    </xf>
    <xf numFmtId="44" fontId="5" fillId="2" borderId="35" xfId="17" applyFont="1" applyFill="1" applyBorder="1" applyAlignment="1" applyProtection="1">
      <alignment vertical="center"/>
      <protection/>
    </xf>
    <xf numFmtId="178" fontId="5" fillId="2" borderId="1" xfId="17" applyNumberFormat="1" applyFont="1" applyFill="1" applyBorder="1" applyAlignment="1" applyProtection="1">
      <alignment vertical="center"/>
      <protection/>
    </xf>
    <xf numFmtId="44" fontId="5" fillId="5" borderId="3" xfId="17" applyFont="1" applyFill="1" applyBorder="1" applyAlignment="1" applyProtection="1">
      <alignment vertical="center"/>
      <protection/>
    </xf>
    <xf numFmtId="44" fontId="5" fillId="5" borderId="38" xfId="17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horizontal="left" vertical="center" wrapText="1"/>
      <protection/>
    </xf>
    <xf numFmtId="39" fontId="5" fillId="0" borderId="29" xfId="0" applyNumberFormat="1" applyFont="1" applyFill="1" applyBorder="1" applyAlignment="1" applyProtection="1">
      <alignment vertical="center"/>
      <protection/>
    </xf>
    <xf numFmtId="44" fontId="5" fillId="0" borderId="29" xfId="17" applyFont="1" applyFill="1" applyBorder="1" applyAlignment="1" applyProtection="1">
      <alignment vertical="center"/>
      <protection/>
    </xf>
    <xf numFmtId="44" fontId="5" fillId="0" borderId="30" xfId="17" applyFont="1" applyFill="1" applyBorder="1" applyAlignment="1" applyProtection="1">
      <alignment vertical="center"/>
      <protection/>
    </xf>
    <xf numFmtId="3" fontId="5" fillId="0" borderId="52" xfId="15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178" fontId="5" fillId="0" borderId="33" xfId="17" applyNumberFormat="1" applyFont="1" applyFill="1" applyBorder="1" applyAlignment="1" applyProtection="1">
      <alignment vertical="center"/>
      <protection/>
    </xf>
    <xf numFmtId="178" fontId="5" fillId="0" borderId="34" xfId="17" applyNumberFormat="1" applyFont="1" applyFill="1" applyBorder="1" applyAlignment="1" applyProtection="1">
      <alignment vertical="center"/>
      <protection/>
    </xf>
    <xf numFmtId="39" fontId="7" fillId="5" borderId="29" xfId="0" applyNumberFormat="1" applyFont="1" applyFill="1" applyBorder="1" applyAlignment="1" applyProtection="1">
      <alignment vertical="center"/>
      <protection/>
    </xf>
    <xf numFmtId="44" fontId="7" fillId="5" borderId="29" xfId="17" applyFont="1" applyFill="1" applyBorder="1" applyAlignment="1" applyProtection="1">
      <alignment vertical="center"/>
      <protection/>
    </xf>
    <xf numFmtId="44" fontId="7" fillId="5" borderId="30" xfId="17" applyFont="1" applyFill="1" applyBorder="1" applyAlignment="1" applyProtection="1">
      <alignment vertical="center"/>
      <protection/>
    </xf>
    <xf numFmtId="3" fontId="7" fillId="5" borderId="52" xfId="15" applyNumberFormat="1" applyFont="1" applyFill="1" applyBorder="1" applyAlignment="1" applyProtection="1">
      <alignment vertical="center"/>
      <protection/>
    </xf>
    <xf numFmtId="8" fontId="0" fillId="0" borderId="3" xfId="0" applyNumberFormat="1" applyBorder="1" applyAlignment="1">
      <alignment vertical="center"/>
    </xf>
    <xf numFmtId="3" fontId="0" fillId="0" borderId="3" xfId="15" applyNumberFormat="1" applyBorder="1" applyAlignment="1" applyProtection="1">
      <alignment vertical="center"/>
      <protection/>
    </xf>
    <xf numFmtId="8" fontId="0" fillId="0" borderId="35" xfId="0" applyNumberFormat="1" applyBorder="1" applyAlignment="1">
      <alignment vertical="center"/>
    </xf>
    <xf numFmtId="3" fontId="0" fillId="0" borderId="35" xfId="15" applyNumberFormat="1" applyBorder="1" applyAlignment="1" applyProtection="1">
      <alignment vertical="center"/>
      <protection/>
    </xf>
    <xf numFmtId="3" fontId="0" fillId="2" borderId="17" xfId="15" applyNumberFormat="1" applyFill="1" applyBorder="1" applyAlignment="1" applyProtection="1">
      <alignment vertical="center"/>
      <protection/>
    </xf>
    <xf numFmtId="164" fontId="5" fillId="5" borderId="40" xfId="15" applyNumberFormat="1" applyFont="1" applyFill="1" applyBorder="1" applyAlignment="1" applyProtection="1">
      <alignment vertical="center"/>
      <protection/>
    </xf>
    <xf numFmtId="44" fontId="5" fillId="5" borderId="44" xfId="17" applyFont="1" applyFill="1" applyBorder="1" applyAlignment="1" applyProtection="1">
      <alignment vertical="center"/>
      <protection/>
    </xf>
    <xf numFmtId="164" fontId="0" fillId="0" borderId="40" xfId="15" applyNumberFormat="1" applyBorder="1" applyAlignment="1" applyProtection="1">
      <alignment vertical="center"/>
      <protection/>
    </xf>
    <xf numFmtId="164" fontId="0" fillId="2" borderId="17" xfId="15" applyNumberFormat="1" applyFill="1" applyBorder="1" applyAlignment="1" applyProtection="1">
      <alignment vertical="center"/>
      <protection/>
    </xf>
    <xf numFmtId="165" fontId="0" fillId="2" borderId="17" xfId="15" applyNumberFormat="1" applyFill="1" applyBorder="1" applyAlignment="1" applyProtection="1">
      <alignment vertical="center"/>
      <protection/>
    </xf>
    <xf numFmtId="165" fontId="5" fillId="2" borderId="17" xfId="15" applyNumberFormat="1" applyFont="1" applyFill="1" applyBorder="1" applyAlignment="1" applyProtection="1">
      <alignment vertical="center"/>
      <protection/>
    </xf>
    <xf numFmtId="178" fontId="5" fillId="2" borderId="17" xfId="17" applyNumberFormat="1" applyFont="1" applyFill="1" applyBorder="1" applyAlignment="1" applyProtection="1">
      <alignment vertical="center"/>
      <protection/>
    </xf>
    <xf numFmtId="178" fontId="0" fillId="2" borderId="17" xfId="17" applyNumberForma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horizontal="left" vertical="center" wrapText="1"/>
      <protection/>
    </xf>
    <xf numFmtId="164" fontId="0" fillId="0" borderId="14" xfId="15" applyNumberFormat="1" applyBorder="1" applyAlignment="1" applyProtection="1">
      <alignment vertical="center"/>
      <protection/>
    </xf>
    <xf numFmtId="44" fontId="0" fillId="0" borderId="24" xfId="17" applyBorder="1" applyAlignment="1" applyProtection="1">
      <alignment vertical="center"/>
      <protection/>
    </xf>
    <xf numFmtId="164" fontId="0" fillId="0" borderId="35" xfId="15" applyNumberFormat="1" applyBorder="1" applyAlignment="1">
      <alignment vertical="center"/>
    </xf>
    <xf numFmtId="165" fontId="0" fillId="0" borderId="35" xfId="15" applyNumberFormat="1" applyBorder="1" applyAlignment="1" applyProtection="1">
      <alignment vertical="center"/>
      <protection/>
    </xf>
    <xf numFmtId="165" fontId="0" fillId="0" borderId="35" xfId="15" applyNumberFormat="1" applyBorder="1" applyAlignment="1">
      <alignment vertical="center"/>
    </xf>
    <xf numFmtId="178" fontId="0" fillId="0" borderId="35" xfId="17" applyNumberFormat="1" applyBorder="1" applyAlignment="1">
      <alignment vertical="center"/>
    </xf>
    <xf numFmtId="178" fontId="0" fillId="0" borderId="36" xfId="17" applyNumberFormat="1" applyBorder="1" applyAlignment="1">
      <alignment vertical="center"/>
    </xf>
    <xf numFmtId="0" fontId="0" fillId="2" borderId="31" xfId="0" applyFont="1" applyFill="1" applyBorder="1" applyAlignment="1" applyProtection="1">
      <alignment horizontal="left" vertical="center" wrapText="1"/>
      <protection/>
    </xf>
    <xf numFmtId="44" fontId="5" fillId="5" borderId="40" xfId="17" applyNumberFormat="1" applyFont="1" applyFill="1" applyBorder="1" applyAlignment="1" applyProtection="1">
      <alignment vertical="center"/>
      <protection/>
    </xf>
    <xf numFmtId="44" fontId="5" fillId="5" borderId="41" xfId="17" applyNumberFormat="1" applyFont="1" applyFill="1" applyBorder="1" applyAlignment="1" applyProtection="1">
      <alignment vertical="center"/>
      <protection/>
    </xf>
    <xf numFmtId="44" fontId="0" fillId="0" borderId="40" xfId="17" applyNumberFormat="1" applyBorder="1" applyAlignment="1" applyProtection="1">
      <alignment vertical="center"/>
      <protection/>
    </xf>
    <xf numFmtId="44" fontId="0" fillId="0" borderId="41" xfId="17" applyNumberFormat="1" applyBorder="1" applyAlignment="1" applyProtection="1">
      <alignment vertical="center"/>
      <protection/>
    </xf>
    <xf numFmtId="44" fontId="0" fillId="0" borderId="47" xfId="17" applyNumberFormat="1" applyBorder="1" applyAlignment="1" applyProtection="1">
      <alignment vertical="center"/>
      <protection/>
    </xf>
    <xf numFmtId="44" fontId="0" fillId="2" borderId="17" xfId="17" applyNumberFormat="1" applyFill="1" applyBorder="1" applyAlignment="1" applyProtection="1">
      <alignment vertical="center"/>
      <protection/>
    </xf>
    <xf numFmtId="0" fontId="0" fillId="0" borderId="57" xfId="0" applyBorder="1" applyAlignment="1" applyProtection="1">
      <alignment horizontal="left" vertical="center" wrapText="1"/>
      <protection/>
    </xf>
    <xf numFmtId="44" fontId="0" fillId="0" borderId="58" xfId="17" applyNumberFormat="1" applyBorder="1" applyAlignment="1" applyProtection="1">
      <alignment vertical="center"/>
      <protection/>
    </xf>
    <xf numFmtId="44" fontId="0" fillId="0" borderId="59" xfId="17" applyNumberFormat="1" applyBorder="1" applyAlignment="1" applyProtection="1">
      <alignment vertical="center"/>
      <protection/>
    </xf>
    <xf numFmtId="44" fontId="0" fillId="0" borderId="60" xfId="17" applyNumberFormat="1" applyBorder="1" applyAlignment="1" applyProtection="1">
      <alignment vertical="center"/>
      <protection/>
    </xf>
    <xf numFmtId="44" fontId="0" fillId="0" borderId="14" xfId="17" applyNumberFormat="1" applyBorder="1" applyAlignment="1" applyProtection="1">
      <alignment vertical="center"/>
      <protection/>
    </xf>
    <xf numFmtId="44" fontId="0" fillId="0" borderId="35" xfId="17" applyNumberFormat="1" applyBorder="1" applyAlignment="1">
      <alignment vertical="center"/>
    </xf>
    <xf numFmtId="44" fontId="0" fillId="0" borderId="46" xfId="17" applyNumberFormat="1" applyBorder="1" applyAlignment="1" applyProtection="1">
      <alignment vertical="center"/>
      <protection/>
    </xf>
    <xf numFmtId="44" fontId="0" fillId="0" borderId="61" xfId="17" applyNumberFormat="1" applyBorder="1" applyAlignment="1" applyProtection="1">
      <alignment vertical="center"/>
      <protection/>
    </xf>
    <xf numFmtId="164" fontId="0" fillId="5" borderId="35" xfId="15" applyNumberFormat="1" applyFill="1" applyBorder="1" applyAlignment="1">
      <alignment vertical="center"/>
    </xf>
    <xf numFmtId="44" fontId="0" fillId="5" borderId="35" xfId="17" applyNumberFormat="1" applyFill="1" applyBorder="1" applyAlignment="1">
      <alignment vertical="center"/>
    </xf>
    <xf numFmtId="165" fontId="0" fillId="5" borderId="35" xfId="15" applyNumberFormat="1" applyFill="1" applyBorder="1" applyAlignment="1" applyProtection="1">
      <alignment vertical="center"/>
      <protection/>
    </xf>
    <xf numFmtId="165" fontId="0" fillId="5" borderId="35" xfId="15" applyNumberFormat="1" applyFill="1" applyBorder="1" applyAlignment="1">
      <alignment vertical="center"/>
    </xf>
    <xf numFmtId="178" fontId="0" fillId="5" borderId="35" xfId="17" applyNumberFormat="1" applyFill="1" applyBorder="1" applyAlignment="1">
      <alignment vertical="center"/>
    </xf>
    <xf numFmtId="178" fontId="0" fillId="5" borderId="36" xfId="17" applyNumberFormat="1" applyFill="1" applyBorder="1" applyAlignment="1">
      <alignment vertical="center"/>
    </xf>
    <xf numFmtId="44" fontId="0" fillId="2" borderId="38" xfId="17" applyNumberFormat="1" applyFill="1" applyBorder="1" applyAlignment="1" applyProtection="1">
      <alignment vertical="center"/>
      <protection/>
    </xf>
    <xf numFmtId="164" fontId="5" fillId="5" borderId="17" xfId="15" applyNumberFormat="1" applyFont="1" applyFill="1" applyBorder="1" applyAlignment="1" applyProtection="1">
      <alignment vertical="center"/>
      <protection/>
    </xf>
    <xf numFmtId="44" fontId="5" fillId="5" borderId="17" xfId="17" applyNumberFormat="1" applyFont="1" applyFill="1" applyBorder="1" applyAlignment="1" applyProtection="1">
      <alignment vertical="center"/>
      <protection/>
    </xf>
    <xf numFmtId="44" fontId="5" fillId="5" borderId="32" xfId="17" applyNumberFormat="1" applyFont="1" applyFill="1" applyBorder="1" applyAlignment="1" applyProtection="1">
      <alignment vertical="center"/>
      <protection/>
    </xf>
    <xf numFmtId="165" fontId="5" fillId="5" borderId="17" xfId="15" applyNumberFormat="1" applyFont="1" applyFill="1" applyBorder="1" applyAlignment="1" applyProtection="1">
      <alignment vertical="center"/>
      <protection/>
    </xf>
    <xf numFmtId="165" fontId="5" fillId="5" borderId="1" xfId="15" applyNumberFormat="1" applyFont="1" applyFill="1" applyBorder="1" applyAlignment="1" applyProtection="1">
      <alignment vertical="center"/>
      <protection/>
    </xf>
    <xf numFmtId="178" fontId="5" fillId="5" borderId="62" xfId="17" applyNumberFormat="1" applyFont="1" applyFill="1" applyBorder="1" applyAlignment="1" applyProtection="1">
      <alignment vertical="center"/>
      <protection/>
    </xf>
    <xf numFmtId="164" fontId="0" fillId="5" borderId="29" xfId="15" applyNumberFormat="1" applyFill="1" applyBorder="1" applyAlignment="1" applyProtection="1">
      <alignment vertical="center"/>
      <protection/>
    </xf>
    <xf numFmtId="44" fontId="0" fillId="5" borderId="29" xfId="17" applyNumberFormat="1" applyFill="1" applyBorder="1" applyAlignment="1" applyProtection="1">
      <alignment vertical="center"/>
      <protection/>
    </xf>
    <xf numFmtId="44" fontId="0" fillId="5" borderId="30" xfId="17" applyNumberFormat="1" applyFill="1" applyBorder="1" applyAlignment="1" applyProtection="1">
      <alignment vertical="center"/>
      <protection/>
    </xf>
    <xf numFmtId="165" fontId="0" fillId="5" borderId="29" xfId="15" applyNumberFormat="1" applyFill="1" applyBorder="1" applyAlignment="1" applyProtection="1">
      <alignment vertical="center"/>
      <protection/>
    </xf>
    <xf numFmtId="165" fontId="5" fillId="5" borderId="33" xfId="15" applyNumberFormat="1" applyFont="1" applyFill="1" applyBorder="1" applyAlignment="1" applyProtection="1">
      <alignment vertical="center"/>
      <protection/>
    </xf>
    <xf numFmtId="178" fontId="5" fillId="5" borderId="63" xfId="17" applyNumberFormat="1" applyFont="1" applyFill="1" applyBorder="1" applyAlignment="1" applyProtection="1">
      <alignment vertical="center"/>
      <protection/>
    </xf>
    <xf numFmtId="178" fontId="5" fillId="5" borderId="34" xfId="17" applyNumberFormat="1" applyFont="1" applyFill="1" applyBorder="1" applyAlignment="1" applyProtection="1">
      <alignment vertical="center"/>
      <protection/>
    </xf>
    <xf numFmtId="0" fontId="0" fillId="2" borderId="39" xfId="0" applyFill="1" applyBorder="1" applyAlignment="1" applyProtection="1">
      <alignment horizontal="left" vertical="center" wrapText="1"/>
      <protection/>
    </xf>
    <xf numFmtId="164" fontId="0" fillId="2" borderId="35" xfId="15" applyNumberFormat="1" applyFill="1" applyBorder="1" applyAlignment="1" applyProtection="1">
      <alignment vertical="center"/>
      <protection/>
    </xf>
    <xf numFmtId="44" fontId="0" fillId="2" borderId="35" xfId="17" applyNumberFormat="1" applyFill="1" applyBorder="1" applyAlignment="1" applyProtection="1">
      <alignment vertical="center"/>
      <protection/>
    </xf>
    <xf numFmtId="178" fontId="0" fillId="2" borderId="3" xfId="17" applyNumberFormat="1" applyFill="1" applyBorder="1" applyAlignment="1" applyProtection="1">
      <alignment vertical="center"/>
      <protection/>
    </xf>
    <xf numFmtId="178" fontId="0" fillId="2" borderId="38" xfId="17" applyNumberFormat="1" applyFill="1" applyBorder="1" applyAlignment="1" applyProtection="1">
      <alignment vertical="center"/>
      <protection/>
    </xf>
    <xf numFmtId="164" fontId="5" fillId="5" borderId="3" xfId="15" applyNumberFormat="1" applyFont="1" applyFill="1" applyBorder="1" applyAlignment="1" applyProtection="1">
      <alignment vertical="center"/>
      <protection/>
    </xf>
    <xf numFmtId="44" fontId="5" fillId="5" borderId="3" xfId="17" applyNumberFormat="1" applyFont="1" applyFill="1" applyBorder="1" applyAlignment="1" applyProtection="1">
      <alignment vertical="center"/>
      <protection/>
    </xf>
    <xf numFmtId="44" fontId="5" fillId="5" borderId="38" xfId="17" applyNumberFormat="1" applyFont="1" applyFill="1" applyBorder="1" applyAlignment="1" applyProtection="1">
      <alignment vertical="center"/>
      <protection/>
    </xf>
    <xf numFmtId="178" fontId="5" fillId="5" borderId="64" xfId="17" applyNumberFormat="1" applyFont="1" applyFill="1" applyBorder="1" applyAlignment="1" applyProtection="1">
      <alignment vertical="center"/>
      <protection/>
    </xf>
    <xf numFmtId="0" fontId="1" fillId="5" borderId="28" xfId="0" applyFont="1" applyFill="1" applyBorder="1" applyAlignment="1" applyProtection="1">
      <alignment horizontal="left" vertical="center" wrapText="1"/>
      <protection/>
    </xf>
    <xf numFmtId="164" fontId="1" fillId="5" borderId="29" xfId="15" applyNumberFormat="1" applyFont="1" applyFill="1" applyBorder="1" applyAlignment="1" applyProtection="1">
      <alignment vertical="center"/>
      <protection/>
    </xf>
    <xf numFmtId="44" fontId="1" fillId="5" borderId="29" xfId="17" applyNumberFormat="1" applyFont="1" applyFill="1" applyBorder="1" applyAlignment="1" applyProtection="1">
      <alignment vertical="center"/>
      <protection/>
    </xf>
    <xf numFmtId="44" fontId="1" fillId="5" borderId="30" xfId="17" applyNumberFormat="1" applyFont="1" applyFill="1" applyBorder="1" applyAlignment="1" applyProtection="1">
      <alignment vertical="center"/>
      <protection/>
    </xf>
    <xf numFmtId="165" fontId="7" fillId="5" borderId="52" xfId="15" applyNumberFormat="1" applyFont="1" applyFill="1" applyBorder="1" applyAlignment="1" applyProtection="1">
      <alignment vertical="center"/>
      <protection/>
    </xf>
    <xf numFmtId="165" fontId="7" fillId="5" borderId="33" xfId="15" applyNumberFormat="1" applyFont="1" applyFill="1" applyBorder="1" applyAlignment="1" applyProtection="1">
      <alignment vertical="center"/>
      <protection/>
    </xf>
    <xf numFmtId="178" fontId="7" fillId="5" borderId="63" xfId="17" applyNumberFormat="1" applyFont="1" applyFill="1" applyBorder="1" applyAlignment="1" applyProtection="1">
      <alignment vertical="center"/>
      <protection/>
    </xf>
    <xf numFmtId="178" fontId="1" fillId="5" borderId="34" xfId="17" applyNumberFormat="1" applyFont="1" applyFill="1" applyBorder="1" applyAlignment="1" applyProtection="1">
      <alignment vertical="center"/>
      <protection/>
    </xf>
    <xf numFmtId="165" fontId="5" fillId="0" borderId="41" xfId="15" applyNumberFormat="1" applyFont="1" applyFill="1" applyBorder="1" applyAlignment="1" applyProtection="1">
      <alignment vertical="center"/>
      <protection/>
    </xf>
    <xf numFmtId="165" fontId="12" fillId="0" borderId="18" xfId="15" applyNumberFormat="1" applyFont="1" applyBorder="1" applyAlignment="1">
      <alignment/>
    </xf>
    <xf numFmtId="165" fontId="10" fillId="0" borderId="22" xfId="15" applyNumberFormat="1" applyFont="1" applyBorder="1" applyAlignment="1">
      <alignment/>
    </xf>
    <xf numFmtId="165" fontId="12" fillId="0" borderId="24" xfId="15" applyNumberFormat="1" applyFont="1" applyBorder="1" applyAlignment="1">
      <alignment/>
    </xf>
    <xf numFmtId="165" fontId="12" fillId="0" borderId="21" xfId="15" applyNumberFormat="1" applyFont="1" applyBorder="1" applyAlignment="1">
      <alignment/>
    </xf>
    <xf numFmtId="43" fontId="10" fillId="0" borderId="20" xfId="15" applyFont="1" applyBorder="1" applyAlignment="1">
      <alignment horizontal="right"/>
    </xf>
    <xf numFmtId="43" fontId="10" fillId="0" borderId="19" xfId="15" applyFont="1" applyBorder="1" applyAlignment="1">
      <alignment horizontal="right"/>
    </xf>
    <xf numFmtId="43" fontId="12" fillId="0" borderId="18" xfId="15" applyFont="1" applyBorder="1" applyAlignment="1">
      <alignment horizontal="right"/>
    </xf>
    <xf numFmtId="0" fontId="1" fillId="0" borderId="32" xfId="0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wrapText="1"/>
    </xf>
    <xf numFmtId="43" fontId="10" fillId="0" borderId="26" xfId="15" applyFont="1" applyFill="1" applyBorder="1" applyAlignment="1">
      <alignment horizontal="right"/>
    </xf>
    <xf numFmtId="165" fontId="10" fillId="0" borderId="26" xfId="15" applyNumberFormat="1" applyFont="1" applyFill="1" applyBorder="1" applyAlignment="1">
      <alignment/>
    </xf>
    <xf numFmtId="43" fontId="10" fillId="0" borderId="22" xfId="15" applyFont="1" applyBorder="1" applyAlignment="1">
      <alignment horizontal="right"/>
    </xf>
    <xf numFmtId="165" fontId="12" fillId="0" borderId="23" xfId="15" applyNumberFormat="1" applyFont="1" applyBorder="1" applyAlignment="1">
      <alignment/>
    </xf>
    <xf numFmtId="43" fontId="10" fillId="0" borderId="25" xfId="15" applyFont="1" applyFill="1" applyBorder="1" applyAlignment="1">
      <alignment horizontal="right"/>
    </xf>
    <xf numFmtId="165" fontId="10" fillId="0" borderId="21" xfId="15" applyNumberFormat="1" applyFont="1" applyBorder="1" applyAlignment="1">
      <alignment/>
    </xf>
    <xf numFmtId="43" fontId="10" fillId="0" borderId="26" xfId="15" applyFont="1" applyFill="1" applyBorder="1" applyAlignment="1">
      <alignment/>
    </xf>
    <xf numFmtId="43" fontId="10" fillId="0" borderId="21" xfId="15" applyFont="1" applyBorder="1" applyAlignment="1">
      <alignment horizontal="right"/>
    </xf>
    <xf numFmtId="43" fontId="12" fillId="0" borderId="23" xfId="15" applyFont="1" applyFill="1" applyBorder="1" applyAlignment="1">
      <alignment horizontal="right"/>
    </xf>
    <xf numFmtId="165" fontId="12" fillId="0" borderId="25" xfId="15" applyNumberFormat="1" applyFont="1" applyFill="1" applyBorder="1" applyAlignment="1">
      <alignment/>
    </xf>
    <xf numFmtId="0" fontId="12" fillId="0" borderId="26" xfId="0" applyFont="1" applyBorder="1" applyAlignment="1">
      <alignment horizontal="center" wrapText="1"/>
    </xf>
    <xf numFmtId="43" fontId="10" fillId="0" borderId="26" xfId="15" applyFont="1" applyBorder="1" applyAlignment="1">
      <alignment horizontal="right"/>
    </xf>
    <xf numFmtId="165" fontId="10" fillId="0" borderId="26" xfId="15" applyNumberFormat="1" applyFont="1" applyBorder="1" applyAlignment="1">
      <alignment/>
    </xf>
    <xf numFmtId="43" fontId="10" fillId="0" borderId="25" xfId="15" applyFont="1" applyBorder="1" applyAlignment="1">
      <alignment horizontal="right"/>
    </xf>
    <xf numFmtId="43" fontId="12" fillId="0" borderId="23" xfId="15" applyFont="1" applyBorder="1" applyAlignment="1">
      <alignment horizontal="right"/>
    </xf>
    <xf numFmtId="165" fontId="12" fillId="0" borderId="25" xfId="15" applyNumberFormat="1" applyFont="1" applyBorder="1" applyAlignment="1">
      <alignment/>
    </xf>
    <xf numFmtId="165" fontId="12" fillId="0" borderId="20" xfId="15" applyNumberFormat="1" applyFont="1" applyBorder="1" applyAlignment="1">
      <alignment/>
    </xf>
    <xf numFmtId="165" fontId="12" fillId="0" borderId="22" xfId="15" applyNumberFormat="1" applyFont="1" applyBorder="1" applyAlignment="1">
      <alignment/>
    </xf>
    <xf numFmtId="0" fontId="12" fillId="0" borderId="49" xfId="0" applyFont="1" applyBorder="1" applyAlignment="1">
      <alignment horizontal="center" wrapText="1"/>
    </xf>
    <xf numFmtId="43" fontId="10" fillId="0" borderId="38" xfId="15" applyFont="1" applyBorder="1" applyAlignment="1">
      <alignment horizontal="right"/>
    </xf>
    <xf numFmtId="43" fontId="10" fillId="0" borderId="32" xfId="15" applyFont="1" applyBorder="1" applyAlignment="1">
      <alignment horizontal="right"/>
    </xf>
    <xf numFmtId="165" fontId="10" fillId="0" borderId="32" xfId="15" applyNumberFormat="1" applyFont="1" applyBorder="1" applyAlignment="1">
      <alignment/>
    </xf>
    <xf numFmtId="165" fontId="12" fillId="0" borderId="49" xfId="15" applyNumberFormat="1" applyFont="1" applyBorder="1" applyAlignment="1">
      <alignment/>
    </xf>
    <xf numFmtId="165" fontId="12" fillId="0" borderId="32" xfId="15" applyNumberFormat="1" applyFont="1" applyBorder="1" applyAlignment="1">
      <alignment/>
    </xf>
    <xf numFmtId="43" fontId="10" fillId="0" borderId="26" xfId="15" applyFont="1" applyBorder="1" applyAlignment="1">
      <alignment/>
    </xf>
    <xf numFmtId="165" fontId="12" fillId="0" borderId="26" xfId="15" applyNumberFormat="1" applyFont="1" applyBorder="1" applyAlignment="1">
      <alignment/>
    </xf>
    <xf numFmtId="165" fontId="10" fillId="0" borderId="38" xfId="15" applyNumberFormat="1" applyFont="1" applyBorder="1" applyAlignment="1">
      <alignment horizontal="right"/>
    </xf>
    <xf numFmtId="165" fontId="10" fillId="0" borderId="32" xfId="15" applyNumberFormat="1" applyFont="1" applyBorder="1" applyAlignment="1">
      <alignment horizontal="right"/>
    </xf>
    <xf numFmtId="43" fontId="10" fillId="0" borderId="32" xfId="15" applyFont="1" applyBorder="1" applyAlignment="1">
      <alignment/>
    </xf>
    <xf numFmtId="165" fontId="10" fillId="0" borderId="65" xfId="15" applyNumberFormat="1" applyFont="1" applyBorder="1" applyAlignment="1">
      <alignment horizontal="right"/>
    </xf>
    <xf numFmtId="165" fontId="10" fillId="0" borderId="66" xfId="15" applyNumberFormat="1" applyFont="1" applyBorder="1" applyAlignment="1">
      <alignment horizontal="right"/>
    </xf>
    <xf numFmtId="165" fontId="10" fillId="0" borderId="66" xfId="15" applyNumberFormat="1" applyFont="1" applyBorder="1" applyAlignment="1">
      <alignment/>
    </xf>
    <xf numFmtId="165" fontId="12" fillId="0" borderId="67" xfId="15" applyNumberFormat="1" applyFont="1" applyBorder="1" applyAlignment="1">
      <alignment/>
    </xf>
    <xf numFmtId="165" fontId="12" fillId="0" borderId="66" xfId="15" applyNumberFormat="1" applyFont="1" applyBorder="1" applyAlignment="1">
      <alignment/>
    </xf>
    <xf numFmtId="43" fontId="10" fillId="0" borderId="64" xfId="15" applyFont="1" applyBorder="1" applyAlignment="1">
      <alignment/>
    </xf>
    <xf numFmtId="43" fontId="12" fillId="0" borderId="68" xfId="15" applyFont="1" applyBorder="1" applyAlignment="1">
      <alignment horizontal="right"/>
    </xf>
    <xf numFmtId="43" fontId="10" fillId="0" borderId="69" xfId="15" applyFont="1" applyBorder="1" applyAlignment="1">
      <alignment/>
    </xf>
    <xf numFmtId="0" fontId="12" fillId="0" borderId="32" xfId="0" applyFont="1" applyBorder="1" applyAlignment="1">
      <alignment horizontal="center" wrapText="1"/>
    </xf>
    <xf numFmtId="43" fontId="10" fillId="0" borderId="38" xfId="15" applyFont="1" applyBorder="1" applyAlignment="1">
      <alignment/>
    </xf>
    <xf numFmtId="165" fontId="12" fillId="0" borderId="38" xfId="15" applyNumberFormat="1" applyFont="1" applyBorder="1" applyAlignment="1">
      <alignment/>
    </xf>
    <xf numFmtId="165" fontId="10" fillId="0" borderId="65" xfId="15" applyNumberFormat="1" applyFont="1" applyBorder="1" applyAlignment="1">
      <alignment/>
    </xf>
    <xf numFmtId="165" fontId="12" fillId="0" borderId="65" xfId="15" applyNumberFormat="1" applyFont="1" applyBorder="1" applyAlignment="1">
      <alignment/>
    </xf>
    <xf numFmtId="0" fontId="12" fillId="0" borderId="68" xfId="0" applyFont="1" applyBorder="1" applyAlignment="1">
      <alignment horizontal="center" wrapText="1"/>
    </xf>
    <xf numFmtId="165" fontId="10" fillId="0" borderId="69" xfId="15" applyNumberFormat="1" applyFont="1" applyBorder="1" applyAlignment="1">
      <alignment horizontal="right"/>
    </xf>
    <xf numFmtId="165" fontId="12" fillId="0" borderId="68" xfId="15" applyNumberFormat="1" applyFont="1" applyBorder="1" applyAlignment="1">
      <alignment/>
    </xf>
    <xf numFmtId="165" fontId="12" fillId="0" borderId="64" xfId="15" applyNumberFormat="1" applyFont="1" applyBorder="1" applyAlignment="1">
      <alignment/>
    </xf>
    <xf numFmtId="0" fontId="1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wrapText="1"/>
    </xf>
    <xf numFmtId="165" fontId="12" fillId="0" borderId="18" xfId="15" applyNumberFormat="1" applyFont="1" applyFill="1" applyBorder="1" applyAlignment="1">
      <alignment horizontal="center" wrapText="1"/>
    </xf>
    <xf numFmtId="165" fontId="10" fillId="0" borderId="19" xfId="15" applyNumberFormat="1" applyFont="1" applyFill="1" applyBorder="1" applyAlignment="1">
      <alignment horizontal="right"/>
    </xf>
    <xf numFmtId="165" fontId="10" fillId="0" borderId="20" xfId="15" applyNumberFormat="1" applyFont="1" applyFill="1" applyBorder="1" applyAlignment="1">
      <alignment horizontal="right"/>
    </xf>
    <xf numFmtId="165" fontId="12" fillId="0" borderId="18" xfId="15" applyNumberFormat="1" applyFont="1" applyFill="1" applyBorder="1" applyAlignment="1">
      <alignment horizontal="right"/>
    </xf>
    <xf numFmtId="165" fontId="12" fillId="0" borderId="19" xfId="15" applyNumberFormat="1" applyFont="1" applyFill="1" applyBorder="1" applyAlignment="1">
      <alignment horizontal="right"/>
    </xf>
    <xf numFmtId="165" fontId="12" fillId="0" borderId="67" xfId="15" applyNumberFormat="1" applyFont="1" applyBorder="1" applyAlignment="1">
      <alignment horizontal="right"/>
    </xf>
    <xf numFmtId="43" fontId="10" fillId="0" borderId="65" xfId="15" applyFont="1" applyBorder="1" applyAlignment="1">
      <alignment horizontal="right"/>
    </xf>
    <xf numFmtId="43" fontId="10" fillId="0" borderId="66" xfId="15" applyFont="1" applyBorder="1" applyAlignment="1">
      <alignment horizontal="right"/>
    </xf>
    <xf numFmtId="43" fontId="12" fillId="0" borderId="67" xfId="15" applyFont="1" applyBorder="1" applyAlignment="1">
      <alignment horizontal="right"/>
    </xf>
    <xf numFmtId="165" fontId="12" fillId="0" borderId="68" xfId="15" applyNumberFormat="1" applyFont="1" applyFill="1" applyBorder="1" applyAlignment="1">
      <alignment horizontal="center" wrapText="1"/>
    </xf>
    <xf numFmtId="165" fontId="10" fillId="0" borderId="69" xfId="15" applyNumberFormat="1" applyFont="1" applyFill="1" applyBorder="1" applyAlignment="1">
      <alignment horizontal="right"/>
    </xf>
    <xf numFmtId="165" fontId="12" fillId="0" borderId="68" xfId="15" applyNumberFormat="1" applyFont="1" applyFill="1" applyBorder="1" applyAlignment="1">
      <alignment horizontal="right"/>
    </xf>
    <xf numFmtId="43" fontId="10" fillId="0" borderId="69" xfId="15" applyFont="1" applyBorder="1" applyAlignment="1">
      <alignment horizontal="right"/>
    </xf>
    <xf numFmtId="43" fontId="10" fillId="0" borderId="64" xfId="15" applyFont="1" applyBorder="1" applyAlignment="1">
      <alignment horizontal="right"/>
    </xf>
    <xf numFmtId="165" fontId="12" fillId="0" borderId="68" xfId="15" applyNumberFormat="1" applyFont="1" applyBorder="1" applyAlignment="1">
      <alignment horizontal="right"/>
    </xf>
    <xf numFmtId="165" fontId="10" fillId="0" borderId="64" xfId="15" applyNumberFormat="1" applyFont="1" applyFill="1" applyBorder="1" applyAlignment="1">
      <alignment horizontal="right"/>
    </xf>
    <xf numFmtId="165" fontId="12" fillId="0" borderId="69" xfId="15" applyNumberFormat="1" applyFont="1" applyFill="1" applyBorder="1" applyAlignment="1">
      <alignment horizontal="right"/>
    </xf>
    <xf numFmtId="165" fontId="12" fillId="0" borderId="23" xfId="15" applyNumberFormat="1" applyFont="1" applyFill="1" applyBorder="1" applyAlignment="1">
      <alignment horizontal="center" wrapText="1"/>
    </xf>
    <xf numFmtId="165" fontId="10" fillId="0" borderId="25" xfId="15" applyNumberFormat="1" applyFont="1" applyFill="1" applyBorder="1" applyAlignment="1">
      <alignment horizontal="right"/>
    </xf>
    <xf numFmtId="165" fontId="10" fillId="0" borderId="26" xfId="15" applyNumberFormat="1" applyFont="1" applyFill="1" applyBorder="1" applyAlignment="1">
      <alignment horizontal="right"/>
    </xf>
    <xf numFmtId="165" fontId="12" fillId="0" borderId="23" xfId="15" applyNumberFormat="1" applyFont="1" applyFill="1" applyBorder="1" applyAlignment="1">
      <alignment horizontal="right"/>
    </xf>
    <xf numFmtId="165" fontId="12" fillId="0" borderId="25" xfId="15" applyNumberFormat="1" applyFont="1" applyFill="1" applyBorder="1" applyAlignment="1">
      <alignment horizontal="right"/>
    </xf>
    <xf numFmtId="3" fontId="5" fillId="0" borderId="40" xfId="0" applyNumberFormat="1" applyFont="1" applyFill="1" applyBorder="1" applyAlignment="1" applyProtection="1">
      <alignment vertical="center"/>
      <protection/>
    </xf>
    <xf numFmtId="3" fontId="5" fillId="0" borderId="54" xfId="0" applyNumberFormat="1" applyFont="1" applyFill="1" applyBorder="1" applyAlignment="1" applyProtection="1">
      <alignment vertical="center"/>
      <protection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  <xf numFmtId="43" fontId="1" fillId="0" borderId="0" xfId="0" applyNumberFormat="1" applyFont="1" applyAlignment="1">
      <alignment/>
    </xf>
    <xf numFmtId="43" fontId="0" fillId="0" borderId="15" xfId="15" applyFont="1" applyBorder="1" applyAlignment="1">
      <alignment/>
    </xf>
    <xf numFmtId="165" fontId="0" fillId="0" borderId="15" xfId="15" applyNumberFormat="1" applyBorder="1" applyAlignment="1">
      <alignment/>
    </xf>
    <xf numFmtId="0" fontId="1" fillId="0" borderId="14" xfId="0" applyFont="1" applyBorder="1" applyAlignment="1">
      <alignment horizontal="center" wrapText="1"/>
    </xf>
    <xf numFmtId="43" fontId="0" fillId="0" borderId="15" xfId="15" applyBorder="1" applyAlignment="1">
      <alignment/>
    </xf>
    <xf numFmtId="165" fontId="1" fillId="0" borderId="14" xfId="15" applyNumberFormat="1" applyFont="1" applyBorder="1" applyAlignment="1">
      <alignment/>
    </xf>
    <xf numFmtId="0" fontId="12" fillId="0" borderId="24" xfId="0" applyFont="1" applyFill="1" applyBorder="1" applyAlignment="1">
      <alignment horizontal="center" wrapText="1"/>
    </xf>
    <xf numFmtId="165" fontId="10" fillId="0" borderId="21" xfId="15" applyNumberFormat="1" applyFont="1" applyFill="1" applyBorder="1" applyAlignment="1">
      <alignment horizontal="right"/>
    </xf>
    <xf numFmtId="165" fontId="12" fillId="0" borderId="24" xfId="15" applyNumberFormat="1" applyFont="1" applyFill="1" applyBorder="1" applyAlignment="1">
      <alignment horizontal="right"/>
    </xf>
    <xf numFmtId="165" fontId="10" fillId="0" borderId="22" xfId="15" applyNumberFormat="1" applyFont="1" applyFill="1" applyBorder="1" applyAlignment="1">
      <alignment horizontal="right"/>
    </xf>
    <xf numFmtId="165" fontId="12" fillId="0" borderId="21" xfId="15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0" fillId="5" borderId="29" xfId="0" applyFill="1" applyBorder="1" applyAlignment="1">
      <alignment vertical="center"/>
    </xf>
    <xf numFmtId="44" fontId="0" fillId="5" borderId="29" xfId="17" applyFill="1" applyBorder="1" applyAlignment="1">
      <alignment vertical="center"/>
    </xf>
    <xf numFmtId="164" fontId="5" fillId="5" borderId="1" xfId="15" applyNumberFormat="1" applyFont="1" applyFill="1" applyBorder="1" applyAlignment="1" applyProtection="1">
      <alignment vertical="center"/>
      <protection/>
    </xf>
    <xf numFmtId="44" fontId="5" fillId="5" borderId="1" xfId="17" applyFont="1" applyFill="1" applyBorder="1" applyAlignment="1" applyProtection="1">
      <alignment vertical="center"/>
      <protection/>
    </xf>
    <xf numFmtId="3" fontId="5" fillId="5" borderId="20" xfId="0" applyNumberFormat="1" applyFont="1" applyFill="1" applyBorder="1" applyAlignment="1" applyProtection="1">
      <alignment vertical="center"/>
      <protection/>
    </xf>
    <xf numFmtId="3" fontId="7" fillId="5" borderId="52" xfId="0" applyNumberFormat="1" applyFont="1" applyFill="1" applyBorder="1" applyAlignment="1" applyProtection="1">
      <alignment vertical="center"/>
      <protection/>
    </xf>
    <xf numFmtId="44" fontId="5" fillId="5" borderId="22" xfId="17" applyFont="1" applyFill="1" applyBorder="1" applyAlignment="1" applyProtection="1">
      <alignment vertical="center"/>
      <protection/>
    </xf>
    <xf numFmtId="44" fontId="0" fillId="5" borderId="30" xfId="17" applyFill="1" applyBorder="1" applyAlignment="1">
      <alignment vertical="center"/>
    </xf>
    <xf numFmtId="3" fontId="5" fillId="2" borderId="39" xfId="15" applyNumberFormat="1" applyFont="1" applyFill="1" applyBorder="1" applyAlignment="1" applyProtection="1">
      <alignment vertical="center"/>
      <protection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vertical="center"/>
    </xf>
    <xf numFmtId="170" fontId="4" fillId="0" borderId="8" xfId="0" applyNumberFormat="1" applyFont="1" applyBorder="1" applyAlignment="1" applyProtection="1">
      <alignment horizontal="left" vertical="center"/>
      <protection/>
    </xf>
    <xf numFmtId="170" fontId="4" fillId="0" borderId="10" xfId="0" applyNumberFormat="1" applyFont="1" applyBorder="1" applyAlignment="1" applyProtection="1">
      <alignment horizontal="left" vertical="center"/>
      <protection/>
    </xf>
    <xf numFmtId="165" fontId="10" fillId="0" borderId="19" xfId="15" applyNumberFormat="1" applyFont="1" applyFill="1" applyBorder="1" applyAlignment="1">
      <alignment/>
    </xf>
    <xf numFmtId="165" fontId="12" fillId="0" borderId="18" xfId="15" applyNumberFormat="1" applyFont="1" applyFill="1" applyBorder="1" applyAlignment="1">
      <alignment/>
    </xf>
    <xf numFmtId="165" fontId="12" fillId="0" borderId="20" xfId="15" applyNumberFormat="1" applyFont="1" applyFill="1" applyBorder="1" applyAlignment="1">
      <alignment/>
    </xf>
    <xf numFmtId="165" fontId="12" fillId="0" borderId="24" xfId="15" applyNumberFormat="1" applyFont="1" applyFill="1" applyBorder="1" applyAlignment="1">
      <alignment horizontal="center" wrapText="1"/>
    </xf>
    <xf numFmtId="165" fontId="10" fillId="0" borderId="21" xfId="15" applyNumberFormat="1" applyFont="1" applyFill="1" applyBorder="1" applyAlignment="1">
      <alignment/>
    </xf>
    <xf numFmtId="165" fontId="12" fillId="0" borderId="24" xfId="15" applyNumberFormat="1" applyFont="1" applyFill="1" applyBorder="1" applyAlignment="1">
      <alignment/>
    </xf>
    <xf numFmtId="165" fontId="12" fillId="0" borderId="22" xfId="15" applyNumberFormat="1" applyFont="1" applyFill="1" applyBorder="1" applyAlignment="1">
      <alignment/>
    </xf>
    <xf numFmtId="43" fontId="10" fillId="0" borderId="15" xfId="15" applyFont="1" applyFill="1" applyBorder="1" applyAlignment="1">
      <alignment horizontal="right"/>
    </xf>
    <xf numFmtId="43" fontId="10" fillId="0" borderId="1" xfId="15" applyFont="1" applyFill="1" applyBorder="1" applyAlignment="1">
      <alignment horizontal="right"/>
    </xf>
    <xf numFmtId="43" fontId="12" fillId="0" borderId="14" xfId="15" applyFont="1" applyFill="1" applyBorder="1" applyAlignment="1">
      <alignment horizontal="right"/>
    </xf>
    <xf numFmtId="43" fontId="10" fillId="0" borderId="21" xfId="15" applyFont="1" applyFill="1" applyBorder="1" applyAlignment="1">
      <alignment horizontal="right"/>
    </xf>
    <xf numFmtId="43" fontId="10" fillId="0" borderId="22" xfId="15" applyFont="1" applyFill="1" applyBorder="1" applyAlignment="1">
      <alignment horizontal="right"/>
    </xf>
    <xf numFmtId="43" fontId="12" fillId="0" borderId="24" xfId="15" applyFont="1" applyFill="1" applyBorder="1" applyAlignment="1">
      <alignment horizontal="right"/>
    </xf>
    <xf numFmtId="0" fontId="1" fillId="0" borderId="6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wrapText="1"/>
    </xf>
    <xf numFmtId="43" fontId="10" fillId="0" borderId="0" xfId="15" applyFont="1" applyBorder="1" applyAlignment="1">
      <alignment horizontal="fill" vertical="top" wrapText="1"/>
    </xf>
    <xf numFmtId="0" fontId="12" fillId="0" borderId="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43" fontId="0" fillId="0" borderId="15" xfId="15" applyFont="1" applyBorder="1" applyAlignment="1">
      <alignment horizontal="center" vertical="center"/>
    </xf>
    <xf numFmtId="43" fontId="0" fillId="0" borderId="1" xfId="15" applyFont="1" applyBorder="1" applyAlignment="1">
      <alignment horizontal="center" vertical="center"/>
    </xf>
    <xf numFmtId="43" fontId="1" fillId="0" borderId="14" xfId="15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43" fontId="0" fillId="0" borderId="71" xfId="15" applyFont="1" applyBorder="1" applyAlignment="1">
      <alignment horizontal="center" vertical="center"/>
    </xf>
    <xf numFmtId="43" fontId="0" fillId="0" borderId="72" xfId="15" applyFont="1" applyBorder="1" applyAlignment="1">
      <alignment horizontal="center" vertical="center"/>
    </xf>
    <xf numFmtId="43" fontId="10" fillId="0" borderId="13" xfId="15" applyFont="1" applyBorder="1" applyAlignment="1">
      <alignment/>
    </xf>
    <xf numFmtId="43" fontId="10" fillId="0" borderId="0" xfId="15" applyFont="1" applyBorder="1" applyAlignment="1">
      <alignment/>
    </xf>
    <xf numFmtId="43" fontId="10" fillId="0" borderId="0" xfId="15" applyFont="1" applyFill="1" applyBorder="1" applyAlignment="1">
      <alignment/>
    </xf>
    <xf numFmtId="43" fontId="12" fillId="0" borderId="15" xfId="15" applyFont="1" applyBorder="1" applyAlignment="1">
      <alignment horizontal="right"/>
    </xf>
    <xf numFmtId="43" fontId="10" fillId="0" borderId="0" xfId="15" applyFont="1" applyFill="1" applyBorder="1" applyAlignment="1">
      <alignment wrapText="1"/>
    </xf>
    <xf numFmtId="43" fontId="12" fillId="0" borderId="14" xfId="15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43" fontId="10" fillId="0" borderId="15" xfId="15" applyFont="1" applyBorder="1" applyAlignment="1">
      <alignment horizontal="center" vertical="center"/>
    </xf>
    <xf numFmtId="43" fontId="10" fillId="0" borderId="1" xfId="15" applyFont="1" applyBorder="1" applyAlignment="1">
      <alignment horizontal="center" vertical="center"/>
    </xf>
    <xf numFmtId="0" fontId="12" fillId="0" borderId="73" xfId="0" applyFont="1" applyBorder="1" applyAlignment="1">
      <alignment horizontal="center" wrapText="1"/>
    </xf>
    <xf numFmtId="43" fontId="10" fillId="0" borderId="0" xfId="15" applyFont="1" applyBorder="1" applyAlignment="1">
      <alignment wrapText="1"/>
    </xf>
    <xf numFmtId="43" fontId="10" fillId="0" borderId="0" xfId="15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3" fontId="10" fillId="0" borderId="13" xfId="15" applyFont="1" applyBorder="1" applyAlignment="1">
      <alignment wrapText="1"/>
    </xf>
    <xf numFmtId="43" fontId="12" fillId="0" borderId="1" xfId="15" applyFont="1" applyBorder="1" applyAlignment="1">
      <alignment horizontal="right"/>
    </xf>
    <xf numFmtId="43" fontId="12" fillId="0" borderId="21" xfId="15" applyFont="1" applyBorder="1" applyAlignment="1">
      <alignment horizontal="right"/>
    </xf>
    <xf numFmtId="43" fontId="10" fillId="0" borderId="13" xfId="15" applyFont="1" applyFill="1" applyBorder="1" applyAlignment="1">
      <alignment/>
    </xf>
    <xf numFmtId="0" fontId="0" fillId="0" borderId="13" xfId="0" applyBorder="1" applyAlignment="1">
      <alignment/>
    </xf>
    <xf numFmtId="43" fontId="10" fillId="0" borderId="0" xfId="15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3" fontId="12" fillId="0" borderId="24" xfId="15" applyFont="1" applyBorder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74" xfId="0" applyFont="1" applyBorder="1" applyAlignment="1">
      <alignment horizontal="center" wrapText="1"/>
    </xf>
    <xf numFmtId="0" fontId="0" fillId="0" borderId="69" xfId="0" applyBorder="1" applyAlignment="1">
      <alignment horizontal="center"/>
    </xf>
    <xf numFmtId="0" fontId="12" fillId="0" borderId="75" xfId="0" applyFont="1" applyBorder="1" applyAlignment="1">
      <alignment horizontal="center" wrapText="1"/>
    </xf>
    <xf numFmtId="0" fontId="0" fillId="0" borderId="65" xfId="0" applyBorder="1" applyAlignment="1">
      <alignment horizontal="center"/>
    </xf>
    <xf numFmtId="43" fontId="12" fillId="0" borderId="68" xfId="15" applyFont="1" applyBorder="1" applyAlignment="1">
      <alignment horizontal="right"/>
    </xf>
    <xf numFmtId="43" fontId="12" fillId="0" borderId="69" xfId="15" applyFont="1" applyBorder="1" applyAlignment="1">
      <alignment horizontal="right"/>
    </xf>
    <xf numFmtId="0" fontId="1" fillId="0" borderId="73" xfId="0" applyFont="1" applyBorder="1" applyAlignment="1">
      <alignment horizontal="center" wrapText="1"/>
    </xf>
    <xf numFmtId="0" fontId="1" fillId="0" borderId="72" xfId="0" applyFont="1" applyBorder="1" applyAlignment="1">
      <alignment horizontal="center" wrapText="1"/>
    </xf>
    <xf numFmtId="0" fontId="1" fillId="0" borderId="7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3" fontId="0" fillId="0" borderId="71" xfId="24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wrapText="1"/>
    </xf>
    <xf numFmtId="0" fontId="0" fillId="0" borderId="67" xfId="0" applyBorder="1" applyAlignment="1">
      <alignment horizontal="center"/>
    </xf>
    <xf numFmtId="43" fontId="12" fillId="0" borderId="22" xfId="15" applyFont="1" applyBorder="1" applyAlignment="1">
      <alignment horizontal="right"/>
    </xf>
    <xf numFmtId="0" fontId="0" fillId="0" borderId="24" xfId="0" applyBorder="1" applyAlignment="1">
      <alignment horizontal="center"/>
    </xf>
    <xf numFmtId="43" fontId="12" fillId="0" borderId="64" xfId="15" applyFont="1" applyBorder="1" applyAlignment="1">
      <alignment horizontal="right"/>
    </xf>
    <xf numFmtId="0" fontId="12" fillId="0" borderId="64" xfId="0" applyFont="1" applyBorder="1" applyAlignment="1">
      <alignment horizontal="center" wrapText="1"/>
    </xf>
    <xf numFmtId="0" fontId="0" fillId="0" borderId="68" xfId="0" applyBorder="1" applyAlignment="1">
      <alignment horizontal="center"/>
    </xf>
    <xf numFmtId="0" fontId="12" fillId="0" borderId="76" xfId="0" applyFont="1" applyBorder="1" applyAlignment="1">
      <alignment horizontal="center" wrapText="1"/>
    </xf>
    <xf numFmtId="0" fontId="0" fillId="0" borderId="32" xfId="0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usental (0)_pldt" xfId="26"/>
    <cellStyle name="Tusental_pldt" xfId="27"/>
    <cellStyle name="Valuta (0)_pldt" xfId="28"/>
    <cellStyle name="Valuta_pld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WSs"/>
      <sheetName val="TNCWSs"/>
      <sheetName val="NTNCWSs"/>
    </sheetNames>
    <sheetDataSet>
      <sheetData sheetId="0">
        <row r="33">
          <cell r="C33">
            <v>361</v>
          </cell>
          <cell r="D33">
            <v>14608</v>
          </cell>
          <cell r="E33">
            <v>16719</v>
          </cell>
          <cell r="F33">
            <v>5986</v>
          </cell>
          <cell r="G33">
            <v>8163</v>
          </cell>
          <cell r="H33">
            <v>4458</v>
          </cell>
          <cell r="I33">
            <v>2943</v>
          </cell>
          <cell r="J33">
            <v>473</v>
          </cell>
          <cell r="K33">
            <v>337</v>
          </cell>
          <cell r="L33">
            <v>16</v>
          </cell>
        </row>
      </sheetData>
      <sheetData sheetId="1">
        <row r="33">
          <cell r="C33">
            <v>686</v>
          </cell>
          <cell r="D33">
            <v>70101</v>
          </cell>
          <cell r="E33">
            <v>19604</v>
          </cell>
          <cell r="F33">
            <v>1988</v>
          </cell>
          <cell r="G33">
            <v>644</v>
          </cell>
          <cell r="H33">
            <v>130</v>
          </cell>
          <cell r="I33">
            <v>50</v>
          </cell>
          <cell r="J33">
            <v>4</v>
          </cell>
          <cell r="K33">
            <v>3</v>
          </cell>
          <cell r="L33">
            <v>0</v>
          </cell>
        </row>
      </sheetData>
      <sheetData sheetId="2">
        <row r="33">
          <cell r="C33">
            <v>45</v>
          </cell>
          <cell r="D33">
            <v>10154</v>
          </cell>
          <cell r="E33">
            <v>7399</v>
          </cell>
          <cell r="F33">
            <v>2044</v>
          </cell>
          <cell r="G33">
            <v>795</v>
          </cell>
          <cell r="H33">
            <v>96</v>
          </cell>
          <cell r="I33">
            <v>21</v>
          </cell>
          <cell r="J33">
            <v>2</v>
          </cell>
          <cell r="K33">
            <v>3</v>
          </cell>
          <cell r="L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22">
      <selection activeCell="B28" sqref="B28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8.00390625" style="0" bestFit="1" customWidth="1"/>
    <col min="5" max="5" width="12.8515625" style="0" bestFit="1" customWidth="1"/>
    <col min="6" max="6" width="8.00390625" style="0" bestFit="1" customWidth="1"/>
    <col min="7" max="7" width="9.8515625" style="0" bestFit="1" customWidth="1"/>
    <col min="8" max="8" width="14.8515625" style="0" bestFit="1" customWidth="1"/>
    <col min="9" max="9" width="11.421875" style="0" customWidth="1"/>
    <col min="10" max="10" width="12.421875" style="0" customWidth="1"/>
    <col min="11" max="11" width="6.00390625" style="0" customWidth="1"/>
    <col min="13" max="13" width="12.28125" style="0" customWidth="1"/>
  </cols>
  <sheetData>
    <row r="1" spans="1:15" ht="22.5" customHeight="1">
      <c r="A1" s="25"/>
      <c r="B1" s="556" t="s">
        <v>303</v>
      </c>
      <c r="C1" s="556"/>
      <c r="D1" s="556"/>
      <c r="E1" s="556"/>
      <c r="F1" s="556"/>
      <c r="G1" s="556"/>
      <c r="H1" s="556"/>
      <c r="I1" s="556"/>
      <c r="J1" s="556"/>
      <c r="K1" s="25"/>
      <c r="L1" s="25"/>
      <c r="M1" s="25"/>
      <c r="N1" s="25"/>
      <c r="O1" s="25"/>
    </row>
    <row r="2" spans="1:15" ht="27" customHeight="1">
      <c r="A2" s="25"/>
      <c r="B2" s="570" t="s">
        <v>192</v>
      </c>
      <c r="C2" s="570"/>
      <c r="D2" s="570"/>
      <c r="E2" s="570"/>
      <c r="F2" s="570"/>
      <c r="G2" s="570"/>
      <c r="H2" s="570"/>
      <c r="I2" s="570"/>
      <c r="J2" s="570"/>
      <c r="K2" s="61"/>
      <c r="L2" s="25"/>
      <c r="M2" s="25"/>
      <c r="N2" s="25"/>
      <c r="O2" s="25"/>
    </row>
    <row r="3" spans="1:15" ht="18" customHeight="1">
      <c r="A3" s="25"/>
      <c r="B3" s="552" t="s">
        <v>116</v>
      </c>
      <c r="C3" s="590" t="s">
        <v>117</v>
      </c>
      <c r="D3" s="614" t="s">
        <v>133</v>
      </c>
      <c r="E3" s="431" t="s">
        <v>61</v>
      </c>
      <c r="F3" s="613" t="s">
        <v>62</v>
      </c>
      <c r="G3" s="576"/>
      <c r="H3" s="576"/>
      <c r="I3" s="578"/>
      <c r="J3" s="431" t="s">
        <v>63</v>
      </c>
      <c r="K3" s="61"/>
      <c r="L3" s="25"/>
      <c r="M3" s="25"/>
      <c r="N3" s="25"/>
      <c r="O3" s="25"/>
    </row>
    <row r="4" spans="1:13" ht="39.75" customHeight="1" thickBot="1">
      <c r="A4" s="25"/>
      <c r="B4" s="553"/>
      <c r="C4" s="617"/>
      <c r="D4" s="615"/>
      <c r="E4" s="451" t="s">
        <v>196</v>
      </c>
      <c r="F4" s="107" t="s">
        <v>193</v>
      </c>
      <c r="G4" s="77" t="s">
        <v>194</v>
      </c>
      <c r="H4" s="77" t="s">
        <v>195</v>
      </c>
      <c r="I4" s="108" t="s">
        <v>226</v>
      </c>
      <c r="J4" s="451" t="s">
        <v>228</v>
      </c>
      <c r="K4" s="62"/>
      <c r="L4" s="25"/>
      <c r="M4" s="17" t="s">
        <v>191</v>
      </c>
    </row>
    <row r="5" spans="1:16" ht="19.5" customHeight="1">
      <c r="A5" s="25"/>
      <c r="B5" s="571" t="s">
        <v>0</v>
      </c>
      <c r="C5" s="105" t="s">
        <v>118</v>
      </c>
      <c r="D5" s="462" t="s">
        <v>149</v>
      </c>
      <c r="E5" s="459" t="s">
        <v>149</v>
      </c>
      <c r="F5" s="446" t="s">
        <v>149</v>
      </c>
      <c r="G5" s="80" t="s">
        <v>149</v>
      </c>
      <c r="H5" s="80" t="s">
        <v>149</v>
      </c>
      <c r="I5" s="440" t="s">
        <v>149</v>
      </c>
      <c r="J5" s="452" t="s">
        <v>149</v>
      </c>
      <c r="K5" s="63"/>
      <c r="L5" s="25"/>
      <c r="M5" s="606" t="s">
        <v>148</v>
      </c>
      <c r="N5" s="609" t="s">
        <v>134</v>
      </c>
      <c r="O5" s="610"/>
      <c r="P5" s="610"/>
    </row>
    <row r="6" spans="1:16" ht="19.5" customHeight="1">
      <c r="A6" s="25"/>
      <c r="B6" s="572"/>
      <c r="C6" s="106" t="s">
        <v>119</v>
      </c>
      <c r="D6" s="463" t="s">
        <v>149</v>
      </c>
      <c r="E6" s="460" t="s">
        <v>149</v>
      </c>
      <c r="F6" s="444" t="s">
        <v>149</v>
      </c>
      <c r="G6" s="60" t="s">
        <v>149</v>
      </c>
      <c r="H6" s="60" t="s">
        <v>149</v>
      </c>
      <c r="I6" s="435" t="s">
        <v>149</v>
      </c>
      <c r="J6" s="453" t="s">
        <v>149</v>
      </c>
      <c r="K6" s="63"/>
      <c r="L6" s="25"/>
      <c r="M6" s="607"/>
      <c r="N6" s="610"/>
      <c r="O6" s="610"/>
      <c r="P6" s="610"/>
    </row>
    <row r="7" spans="1:16" ht="19.5" customHeight="1" thickBot="1">
      <c r="A7" s="25"/>
      <c r="B7" s="572"/>
      <c r="C7" s="106" t="s">
        <v>130</v>
      </c>
      <c r="D7" s="463" t="s">
        <v>149</v>
      </c>
      <c r="E7" s="460" t="s">
        <v>149</v>
      </c>
      <c r="F7" s="444" t="s">
        <v>149</v>
      </c>
      <c r="G7" s="60" t="s">
        <v>149</v>
      </c>
      <c r="H7" s="60" t="s">
        <v>149</v>
      </c>
      <c r="I7" s="435" t="s">
        <v>149</v>
      </c>
      <c r="J7" s="453" t="s">
        <v>149</v>
      </c>
      <c r="K7" s="63"/>
      <c r="L7" s="25"/>
      <c r="M7" s="608"/>
      <c r="N7" s="51" t="s">
        <v>0</v>
      </c>
      <c r="O7" s="51" t="s">
        <v>136</v>
      </c>
      <c r="P7" s="51" t="s">
        <v>137</v>
      </c>
    </row>
    <row r="8" spans="1:16" ht="19.5" customHeight="1">
      <c r="A8" s="25"/>
      <c r="B8" s="572"/>
      <c r="C8" s="106" t="s">
        <v>131</v>
      </c>
      <c r="D8" s="464">
        <f>N13+N14</f>
        <v>1042.84</v>
      </c>
      <c r="E8" s="454">
        <f>F8*0.05</f>
        <v>2</v>
      </c>
      <c r="F8" s="445">
        <f>'Stage 1'!F8*2</f>
        <v>40</v>
      </c>
      <c r="G8" s="26">
        <f>F8*0.95</f>
        <v>38</v>
      </c>
      <c r="H8" s="71">
        <f>D8*0.02</f>
        <v>20.8568</v>
      </c>
      <c r="I8" s="425">
        <f>D8*0.01*0.05</f>
        <v>0.52142</v>
      </c>
      <c r="J8" s="454">
        <f>D8*0.01*0.95</f>
        <v>9.906979999999999</v>
      </c>
      <c r="K8" s="64"/>
      <c r="L8" s="25"/>
      <c r="M8" s="52" t="s">
        <v>138</v>
      </c>
      <c r="N8" s="70" t="s">
        <v>149</v>
      </c>
      <c r="O8" s="70" t="s">
        <v>149</v>
      </c>
      <c r="P8" s="70" t="s">
        <v>149</v>
      </c>
    </row>
    <row r="9" spans="1:16" ht="19.5" customHeight="1">
      <c r="A9" s="25"/>
      <c r="B9" s="572"/>
      <c r="C9" s="106" t="s">
        <v>132</v>
      </c>
      <c r="D9" s="464">
        <f>N15+N16</f>
        <v>185.16</v>
      </c>
      <c r="E9" s="454">
        <f>F9*0.05</f>
        <v>0.3551072072417629</v>
      </c>
      <c r="F9" s="445">
        <f>D9/D8*F8</f>
        <v>7.1021441448352585</v>
      </c>
      <c r="G9" s="26">
        <f>F9*0.95</f>
        <v>6.747036937593495</v>
      </c>
      <c r="H9" s="71">
        <f>D9*0.02</f>
        <v>3.7032</v>
      </c>
      <c r="I9" s="425">
        <f>D9*0.01*0.05</f>
        <v>0.09258</v>
      </c>
      <c r="J9" s="454">
        <f>D9*0.01*0.95</f>
        <v>1.7590199999999998</v>
      </c>
      <c r="K9" s="64"/>
      <c r="L9" s="25"/>
      <c r="M9" s="55" t="s">
        <v>139</v>
      </c>
      <c r="N9" s="70" t="s">
        <v>149</v>
      </c>
      <c r="O9" s="70" t="s">
        <v>149</v>
      </c>
      <c r="P9" s="70" t="s">
        <v>149</v>
      </c>
    </row>
    <row r="10" spans="1:16" ht="19.5" customHeight="1" thickBot="1">
      <c r="A10" s="25"/>
      <c r="B10" s="569" t="s">
        <v>127</v>
      </c>
      <c r="C10" s="592"/>
      <c r="D10" s="465">
        <f aca="true" t="shared" si="0" ref="D10:J10">SUM(D5:D9)</f>
        <v>1228</v>
      </c>
      <c r="E10" s="455">
        <f t="shared" si="0"/>
        <v>2.3551072072417627</v>
      </c>
      <c r="F10" s="436">
        <f t="shared" si="0"/>
        <v>47.10214414483526</v>
      </c>
      <c r="G10" s="90">
        <f t="shared" si="0"/>
        <v>44.74703693759349</v>
      </c>
      <c r="H10" s="90">
        <f t="shared" si="0"/>
        <v>24.56</v>
      </c>
      <c r="I10" s="426">
        <f t="shared" si="0"/>
        <v>0.614</v>
      </c>
      <c r="J10" s="455">
        <f t="shared" si="0"/>
        <v>11.665999999999999</v>
      </c>
      <c r="K10" s="65"/>
      <c r="L10" s="25"/>
      <c r="M10" s="55" t="s">
        <v>140</v>
      </c>
      <c r="N10" s="70" t="s">
        <v>149</v>
      </c>
      <c r="O10" s="70" t="s">
        <v>149</v>
      </c>
      <c r="P10" s="70" t="s">
        <v>149</v>
      </c>
    </row>
    <row r="11" spans="1:16" ht="19.5" customHeight="1">
      <c r="A11" s="25"/>
      <c r="B11" s="571" t="s">
        <v>2</v>
      </c>
      <c r="C11" s="105" t="s">
        <v>118</v>
      </c>
      <c r="D11" s="462" t="s">
        <v>149</v>
      </c>
      <c r="E11" s="452" t="s">
        <v>149</v>
      </c>
      <c r="F11" s="446" t="s">
        <v>149</v>
      </c>
      <c r="G11" s="80" t="s">
        <v>149</v>
      </c>
      <c r="H11" s="80" t="s">
        <v>149</v>
      </c>
      <c r="I11" s="440" t="s">
        <v>149</v>
      </c>
      <c r="J11" s="452" t="s">
        <v>149</v>
      </c>
      <c r="K11" s="63"/>
      <c r="L11" s="25"/>
      <c r="M11" s="55" t="s">
        <v>141</v>
      </c>
      <c r="N11" s="70" t="s">
        <v>149</v>
      </c>
      <c r="O11" s="70" t="s">
        <v>149</v>
      </c>
      <c r="P11" s="70" t="s">
        <v>149</v>
      </c>
    </row>
    <row r="12" spans="1:16" ht="19.5" customHeight="1">
      <c r="A12" s="25"/>
      <c r="B12" s="572"/>
      <c r="C12" s="106" t="s">
        <v>119</v>
      </c>
      <c r="D12" s="463" t="s">
        <v>149</v>
      </c>
      <c r="E12" s="453" t="s">
        <v>149</v>
      </c>
      <c r="F12" s="444" t="s">
        <v>149</v>
      </c>
      <c r="G12" s="60" t="s">
        <v>149</v>
      </c>
      <c r="H12" s="60" t="s">
        <v>149</v>
      </c>
      <c r="I12" s="435" t="s">
        <v>149</v>
      </c>
      <c r="J12" s="453" t="s">
        <v>149</v>
      </c>
      <c r="K12" s="63"/>
      <c r="L12" s="25"/>
      <c r="M12" s="55" t="s">
        <v>142</v>
      </c>
      <c r="N12" s="70" t="s">
        <v>149</v>
      </c>
      <c r="O12" s="70" t="s">
        <v>149</v>
      </c>
      <c r="P12" s="70" t="s">
        <v>149</v>
      </c>
    </row>
    <row r="13" spans="1:16" ht="19.5" customHeight="1">
      <c r="A13" s="25"/>
      <c r="B13" s="572"/>
      <c r="C13" s="106" t="s">
        <v>130</v>
      </c>
      <c r="D13" s="463" t="s">
        <v>149</v>
      </c>
      <c r="E13" s="453" t="s">
        <v>149</v>
      </c>
      <c r="F13" s="444" t="s">
        <v>149</v>
      </c>
      <c r="G13" s="60" t="s">
        <v>149</v>
      </c>
      <c r="H13" s="60" t="s">
        <v>149</v>
      </c>
      <c r="I13" s="435" t="s">
        <v>149</v>
      </c>
      <c r="J13" s="453" t="s">
        <v>149</v>
      </c>
      <c r="K13" s="63"/>
      <c r="L13" s="25"/>
      <c r="M13" s="55" t="s">
        <v>143</v>
      </c>
      <c r="N13" s="53">
        <v>854.68</v>
      </c>
      <c r="O13" s="53">
        <v>2.76</v>
      </c>
      <c r="P13" s="53">
        <v>7.36</v>
      </c>
    </row>
    <row r="14" spans="1:16" ht="19.5" customHeight="1">
      <c r="A14" s="25"/>
      <c r="B14" s="572"/>
      <c r="C14" s="106" t="s">
        <v>131</v>
      </c>
      <c r="D14" s="464">
        <f>O13+O14</f>
        <v>2.76</v>
      </c>
      <c r="E14" s="454">
        <f>F14*0.05</f>
        <v>0.005293237697058035</v>
      </c>
      <c r="F14" s="445">
        <f>D14/D8*F8</f>
        <v>0.10586475394116068</v>
      </c>
      <c r="G14" s="26">
        <f>F14*0.95</f>
        <v>0.10057151624410264</v>
      </c>
      <c r="H14" s="71">
        <f>D14*0.02</f>
        <v>0.0552</v>
      </c>
      <c r="I14" s="425">
        <f>J14*0.05</f>
        <v>0.0013800000000000002</v>
      </c>
      <c r="J14" s="454">
        <f>D14*0.01</f>
        <v>0.0276</v>
      </c>
      <c r="K14" s="64"/>
      <c r="L14" s="25"/>
      <c r="M14" s="55" t="s">
        <v>144</v>
      </c>
      <c r="N14" s="53">
        <v>188.16</v>
      </c>
      <c r="O14" s="53">
        <v>0</v>
      </c>
      <c r="P14" s="53">
        <v>2.94</v>
      </c>
    </row>
    <row r="15" spans="1:16" ht="19.5" customHeight="1">
      <c r="A15" s="25"/>
      <c r="B15" s="572"/>
      <c r="C15" s="106" t="s">
        <v>132</v>
      </c>
      <c r="D15" s="464">
        <f>O15+O16</f>
        <v>0</v>
      </c>
      <c r="E15" s="461">
        <v>0</v>
      </c>
      <c r="F15" s="457">
        <v>0</v>
      </c>
      <c r="G15" s="26">
        <f>F15*0.95</f>
        <v>0</v>
      </c>
      <c r="H15" s="71">
        <f>D15*0.02</f>
        <v>0</v>
      </c>
      <c r="I15" s="425">
        <f>J15*0.05</f>
        <v>0</v>
      </c>
      <c r="J15" s="454">
        <f>D15*0.01</f>
        <v>0</v>
      </c>
      <c r="K15" s="64"/>
      <c r="L15" s="25"/>
      <c r="M15" s="55" t="s">
        <v>145</v>
      </c>
      <c r="N15" s="53">
        <v>182.16</v>
      </c>
      <c r="O15" s="53">
        <v>0</v>
      </c>
      <c r="P15" s="53">
        <v>0</v>
      </c>
    </row>
    <row r="16" spans="1:16" ht="19.5" customHeight="1" thickBot="1">
      <c r="A16" s="25"/>
      <c r="B16" s="569" t="s">
        <v>127</v>
      </c>
      <c r="C16" s="592"/>
      <c r="D16" s="465">
        <f>SUM(D11:D15)</f>
        <v>2.76</v>
      </c>
      <c r="E16" s="455">
        <f aca="true" t="shared" si="1" ref="E16:J16">SUM(E11:E15)</f>
        <v>0.005293237697058035</v>
      </c>
      <c r="F16" s="436">
        <f t="shared" si="1"/>
        <v>0.10586475394116068</v>
      </c>
      <c r="G16" s="90">
        <f t="shared" si="1"/>
        <v>0.10057151624410264</v>
      </c>
      <c r="H16" s="90">
        <f t="shared" si="1"/>
        <v>0.0552</v>
      </c>
      <c r="I16" s="426">
        <f t="shared" si="1"/>
        <v>0.0013800000000000002</v>
      </c>
      <c r="J16" s="455">
        <f t="shared" si="1"/>
        <v>0.0276</v>
      </c>
      <c r="K16" s="65"/>
      <c r="L16" s="25"/>
      <c r="M16" s="55" t="s">
        <v>146</v>
      </c>
      <c r="N16" s="53">
        <v>3</v>
      </c>
      <c r="O16" s="53">
        <v>0</v>
      </c>
      <c r="P16" s="53">
        <v>0</v>
      </c>
    </row>
    <row r="17" spans="1:16" ht="19.5" customHeight="1">
      <c r="A17" s="25"/>
      <c r="B17" s="572" t="s">
        <v>124</v>
      </c>
      <c r="C17" s="106" t="s">
        <v>118</v>
      </c>
      <c r="D17" s="463" t="s">
        <v>149</v>
      </c>
      <c r="E17" s="460" t="s">
        <v>149</v>
      </c>
      <c r="F17" s="444" t="s">
        <v>149</v>
      </c>
      <c r="G17" s="60" t="s">
        <v>149</v>
      </c>
      <c r="H17" s="60" t="s">
        <v>149</v>
      </c>
      <c r="I17" s="435" t="s">
        <v>149</v>
      </c>
      <c r="J17" s="453" t="s">
        <v>149</v>
      </c>
      <c r="K17" s="64"/>
      <c r="L17" s="25"/>
      <c r="M17" s="57" t="s">
        <v>6</v>
      </c>
      <c r="N17" s="58">
        <f>SUM(N13:N16)</f>
        <v>1228</v>
      </c>
      <c r="O17" s="58">
        <f>SUM(O13:O16)</f>
        <v>2.76</v>
      </c>
      <c r="P17" s="58">
        <f>SUM(P13:P16)</f>
        <v>10.3</v>
      </c>
    </row>
    <row r="18" spans="1:15" ht="19.5" customHeight="1">
      <c r="A18" s="25"/>
      <c r="B18" s="572"/>
      <c r="C18" s="106" t="s">
        <v>119</v>
      </c>
      <c r="D18" s="463" t="s">
        <v>149</v>
      </c>
      <c r="E18" s="460" t="s">
        <v>149</v>
      </c>
      <c r="F18" s="444" t="s">
        <v>149</v>
      </c>
      <c r="G18" s="60" t="s">
        <v>149</v>
      </c>
      <c r="H18" s="60" t="s">
        <v>149</v>
      </c>
      <c r="I18" s="435" t="s">
        <v>149</v>
      </c>
      <c r="J18" s="453" t="s">
        <v>149</v>
      </c>
      <c r="K18" s="64"/>
      <c r="L18" s="25"/>
      <c r="M18" s="25"/>
      <c r="N18" s="25"/>
      <c r="O18" s="25"/>
    </row>
    <row r="19" spans="1:15" ht="19.5" customHeight="1">
      <c r="A19" s="25"/>
      <c r="B19" s="572"/>
      <c r="C19" s="106" t="s">
        <v>130</v>
      </c>
      <c r="D19" s="463" t="s">
        <v>149</v>
      </c>
      <c r="E19" s="460" t="s">
        <v>149</v>
      </c>
      <c r="F19" s="444" t="s">
        <v>149</v>
      </c>
      <c r="G19" s="60" t="s">
        <v>149</v>
      </c>
      <c r="H19" s="60" t="s">
        <v>149</v>
      </c>
      <c r="I19" s="435" t="s">
        <v>149</v>
      </c>
      <c r="J19" s="453" t="s">
        <v>149</v>
      </c>
      <c r="K19" s="64"/>
      <c r="L19" s="25"/>
      <c r="M19" s="25"/>
      <c r="N19" s="25"/>
      <c r="O19" s="25"/>
    </row>
    <row r="20" spans="1:12" ht="19.5" customHeight="1">
      <c r="A20" s="25"/>
      <c r="B20" s="572"/>
      <c r="C20" s="106" t="s">
        <v>131</v>
      </c>
      <c r="D20" s="464">
        <f>P13+P14</f>
        <v>10.3</v>
      </c>
      <c r="E20" s="454">
        <f>F20*0.05</f>
        <v>0.019753749376702087</v>
      </c>
      <c r="F20" s="111">
        <f>D20/D8*F8</f>
        <v>0.39507498753404174</v>
      </c>
      <c r="G20" s="26">
        <f>F20*0.95</f>
        <v>0.37532123815733964</v>
      </c>
      <c r="H20" s="71">
        <f>D20*0.02</f>
        <v>0.20600000000000002</v>
      </c>
      <c r="I20" s="425">
        <f>J20*0.05</f>
        <v>0.005150000000000001</v>
      </c>
      <c r="J20" s="454">
        <f>D20*0.01</f>
        <v>0.10300000000000001</v>
      </c>
      <c r="K20" s="64"/>
      <c r="L20" s="25"/>
    </row>
    <row r="21" spans="1:12" ht="19.5" customHeight="1">
      <c r="A21" s="25"/>
      <c r="B21" s="572"/>
      <c r="C21" s="106" t="s">
        <v>132</v>
      </c>
      <c r="D21" s="464">
        <f>P15+P16</f>
        <v>0</v>
      </c>
      <c r="E21" s="461">
        <v>0</v>
      </c>
      <c r="F21" s="444">
        <v>0</v>
      </c>
      <c r="G21" s="60">
        <v>0</v>
      </c>
      <c r="H21" s="71">
        <f>D21*0.02</f>
        <v>0</v>
      </c>
      <c r="I21" s="425">
        <f>J21*0.05</f>
        <v>0</v>
      </c>
      <c r="J21" s="454">
        <f>D21*0.01</f>
        <v>0</v>
      </c>
      <c r="K21" s="64"/>
      <c r="L21" s="25"/>
    </row>
    <row r="22" spans="1:12" ht="19.5" customHeight="1" thickBot="1">
      <c r="A22" s="25"/>
      <c r="B22" s="569" t="s">
        <v>127</v>
      </c>
      <c r="C22" s="592"/>
      <c r="D22" s="465">
        <f aca="true" t="shared" si="2" ref="D22:J22">SUM(D17:D21)</f>
        <v>10.3</v>
      </c>
      <c r="E22" s="455">
        <f t="shared" si="2"/>
        <v>0.019753749376702087</v>
      </c>
      <c r="F22" s="436">
        <f t="shared" si="2"/>
        <v>0.39507498753404174</v>
      </c>
      <c r="G22" s="90">
        <f t="shared" si="2"/>
        <v>0.37532123815733964</v>
      </c>
      <c r="H22" s="90">
        <f t="shared" si="2"/>
        <v>0.20600000000000002</v>
      </c>
      <c r="I22" s="426">
        <f t="shared" si="2"/>
        <v>0.005150000000000001</v>
      </c>
      <c r="J22" s="455">
        <f t="shared" si="2"/>
        <v>0.10300000000000001</v>
      </c>
      <c r="K22" s="66"/>
      <c r="L22" s="25"/>
    </row>
    <row r="23" spans="1:12" ht="19.5" customHeight="1">
      <c r="A23" s="25"/>
      <c r="B23" s="580" t="s">
        <v>128</v>
      </c>
      <c r="C23" s="616"/>
      <c r="D23" s="466">
        <f aca="true" t="shared" si="3" ref="D23:J23">D10+D16+D22</f>
        <v>1241.06</v>
      </c>
      <c r="E23" s="456">
        <f t="shared" si="3"/>
        <v>2.380154194315523</v>
      </c>
      <c r="F23" s="458">
        <f t="shared" si="3"/>
        <v>47.603083886310465</v>
      </c>
      <c r="G23" s="59">
        <f t="shared" si="3"/>
        <v>45.222929691994935</v>
      </c>
      <c r="H23" s="59">
        <f t="shared" si="3"/>
        <v>24.821199999999997</v>
      </c>
      <c r="I23" s="450">
        <f t="shared" si="3"/>
        <v>0.62053</v>
      </c>
      <c r="J23" s="456">
        <f t="shared" si="3"/>
        <v>11.796599999999998</v>
      </c>
      <c r="K23" s="65"/>
      <c r="L23" s="25"/>
    </row>
    <row r="24" spans="1:12" ht="13.5" customHeight="1">
      <c r="A24" s="25"/>
      <c r="B24" s="48" t="s">
        <v>129</v>
      </c>
      <c r="C24" s="564" t="s">
        <v>285</v>
      </c>
      <c r="D24" s="564"/>
      <c r="E24" s="564"/>
      <c r="F24" s="564"/>
      <c r="G24" s="564"/>
      <c r="H24" s="564"/>
      <c r="I24" s="564"/>
      <c r="J24" s="564"/>
      <c r="K24" s="50"/>
      <c r="L24" s="25"/>
    </row>
    <row r="25" spans="1:12" ht="24" customHeight="1">
      <c r="A25" s="25"/>
      <c r="B25" s="25"/>
      <c r="C25" s="568" t="s">
        <v>292</v>
      </c>
      <c r="D25" s="568"/>
      <c r="E25" s="568"/>
      <c r="F25" s="568"/>
      <c r="G25" s="568"/>
      <c r="H25" s="568"/>
      <c r="I25" s="568"/>
      <c r="J25" s="568"/>
      <c r="K25" s="68"/>
      <c r="L25" s="25"/>
    </row>
    <row r="26" spans="1:12" ht="13.5" customHeight="1">
      <c r="A26" s="25"/>
      <c r="B26" s="25"/>
      <c r="C26" s="565" t="s">
        <v>227</v>
      </c>
      <c r="D26" s="565"/>
      <c r="E26" s="565"/>
      <c r="F26" s="565"/>
      <c r="G26" s="565"/>
      <c r="H26" s="565"/>
      <c r="I26" s="565"/>
      <c r="J26" s="565"/>
      <c r="K26" s="50"/>
      <c r="L26" s="25"/>
    </row>
    <row r="27" spans="1:12" ht="13.5" customHeight="1">
      <c r="A27" s="25"/>
      <c r="B27" s="25"/>
      <c r="C27" s="565" t="s">
        <v>290</v>
      </c>
      <c r="D27" s="565"/>
      <c r="E27" s="565"/>
      <c r="F27" s="565"/>
      <c r="G27" s="565"/>
      <c r="H27" s="565"/>
      <c r="I27" s="565"/>
      <c r="J27" s="565"/>
      <c r="K27" s="50"/>
      <c r="L27" s="25"/>
    </row>
    <row r="28" spans="1:16" ht="24" customHeight="1">
      <c r="A28" s="25"/>
      <c r="B28" s="25"/>
      <c r="C28" s="568" t="s">
        <v>291</v>
      </c>
      <c r="D28" s="568"/>
      <c r="E28" s="568"/>
      <c r="F28" s="568"/>
      <c r="G28" s="568"/>
      <c r="H28" s="568"/>
      <c r="I28" s="568"/>
      <c r="J28" s="568"/>
      <c r="K28" s="68"/>
      <c r="L28" s="565"/>
      <c r="M28" s="565"/>
      <c r="N28" s="565"/>
      <c r="O28" s="565"/>
      <c r="P28" s="565"/>
    </row>
    <row r="29" spans="2:16" ht="13.5" customHeight="1">
      <c r="B29" s="93" t="s">
        <v>173</v>
      </c>
      <c r="C29" s="565" t="str">
        <f>'Stage 1 (Sched)'!C25:O25</f>
        <v>Detail may not add to totals due to independent rounding.</v>
      </c>
      <c r="D29" s="565"/>
      <c r="E29" s="565"/>
      <c r="F29" s="565"/>
      <c r="G29" s="565"/>
      <c r="H29" s="565"/>
      <c r="I29" s="565"/>
      <c r="J29" s="565"/>
      <c r="K29" s="50"/>
      <c r="L29" s="565"/>
      <c r="M29" s="565"/>
      <c r="N29" s="565"/>
      <c r="O29" s="565"/>
      <c r="P29" s="565"/>
    </row>
    <row r="30" spans="3:16" ht="13.5" customHeight="1">
      <c r="C30" s="565"/>
      <c r="D30" s="565"/>
      <c r="E30" s="565"/>
      <c r="F30" s="565"/>
      <c r="G30" s="565"/>
      <c r="H30" s="565"/>
      <c r="I30" s="565"/>
      <c r="J30" s="565"/>
      <c r="K30" s="50"/>
      <c r="L30" s="565"/>
      <c r="M30" s="565"/>
      <c r="N30" s="565"/>
      <c r="O30" s="565"/>
      <c r="P30" s="565"/>
    </row>
    <row r="31" ht="13.5" customHeight="1"/>
    <row r="32" ht="12.75" customHeight="1"/>
    <row r="44" ht="13.5" customHeight="1"/>
  </sheetData>
  <mergeCells count="25">
    <mergeCell ref="F3:I3"/>
    <mergeCell ref="B2:J2"/>
    <mergeCell ref="D3:D4"/>
    <mergeCell ref="B23:C23"/>
    <mergeCell ref="B10:C10"/>
    <mergeCell ref="C3:C4"/>
    <mergeCell ref="B3:B4"/>
    <mergeCell ref="B11:B15"/>
    <mergeCell ref="B16:C16"/>
    <mergeCell ref="B22:C22"/>
    <mergeCell ref="B17:B21"/>
    <mergeCell ref="C30:J30"/>
    <mergeCell ref="L30:P30"/>
    <mergeCell ref="C29:J29"/>
    <mergeCell ref="L29:P29"/>
    <mergeCell ref="B1:J1"/>
    <mergeCell ref="L28:P28"/>
    <mergeCell ref="M5:M7"/>
    <mergeCell ref="N5:P6"/>
    <mergeCell ref="C25:J25"/>
    <mergeCell ref="C26:J26"/>
    <mergeCell ref="C27:J27"/>
    <mergeCell ref="C28:J28"/>
    <mergeCell ref="C24:J24"/>
    <mergeCell ref="B5:B9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7">
      <selection activeCell="K31" sqref="K31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7.7109375" style="0" customWidth="1"/>
    <col min="5" max="5" width="7.421875" style="0" customWidth="1"/>
    <col min="6" max="6" width="7.140625" style="0" customWidth="1"/>
    <col min="7" max="7" width="7.421875" style="0" customWidth="1"/>
    <col min="8" max="8" width="7.28125" style="0" customWidth="1"/>
    <col min="9" max="9" width="7.8515625" style="0" customWidth="1"/>
    <col min="10" max="10" width="7.140625" style="0" customWidth="1"/>
    <col min="11" max="11" width="7.421875" style="0" customWidth="1"/>
    <col min="12" max="12" width="7.8515625" style="0" customWidth="1"/>
    <col min="13" max="13" width="8.421875" style="0" customWidth="1"/>
    <col min="14" max="14" width="8.7109375" style="0" customWidth="1"/>
    <col min="15" max="15" width="8.421875" style="0" customWidth="1"/>
  </cols>
  <sheetData>
    <row r="1" spans="1:15" ht="20.25" customHeight="1">
      <c r="A1" s="25"/>
      <c r="B1" s="556" t="s">
        <v>304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</row>
    <row r="2" spans="1:15" ht="22.5" customHeight="1">
      <c r="A2" s="25"/>
      <c r="B2" s="588" t="s">
        <v>230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</row>
    <row r="3" spans="1:15" ht="40.5" customHeight="1">
      <c r="A3" s="25"/>
      <c r="B3" s="552" t="s">
        <v>199</v>
      </c>
      <c r="C3" s="590" t="s">
        <v>200</v>
      </c>
      <c r="D3" s="593" t="s">
        <v>208</v>
      </c>
      <c r="E3" s="594"/>
      <c r="F3" s="595"/>
      <c r="G3" s="593" t="s">
        <v>189</v>
      </c>
      <c r="H3" s="594"/>
      <c r="I3" s="595"/>
      <c r="J3" s="593" t="s">
        <v>190</v>
      </c>
      <c r="K3" s="594"/>
      <c r="L3" s="595"/>
      <c r="M3" s="596" t="s">
        <v>187</v>
      </c>
      <c r="N3" s="594"/>
      <c r="O3" s="594"/>
    </row>
    <row r="4" spans="1:15" ht="27" customHeight="1" thickBot="1">
      <c r="A4" s="25"/>
      <c r="B4" s="589"/>
      <c r="C4" s="591"/>
      <c r="D4" s="107" t="s">
        <v>61</v>
      </c>
      <c r="E4" s="77" t="s">
        <v>62</v>
      </c>
      <c r="F4" s="108" t="s">
        <v>63</v>
      </c>
      <c r="G4" s="107" t="s">
        <v>61</v>
      </c>
      <c r="H4" s="77" t="s">
        <v>62</v>
      </c>
      <c r="I4" s="108" t="s">
        <v>63</v>
      </c>
      <c r="J4" s="107" t="s">
        <v>61</v>
      </c>
      <c r="K4" s="77" t="s">
        <v>62</v>
      </c>
      <c r="L4" s="108" t="s">
        <v>63</v>
      </c>
      <c r="M4" s="100" t="s">
        <v>61</v>
      </c>
      <c r="N4" s="77" t="s">
        <v>62</v>
      </c>
      <c r="O4" s="77" t="s">
        <v>63</v>
      </c>
    </row>
    <row r="5" spans="1:15" ht="13.5" customHeight="1">
      <c r="A5" s="25"/>
      <c r="B5" s="571" t="s">
        <v>0</v>
      </c>
      <c r="C5" s="105" t="s">
        <v>118</v>
      </c>
      <c r="D5" s="109">
        <v>0</v>
      </c>
      <c r="E5" s="79">
        <v>0</v>
      </c>
      <c r="F5" s="110">
        <v>0</v>
      </c>
      <c r="G5" s="109">
        <v>0</v>
      </c>
      <c r="H5" s="79">
        <v>0</v>
      </c>
      <c r="I5" s="110">
        <v>0</v>
      </c>
      <c r="J5" s="109">
        <f>G5</f>
        <v>0</v>
      </c>
      <c r="K5" s="79">
        <f aca="true" t="shared" si="0" ref="K5:L20">H5</f>
        <v>0</v>
      </c>
      <c r="L5" s="110">
        <f t="shared" si="0"/>
        <v>0</v>
      </c>
      <c r="M5" s="101">
        <f>(D5+G5+J5)/2.5</f>
        <v>0</v>
      </c>
      <c r="N5" s="79">
        <f>(E5+H5+K5)/2.5</f>
        <v>0</v>
      </c>
      <c r="O5" s="79">
        <f>(F5+I5+L5)/2.5</f>
        <v>0</v>
      </c>
    </row>
    <row r="6" spans="1:15" ht="13.5" customHeight="1">
      <c r="A6" s="25"/>
      <c r="B6" s="572"/>
      <c r="C6" s="106" t="s">
        <v>119</v>
      </c>
      <c r="D6" s="111">
        <v>0</v>
      </c>
      <c r="E6" s="71">
        <v>0</v>
      </c>
      <c r="F6" s="112">
        <v>0</v>
      </c>
      <c r="G6" s="111">
        <v>0</v>
      </c>
      <c r="H6" s="71">
        <v>0</v>
      </c>
      <c r="I6" s="112">
        <v>0</v>
      </c>
      <c r="J6" s="111">
        <f aca="true" t="shared" si="1" ref="J6:J23">G6</f>
        <v>0</v>
      </c>
      <c r="K6" s="71">
        <f t="shared" si="0"/>
        <v>0</v>
      </c>
      <c r="L6" s="112">
        <f t="shared" si="0"/>
        <v>0</v>
      </c>
      <c r="M6" s="102">
        <f aca="true" t="shared" si="2" ref="M6:O23">(D6+G6+J6)/2.5</f>
        <v>0</v>
      </c>
      <c r="N6" s="71">
        <f t="shared" si="2"/>
        <v>0</v>
      </c>
      <c r="O6" s="71">
        <f t="shared" si="2"/>
        <v>0</v>
      </c>
    </row>
    <row r="7" spans="1:15" ht="13.5" customHeight="1">
      <c r="A7" s="25"/>
      <c r="B7" s="572"/>
      <c r="C7" s="106" t="s">
        <v>130</v>
      </c>
      <c r="D7" s="111">
        <v>0</v>
      </c>
      <c r="E7" s="71">
        <v>0</v>
      </c>
      <c r="F7" s="112">
        <v>0</v>
      </c>
      <c r="G7" s="111">
        <v>0</v>
      </c>
      <c r="H7" s="71">
        <v>0</v>
      </c>
      <c r="I7" s="112">
        <v>0</v>
      </c>
      <c r="J7" s="111">
        <f t="shared" si="1"/>
        <v>0</v>
      </c>
      <c r="K7" s="71">
        <f t="shared" si="0"/>
        <v>0</v>
      </c>
      <c r="L7" s="112">
        <f t="shared" si="0"/>
        <v>0</v>
      </c>
      <c r="M7" s="102">
        <f t="shared" si="2"/>
        <v>0</v>
      </c>
      <c r="N7" s="71">
        <f t="shared" si="2"/>
        <v>0</v>
      </c>
      <c r="O7" s="71">
        <f t="shared" si="2"/>
        <v>0</v>
      </c>
    </row>
    <row r="8" spans="1:15" ht="13.5" customHeight="1">
      <c r="A8" s="25"/>
      <c r="B8" s="572"/>
      <c r="C8" s="106" t="s">
        <v>131</v>
      </c>
      <c r="D8" s="111">
        <f>IESWTR!E8*0.5</f>
        <v>1</v>
      </c>
      <c r="E8" s="71">
        <f>(IESWTR!G8+IESWTR!H8+IESWTR!I8)*0.5</f>
        <v>29.68911</v>
      </c>
      <c r="F8" s="112">
        <f>IESWTR!J8*0.5</f>
        <v>4.9534899999999995</v>
      </c>
      <c r="G8" s="111">
        <f>IESWTR!E8</f>
        <v>2</v>
      </c>
      <c r="H8" s="71">
        <f>IESWTR!G8+IESWTR!H8+IESWTR!I8</f>
        <v>59.37822</v>
      </c>
      <c r="I8" s="112">
        <f>IESWTR!J8</f>
        <v>9.906979999999999</v>
      </c>
      <c r="J8" s="111">
        <f t="shared" si="1"/>
        <v>2</v>
      </c>
      <c r="K8" s="71">
        <f t="shared" si="0"/>
        <v>59.37822</v>
      </c>
      <c r="L8" s="112">
        <f t="shared" si="0"/>
        <v>9.906979999999999</v>
      </c>
      <c r="M8" s="102">
        <f t="shared" si="2"/>
        <v>2</v>
      </c>
      <c r="N8" s="71">
        <f t="shared" si="2"/>
        <v>59.37822</v>
      </c>
      <c r="O8" s="71">
        <f t="shared" si="2"/>
        <v>9.906979999999999</v>
      </c>
    </row>
    <row r="9" spans="1:15" ht="13.5" customHeight="1">
      <c r="A9" s="25"/>
      <c r="B9" s="572"/>
      <c r="C9" s="106" t="s">
        <v>132</v>
      </c>
      <c r="D9" s="111">
        <f>IESWTR!E9*0.5</f>
        <v>0.17755360362088146</v>
      </c>
      <c r="E9" s="71">
        <f>(IESWTR!G9+IESWTR!H9+IESWTR!I9)*0.5</f>
        <v>5.271408468796747</v>
      </c>
      <c r="F9" s="112">
        <f>IESWTR!J9*0.5</f>
        <v>0.8795099999999999</v>
      </c>
      <c r="G9" s="111">
        <f>IESWTR!E9</f>
        <v>0.3551072072417629</v>
      </c>
      <c r="H9" s="71">
        <f>IESWTR!G9+IESWTR!H9+IESWTR!I9</f>
        <v>10.542816937593495</v>
      </c>
      <c r="I9" s="112">
        <f>IESWTR!J9</f>
        <v>1.7590199999999998</v>
      </c>
      <c r="J9" s="111">
        <f t="shared" si="1"/>
        <v>0.3551072072417629</v>
      </c>
      <c r="K9" s="71">
        <f t="shared" si="0"/>
        <v>10.542816937593495</v>
      </c>
      <c r="L9" s="112">
        <f t="shared" si="0"/>
        <v>1.7590199999999998</v>
      </c>
      <c r="M9" s="102">
        <f t="shared" si="2"/>
        <v>0.3551072072417629</v>
      </c>
      <c r="N9" s="71">
        <f t="shared" si="2"/>
        <v>10.542816937593495</v>
      </c>
      <c r="O9" s="71">
        <f t="shared" si="2"/>
        <v>1.75902</v>
      </c>
    </row>
    <row r="10" spans="2:15" ht="13.5" customHeight="1" thickBot="1">
      <c r="B10" s="569" t="s">
        <v>127</v>
      </c>
      <c r="C10" s="592"/>
      <c r="D10" s="113">
        <f>IESWTR!E10*0.5</f>
        <v>1.1775536036208814</v>
      </c>
      <c r="E10" s="81">
        <f>(IESWTR!G10+IESWTR!H10+IESWTR!I10)*0.5</f>
        <v>34.96051846879675</v>
      </c>
      <c r="F10" s="114">
        <f>IESWTR!J10*0.5</f>
        <v>5.832999999999999</v>
      </c>
      <c r="G10" s="113">
        <f>IESWTR!E10</f>
        <v>2.3551072072417627</v>
      </c>
      <c r="H10" s="81">
        <f>IESWTR!G10+IESWTR!H10+IESWTR!I10</f>
        <v>69.9210369375935</v>
      </c>
      <c r="I10" s="114">
        <f>IESWTR!J10</f>
        <v>11.665999999999999</v>
      </c>
      <c r="J10" s="113">
        <f t="shared" si="1"/>
        <v>2.3551072072417627</v>
      </c>
      <c r="K10" s="81">
        <f t="shared" si="0"/>
        <v>69.9210369375935</v>
      </c>
      <c r="L10" s="114">
        <f t="shared" si="0"/>
        <v>11.665999999999999</v>
      </c>
      <c r="M10" s="103">
        <f t="shared" si="2"/>
        <v>2.3551072072417627</v>
      </c>
      <c r="N10" s="81">
        <f t="shared" si="2"/>
        <v>69.9210369375935</v>
      </c>
      <c r="O10" s="81">
        <f t="shared" si="2"/>
        <v>11.666</v>
      </c>
    </row>
    <row r="11" spans="2:15" ht="13.5" customHeight="1">
      <c r="B11" s="571" t="s">
        <v>2</v>
      </c>
      <c r="C11" s="105" t="s">
        <v>118</v>
      </c>
      <c r="D11" s="109">
        <v>0</v>
      </c>
      <c r="E11" s="79">
        <v>0</v>
      </c>
      <c r="F11" s="110">
        <v>0</v>
      </c>
      <c r="G11" s="109">
        <v>0</v>
      </c>
      <c r="H11" s="79">
        <v>0</v>
      </c>
      <c r="I11" s="110">
        <v>0</v>
      </c>
      <c r="J11" s="109">
        <f t="shared" si="1"/>
        <v>0</v>
      </c>
      <c r="K11" s="79">
        <f t="shared" si="0"/>
        <v>0</v>
      </c>
      <c r="L11" s="110">
        <f t="shared" si="0"/>
        <v>0</v>
      </c>
      <c r="M11" s="101">
        <f t="shared" si="2"/>
        <v>0</v>
      </c>
      <c r="N11" s="79">
        <f t="shared" si="2"/>
        <v>0</v>
      </c>
      <c r="O11" s="79">
        <f t="shared" si="2"/>
        <v>0</v>
      </c>
    </row>
    <row r="12" spans="2:15" ht="13.5" customHeight="1">
      <c r="B12" s="572"/>
      <c r="C12" s="106" t="s">
        <v>119</v>
      </c>
      <c r="D12" s="111">
        <v>0</v>
      </c>
      <c r="E12" s="71">
        <v>0</v>
      </c>
      <c r="F12" s="112">
        <v>0</v>
      </c>
      <c r="G12" s="111">
        <v>0</v>
      </c>
      <c r="H12" s="71">
        <v>0</v>
      </c>
      <c r="I12" s="112">
        <v>0</v>
      </c>
      <c r="J12" s="111">
        <f t="shared" si="1"/>
        <v>0</v>
      </c>
      <c r="K12" s="71">
        <f t="shared" si="0"/>
        <v>0</v>
      </c>
      <c r="L12" s="112">
        <f t="shared" si="0"/>
        <v>0</v>
      </c>
      <c r="M12" s="102">
        <f t="shared" si="2"/>
        <v>0</v>
      </c>
      <c r="N12" s="71">
        <f t="shared" si="2"/>
        <v>0</v>
      </c>
      <c r="O12" s="71">
        <f t="shared" si="2"/>
        <v>0</v>
      </c>
    </row>
    <row r="13" spans="2:15" ht="13.5" customHeight="1">
      <c r="B13" s="572"/>
      <c r="C13" s="106" t="s">
        <v>130</v>
      </c>
      <c r="D13" s="111">
        <v>0</v>
      </c>
      <c r="E13" s="71">
        <v>0</v>
      </c>
      <c r="F13" s="112">
        <v>0</v>
      </c>
      <c r="G13" s="111">
        <v>0</v>
      </c>
      <c r="H13" s="71">
        <v>0</v>
      </c>
      <c r="I13" s="112">
        <v>0</v>
      </c>
      <c r="J13" s="111">
        <f t="shared" si="1"/>
        <v>0</v>
      </c>
      <c r="K13" s="71">
        <f t="shared" si="0"/>
        <v>0</v>
      </c>
      <c r="L13" s="112">
        <f t="shared" si="0"/>
        <v>0</v>
      </c>
      <c r="M13" s="102">
        <f t="shared" si="2"/>
        <v>0</v>
      </c>
      <c r="N13" s="71">
        <f t="shared" si="2"/>
        <v>0</v>
      </c>
      <c r="O13" s="71">
        <f t="shared" si="2"/>
        <v>0</v>
      </c>
    </row>
    <row r="14" spans="2:15" ht="13.5" customHeight="1">
      <c r="B14" s="572"/>
      <c r="C14" s="106" t="s">
        <v>131</v>
      </c>
      <c r="D14" s="111">
        <f>IESWTR!E14*0.5</f>
        <v>0.0026466188485290173</v>
      </c>
      <c r="E14" s="71">
        <f>(IESWTR!G14+IESWTR!H14+IESWTR!I14)*0.5</f>
        <v>0.07857575812205131</v>
      </c>
      <c r="F14" s="112">
        <f>IESWTR!J14*0.5</f>
        <v>0.0138</v>
      </c>
      <c r="G14" s="111">
        <f>IESWTR!E14</f>
        <v>0.005293237697058035</v>
      </c>
      <c r="H14" s="71">
        <f>IESWTR!G14+IESWTR!H14+IESWTR!I14</f>
        <v>0.15715151624410262</v>
      </c>
      <c r="I14" s="112">
        <f>IESWTR!J14</f>
        <v>0.0276</v>
      </c>
      <c r="J14" s="111">
        <f t="shared" si="1"/>
        <v>0.005293237697058035</v>
      </c>
      <c r="K14" s="71">
        <f t="shared" si="0"/>
        <v>0.15715151624410262</v>
      </c>
      <c r="L14" s="112">
        <f t="shared" si="0"/>
        <v>0.0276</v>
      </c>
      <c r="M14" s="102">
        <f t="shared" si="2"/>
        <v>0.005293237697058034</v>
      </c>
      <c r="N14" s="71">
        <f t="shared" si="2"/>
        <v>0.15715151624410262</v>
      </c>
      <c r="O14" s="71">
        <f t="shared" si="2"/>
        <v>0.027600000000000003</v>
      </c>
    </row>
    <row r="15" spans="2:15" ht="13.5" customHeight="1">
      <c r="B15" s="572"/>
      <c r="C15" s="106" t="s">
        <v>132</v>
      </c>
      <c r="D15" s="111">
        <f>IESWTR!E15*0.5</f>
        <v>0</v>
      </c>
      <c r="E15" s="71">
        <f>(IESWTR!G15+IESWTR!H15+IESWTR!I15)*0.5</f>
        <v>0</v>
      </c>
      <c r="F15" s="112">
        <f>IESWTR!J15*0.5</f>
        <v>0</v>
      </c>
      <c r="G15" s="111">
        <f>IESWTR!E15</f>
        <v>0</v>
      </c>
      <c r="H15" s="71">
        <f>IESWTR!G15+IESWTR!H15+IESWTR!I15</f>
        <v>0</v>
      </c>
      <c r="I15" s="112">
        <f>IESWTR!J15</f>
        <v>0</v>
      </c>
      <c r="J15" s="111">
        <f t="shared" si="1"/>
        <v>0</v>
      </c>
      <c r="K15" s="71">
        <f t="shared" si="0"/>
        <v>0</v>
      </c>
      <c r="L15" s="112">
        <f t="shared" si="0"/>
        <v>0</v>
      </c>
      <c r="M15" s="102">
        <f t="shared" si="2"/>
        <v>0</v>
      </c>
      <c r="N15" s="71">
        <f t="shared" si="2"/>
        <v>0</v>
      </c>
      <c r="O15" s="71">
        <f t="shared" si="2"/>
        <v>0</v>
      </c>
    </row>
    <row r="16" spans="2:15" ht="13.5" customHeight="1" thickBot="1">
      <c r="B16" s="569" t="s">
        <v>127</v>
      </c>
      <c r="C16" s="592"/>
      <c r="D16" s="113">
        <f>IESWTR!E16*0.5</f>
        <v>0.0026466188485290173</v>
      </c>
      <c r="E16" s="81">
        <f>(IESWTR!G16+IESWTR!H16+IESWTR!I16)*0.5</f>
        <v>0.07857575812205131</v>
      </c>
      <c r="F16" s="114">
        <f>IESWTR!J16*0.5</f>
        <v>0.0138</v>
      </c>
      <c r="G16" s="113">
        <f>IESWTR!E16</f>
        <v>0.005293237697058035</v>
      </c>
      <c r="H16" s="81">
        <f>IESWTR!G16+IESWTR!H16+IESWTR!I16</f>
        <v>0.15715151624410262</v>
      </c>
      <c r="I16" s="114">
        <f>IESWTR!J16</f>
        <v>0.0276</v>
      </c>
      <c r="J16" s="113">
        <f t="shared" si="1"/>
        <v>0.005293237697058035</v>
      </c>
      <c r="K16" s="81">
        <f t="shared" si="0"/>
        <v>0.15715151624410262</v>
      </c>
      <c r="L16" s="114">
        <f t="shared" si="0"/>
        <v>0.0276</v>
      </c>
      <c r="M16" s="103">
        <f t="shared" si="2"/>
        <v>0.005293237697058034</v>
      </c>
      <c r="N16" s="81">
        <f t="shared" si="2"/>
        <v>0.15715151624410262</v>
      </c>
      <c r="O16" s="81">
        <f t="shared" si="2"/>
        <v>0.027600000000000003</v>
      </c>
    </row>
    <row r="17" spans="2:15" ht="13.5" customHeight="1">
      <c r="B17" s="571" t="s">
        <v>124</v>
      </c>
      <c r="C17" s="105" t="s">
        <v>118</v>
      </c>
      <c r="D17" s="109">
        <v>0</v>
      </c>
      <c r="E17" s="79">
        <v>0</v>
      </c>
      <c r="F17" s="110">
        <v>0</v>
      </c>
      <c r="G17" s="109">
        <v>0</v>
      </c>
      <c r="H17" s="79">
        <v>0</v>
      </c>
      <c r="I17" s="110">
        <v>0</v>
      </c>
      <c r="J17" s="109">
        <f t="shared" si="1"/>
        <v>0</v>
      </c>
      <c r="K17" s="79">
        <f t="shared" si="0"/>
        <v>0</v>
      </c>
      <c r="L17" s="110">
        <f t="shared" si="0"/>
        <v>0</v>
      </c>
      <c r="M17" s="101">
        <f t="shared" si="2"/>
        <v>0</v>
      </c>
      <c r="N17" s="79">
        <f t="shared" si="2"/>
        <v>0</v>
      </c>
      <c r="O17" s="79">
        <f t="shared" si="2"/>
        <v>0</v>
      </c>
    </row>
    <row r="18" spans="2:15" ht="13.5" customHeight="1">
      <c r="B18" s="572"/>
      <c r="C18" s="106" t="s">
        <v>119</v>
      </c>
      <c r="D18" s="111">
        <v>0</v>
      </c>
      <c r="E18" s="71">
        <v>0</v>
      </c>
      <c r="F18" s="112">
        <v>0</v>
      </c>
      <c r="G18" s="111">
        <v>0</v>
      </c>
      <c r="H18" s="71">
        <v>0</v>
      </c>
      <c r="I18" s="112">
        <v>0</v>
      </c>
      <c r="J18" s="111">
        <f t="shared" si="1"/>
        <v>0</v>
      </c>
      <c r="K18" s="71">
        <f t="shared" si="0"/>
        <v>0</v>
      </c>
      <c r="L18" s="112">
        <f t="shared" si="0"/>
        <v>0</v>
      </c>
      <c r="M18" s="102">
        <f t="shared" si="2"/>
        <v>0</v>
      </c>
      <c r="N18" s="71">
        <f t="shared" si="2"/>
        <v>0</v>
      </c>
      <c r="O18" s="71">
        <f t="shared" si="2"/>
        <v>0</v>
      </c>
    </row>
    <row r="19" spans="2:15" ht="13.5" customHeight="1">
      <c r="B19" s="572"/>
      <c r="C19" s="106" t="s">
        <v>130</v>
      </c>
      <c r="D19" s="111">
        <v>0</v>
      </c>
      <c r="E19" s="71">
        <v>0</v>
      </c>
      <c r="F19" s="112">
        <v>0</v>
      </c>
      <c r="G19" s="111">
        <v>0</v>
      </c>
      <c r="H19" s="71">
        <v>0</v>
      </c>
      <c r="I19" s="112">
        <v>0</v>
      </c>
      <c r="J19" s="111">
        <f t="shared" si="1"/>
        <v>0</v>
      </c>
      <c r="K19" s="71">
        <f t="shared" si="0"/>
        <v>0</v>
      </c>
      <c r="L19" s="112">
        <f t="shared" si="0"/>
        <v>0</v>
      </c>
      <c r="M19" s="102">
        <f t="shared" si="2"/>
        <v>0</v>
      </c>
      <c r="N19" s="71">
        <f t="shared" si="2"/>
        <v>0</v>
      </c>
      <c r="O19" s="71">
        <f t="shared" si="2"/>
        <v>0</v>
      </c>
    </row>
    <row r="20" spans="2:15" ht="13.5" customHeight="1">
      <c r="B20" s="572"/>
      <c r="C20" s="106" t="s">
        <v>131</v>
      </c>
      <c r="D20" s="111">
        <f>IESWTR!E20*0.5</f>
        <v>0.009876874688351044</v>
      </c>
      <c r="E20" s="71">
        <f>(IESWTR!G20+IESWTR!H20+IESWTR!I20)*0.5</f>
        <v>0.2932356190786698</v>
      </c>
      <c r="F20" s="112">
        <f>IESWTR!J20*0.5</f>
        <v>0.051500000000000004</v>
      </c>
      <c r="G20" s="111">
        <f>IESWTR!E20</f>
        <v>0.019753749376702087</v>
      </c>
      <c r="H20" s="71">
        <f>IESWTR!G20+IESWTR!H20+IESWTR!I20</f>
        <v>0.5864712381573396</v>
      </c>
      <c r="I20" s="112">
        <f>IESWTR!J20</f>
        <v>0.10300000000000001</v>
      </c>
      <c r="J20" s="111">
        <f t="shared" si="1"/>
        <v>0.019753749376702087</v>
      </c>
      <c r="K20" s="71">
        <f t="shared" si="0"/>
        <v>0.5864712381573396</v>
      </c>
      <c r="L20" s="112">
        <f t="shared" si="0"/>
        <v>0.10300000000000001</v>
      </c>
      <c r="M20" s="102">
        <f t="shared" si="2"/>
        <v>0.019753749376702087</v>
      </c>
      <c r="N20" s="71">
        <f t="shared" si="2"/>
        <v>0.5864712381573396</v>
      </c>
      <c r="O20" s="71">
        <f t="shared" si="2"/>
        <v>0.10300000000000002</v>
      </c>
    </row>
    <row r="21" spans="2:15" ht="13.5" customHeight="1">
      <c r="B21" s="572"/>
      <c r="C21" s="106" t="s">
        <v>132</v>
      </c>
      <c r="D21" s="111">
        <f>IESWTR!E21*0.5</f>
        <v>0</v>
      </c>
      <c r="E21" s="71">
        <f>(IESWTR!G21+IESWTR!H21+IESWTR!I21)*0.5</f>
        <v>0</v>
      </c>
      <c r="F21" s="112">
        <f>IESWTR!J21*0.5</f>
        <v>0</v>
      </c>
      <c r="G21" s="111">
        <f>IESWTR!E21</f>
        <v>0</v>
      </c>
      <c r="H21" s="71">
        <f>IESWTR!G21+IESWTR!H21+IESWTR!I21</f>
        <v>0</v>
      </c>
      <c r="I21" s="112">
        <f>IESWTR!J21</f>
        <v>0</v>
      </c>
      <c r="J21" s="111">
        <f t="shared" si="1"/>
        <v>0</v>
      </c>
      <c r="K21" s="71">
        <f aca="true" t="shared" si="3" ref="K21:L23">H21</f>
        <v>0</v>
      </c>
      <c r="L21" s="112">
        <f t="shared" si="3"/>
        <v>0</v>
      </c>
      <c r="M21" s="102">
        <f t="shared" si="2"/>
        <v>0</v>
      </c>
      <c r="N21" s="71">
        <f t="shared" si="2"/>
        <v>0</v>
      </c>
      <c r="O21" s="71">
        <f t="shared" si="2"/>
        <v>0</v>
      </c>
    </row>
    <row r="22" spans="2:15" ht="13.5" customHeight="1" thickBot="1">
      <c r="B22" s="569" t="s">
        <v>127</v>
      </c>
      <c r="C22" s="592"/>
      <c r="D22" s="113">
        <f>IESWTR!E22*0.5</f>
        <v>0.009876874688351044</v>
      </c>
      <c r="E22" s="81">
        <f>(IESWTR!G22+IESWTR!H22+IESWTR!I22)*0.5</f>
        <v>0.2932356190786698</v>
      </c>
      <c r="F22" s="114">
        <f>IESWTR!J22*0.5</f>
        <v>0.051500000000000004</v>
      </c>
      <c r="G22" s="113">
        <f>IESWTR!E22</f>
        <v>0.019753749376702087</v>
      </c>
      <c r="H22" s="81">
        <f>IESWTR!G22+IESWTR!H22+IESWTR!I22</f>
        <v>0.5864712381573396</v>
      </c>
      <c r="I22" s="114">
        <f>IESWTR!J22</f>
        <v>0.10300000000000001</v>
      </c>
      <c r="J22" s="113">
        <f t="shared" si="1"/>
        <v>0.019753749376702087</v>
      </c>
      <c r="K22" s="81">
        <f t="shared" si="3"/>
        <v>0.5864712381573396</v>
      </c>
      <c r="L22" s="114">
        <f t="shared" si="3"/>
        <v>0.10300000000000001</v>
      </c>
      <c r="M22" s="103">
        <f t="shared" si="2"/>
        <v>0.019753749376702087</v>
      </c>
      <c r="N22" s="81">
        <f t="shared" si="2"/>
        <v>0.5864712381573396</v>
      </c>
      <c r="O22" s="81">
        <f t="shared" si="2"/>
        <v>0.10300000000000002</v>
      </c>
    </row>
    <row r="23" spans="2:15" ht="13.5" customHeight="1">
      <c r="B23" s="567" t="s">
        <v>207</v>
      </c>
      <c r="C23" s="581"/>
      <c r="D23" s="115">
        <f>IESWTR!E23*0.5</f>
        <v>1.1900770971577614</v>
      </c>
      <c r="E23" s="82">
        <f>(IESWTR!G23+IESWTR!H23+IESWTR!I23)*0.5</f>
        <v>35.332329845997464</v>
      </c>
      <c r="F23" s="116">
        <f>IESWTR!J23*0.5</f>
        <v>5.898299999999999</v>
      </c>
      <c r="G23" s="115">
        <f>IESWTR!E23</f>
        <v>2.380154194315523</v>
      </c>
      <c r="H23" s="82">
        <f>IESWTR!G23+IESWTR!H23+IESWTR!I23</f>
        <v>70.66465969199493</v>
      </c>
      <c r="I23" s="116">
        <f>IESWTR!J23</f>
        <v>11.796599999999998</v>
      </c>
      <c r="J23" s="115">
        <f t="shared" si="1"/>
        <v>2.380154194315523</v>
      </c>
      <c r="K23" s="82">
        <f t="shared" si="3"/>
        <v>70.66465969199493</v>
      </c>
      <c r="L23" s="116">
        <f t="shared" si="3"/>
        <v>11.796599999999998</v>
      </c>
      <c r="M23" s="104">
        <f t="shared" si="2"/>
        <v>2.380154194315523</v>
      </c>
      <c r="N23" s="82">
        <f t="shared" si="2"/>
        <v>70.66465969199493</v>
      </c>
      <c r="O23" s="82">
        <f t="shared" si="2"/>
        <v>11.796599999999998</v>
      </c>
    </row>
    <row r="24" spans="2:15" ht="13.5" customHeight="1">
      <c r="B24" s="64" t="s">
        <v>129</v>
      </c>
      <c r="C24" s="582" t="s">
        <v>319</v>
      </c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</row>
    <row r="25" spans="2:15" ht="12.75">
      <c r="B25" s="64" t="s">
        <v>173</v>
      </c>
      <c r="C25" s="566" t="str">
        <f>'Existing Tier 1'!C29:N29</f>
        <v>Detail may not add to totals due to independent rounding.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</row>
    <row r="26" spans="3:11" ht="12.75">
      <c r="C26" s="566" t="s">
        <v>320</v>
      </c>
      <c r="D26" s="587"/>
      <c r="E26" s="587"/>
      <c r="F26" s="587"/>
      <c r="G26" s="587"/>
      <c r="H26" s="587"/>
      <c r="I26" s="587"/>
      <c r="J26" s="587"/>
      <c r="K26" s="587"/>
    </row>
    <row r="27" spans="3:15" ht="12.75">
      <c r="C27" s="566" t="s">
        <v>329</v>
      </c>
      <c r="D27" s="587"/>
      <c r="E27" s="587"/>
      <c r="F27" s="587"/>
      <c r="G27" s="587"/>
      <c r="H27" s="587"/>
      <c r="I27" s="587"/>
      <c r="J27" s="587"/>
      <c r="K27" s="587"/>
      <c r="L27" s="561"/>
      <c r="M27" s="561"/>
      <c r="N27" s="561"/>
      <c r="O27" s="561"/>
    </row>
    <row r="28" spans="3:16" ht="12.75" customHeight="1">
      <c r="C28" s="566"/>
      <c r="D28" s="587"/>
      <c r="E28" s="587"/>
      <c r="F28" s="587"/>
      <c r="G28" s="587"/>
      <c r="H28" s="587"/>
      <c r="I28" s="587"/>
      <c r="J28" s="587"/>
      <c r="K28" s="587"/>
      <c r="L28" s="561"/>
      <c r="M28" s="561"/>
      <c r="N28" s="561"/>
      <c r="O28" s="561"/>
      <c r="P28" s="68"/>
    </row>
  </sheetData>
  <mergeCells count="20">
    <mergeCell ref="C25:O25"/>
    <mergeCell ref="C26:K26"/>
    <mergeCell ref="C27:O27"/>
    <mergeCell ref="C28:O28"/>
    <mergeCell ref="B17:B21"/>
    <mergeCell ref="B22:C22"/>
    <mergeCell ref="B23:C23"/>
    <mergeCell ref="C24:O24"/>
    <mergeCell ref="B5:B9"/>
    <mergeCell ref="B10:C10"/>
    <mergeCell ref="B11:B15"/>
    <mergeCell ref="B16:C16"/>
    <mergeCell ref="B1:O1"/>
    <mergeCell ref="B2:O2"/>
    <mergeCell ref="B3:B4"/>
    <mergeCell ref="C3:C4"/>
    <mergeCell ref="D3:F3"/>
    <mergeCell ref="G3:I3"/>
    <mergeCell ref="J3:L3"/>
    <mergeCell ref="M3:O3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21">
      <selection activeCell="A23" sqref="A23"/>
    </sheetView>
  </sheetViews>
  <sheetFormatPr defaultColWidth="9.140625" defaultRowHeight="12.75"/>
  <cols>
    <col min="2" max="2" width="7.8515625" style="0" customWidth="1"/>
    <col min="3" max="3" width="10.421875" style="0" customWidth="1"/>
    <col min="4" max="4" width="8.140625" style="0" customWidth="1"/>
    <col min="5" max="5" width="10.7109375" style="0" customWidth="1"/>
    <col min="6" max="6" width="11.7109375" style="0" customWidth="1"/>
    <col min="7" max="7" width="12.7109375" style="0" customWidth="1"/>
    <col min="8" max="8" width="6.00390625" style="0" customWidth="1"/>
    <col min="10" max="10" width="12.28125" style="0" customWidth="1"/>
  </cols>
  <sheetData>
    <row r="1" spans="1:12" ht="20.25" customHeight="1">
      <c r="A1" s="25"/>
      <c r="B1" s="556" t="s">
        <v>305</v>
      </c>
      <c r="C1" s="556"/>
      <c r="D1" s="556"/>
      <c r="E1" s="556"/>
      <c r="F1" s="556"/>
      <c r="G1" s="556"/>
      <c r="H1" s="25"/>
      <c r="I1" s="25"/>
      <c r="J1" s="25"/>
      <c r="K1" s="25"/>
      <c r="L1" s="25"/>
    </row>
    <row r="2" spans="1:12" ht="20.25" customHeight="1">
      <c r="A2" s="25"/>
      <c r="B2" s="570" t="s">
        <v>197</v>
      </c>
      <c r="C2" s="570"/>
      <c r="D2" s="570"/>
      <c r="E2" s="570"/>
      <c r="F2" s="570"/>
      <c r="G2" s="570"/>
      <c r="H2" s="61"/>
      <c r="I2" s="25"/>
      <c r="J2" s="25"/>
      <c r="K2" s="25"/>
      <c r="L2" s="25"/>
    </row>
    <row r="3" spans="1:12" ht="18" customHeight="1">
      <c r="A3" s="25"/>
      <c r="B3" s="552" t="s">
        <v>116</v>
      </c>
      <c r="C3" s="619" t="s">
        <v>117</v>
      </c>
      <c r="D3" s="614" t="s">
        <v>133</v>
      </c>
      <c r="E3" s="548" t="s">
        <v>62</v>
      </c>
      <c r="F3" s="548"/>
      <c r="G3" s="479" t="s">
        <v>63</v>
      </c>
      <c r="H3" s="61"/>
      <c r="I3" s="25"/>
      <c r="J3" s="25"/>
      <c r="K3" s="25"/>
      <c r="L3" s="25"/>
    </row>
    <row r="4" spans="1:10" ht="33" customHeight="1" thickBot="1">
      <c r="A4" s="25"/>
      <c r="B4" s="553"/>
      <c r="C4" s="620"/>
      <c r="D4" s="615"/>
      <c r="E4" s="100" t="s">
        <v>205</v>
      </c>
      <c r="F4" s="475" t="s">
        <v>232</v>
      </c>
      <c r="G4" s="480" t="s">
        <v>225</v>
      </c>
      <c r="H4" s="62"/>
      <c r="I4" s="25"/>
      <c r="J4" s="17" t="s">
        <v>198</v>
      </c>
    </row>
    <row r="5" spans="1:13" ht="19.5" customHeight="1">
      <c r="A5" s="25"/>
      <c r="B5" s="571" t="s">
        <v>0</v>
      </c>
      <c r="C5" s="469" t="s">
        <v>118</v>
      </c>
      <c r="D5" s="462">
        <f>K8+K9</f>
        <v>362.886</v>
      </c>
      <c r="E5" s="101">
        <f>D5*0.02</f>
        <v>7.257720000000001</v>
      </c>
      <c r="F5" s="476">
        <f>D5*0.01*0.05</f>
        <v>0.18144300000000002</v>
      </c>
      <c r="G5" s="462">
        <f>D5*0.01*0.95</f>
        <v>3.447417</v>
      </c>
      <c r="H5" s="63"/>
      <c r="I5" s="25"/>
      <c r="J5" s="606" t="s">
        <v>148</v>
      </c>
      <c r="K5" s="609" t="s">
        <v>134</v>
      </c>
      <c r="L5" s="610"/>
      <c r="M5" s="610"/>
    </row>
    <row r="6" spans="1:13" ht="19.5" customHeight="1">
      <c r="A6" s="25"/>
      <c r="B6" s="572"/>
      <c r="C6" s="467" t="s">
        <v>119</v>
      </c>
      <c r="D6" s="463">
        <f>K10+K11</f>
        <v>683.634</v>
      </c>
      <c r="E6" s="102">
        <f>D6*0.02</f>
        <v>13.67268</v>
      </c>
      <c r="F6" s="476">
        <f aca="true" t="shared" si="0" ref="F6:F21">D6*0.01*0.05</f>
        <v>0.34181700000000004</v>
      </c>
      <c r="G6" s="462">
        <f aca="true" t="shared" si="1" ref="G6:G21">D6*0.01*0.95</f>
        <v>6.494522999999999</v>
      </c>
      <c r="H6" s="63"/>
      <c r="I6" s="25"/>
      <c r="J6" s="607"/>
      <c r="K6" s="610"/>
      <c r="L6" s="610"/>
      <c r="M6" s="610"/>
    </row>
    <row r="7" spans="1:13" ht="19.5" customHeight="1" thickBot="1">
      <c r="A7" s="25"/>
      <c r="B7" s="572"/>
      <c r="C7" s="467" t="s">
        <v>130</v>
      </c>
      <c r="D7" s="463">
        <f>K12</f>
        <v>528.12</v>
      </c>
      <c r="E7" s="102">
        <f>D7*0.02</f>
        <v>10.5624</v>
      </c>
      <c r="F7" s="476">
        <f t="shared" si="0"/>
        <v>0.26406</v>
      </c>
      <c r="G7" s="462">
        <f t="shared" si="1"/>
        <v>5.0171399999999995</v>
      </c>
      <c r="H7" s="63"/>
      <c r="I7" s="25"/>
      <c r="J7" s="608"/>
      <c r="K7" s="51" t="s">
        <v>0</v>
      </c>
      <c r="L7" s="51" t="s">
        <v>136</v>
      </c>
      <c r="M7" s="51" t="s">
        <v>137</v>
      </c>
    </row>
    <row r="8" spans="1:13" ht="19.5" customHeight="1">
      <c r="A8" s="25"/>
      <c r="B8" s="572"/>
      <c r="C8" s="467" t="s">
        <v>131</v>
      </c>
      <c r="D8" s="464">
        <f>K13+K14</f>
        <v>625.704</v>
      </c>
      <c r="E8" s="102">
        <f>D8*0.02</f>
        <v>12.51408</v>
      </c>
      <c r="F8" s="476">
        <f t="shared" si="0"/>
        <v>0.312852</v>
      </c>
      <c r="G8" s="462">
        <f t="shared" si="1"/>
        <v>5.944188</v>
      </c>
      <c r="H8" s="64"/>
      <c r="I8" s="25"/>
      <c r="J8" s="52" t="s">
        <v>138</v>
      </c>
      <c r="K8" s="70">
        <v>119.016</v>
      </c>
      <c r="L8" s="53">
        <v>76.76</v>
      </c>
      <c r="M8" s="53">
        <v>152</v>
      </c>
    </row>
    <row r="9" spans="1:13" ht="19.5" customHeight="1">
      <c r="A9" s="25"/>
      <c r="B9" s="572"/>
      <c r="C9" s="467" t="s">
        <v>132</v>
      </c>
      <c r="D9" s="464">
        <f>K15+K16</f>
        <v>116.29599999999999</v>
      </c>
      <c r="E9" s="102">
        <f>D9*0.02</f>
        <v>2.32592</v>
      </c>
      <c r="F9" s="476">
        <f t="shared" si="0"/>
        <v>0.058148000000000005</v>
      </c>
      <c r="G9" s="462">
        <f t="shared" si="1"/>
        <v>1.104812</v>
      </c>
      <c r="H9" s="64"/>
      <c r="I9" s="25"/>
      <c r="J9" s="55" t="s">
        <v>139</v>
      </c>
      <c r="K9" s="70">
        <v>243.87</v>
      </c>
      <c r="L9" s="53">
        <v>129.8</v>
      </c>
      <c r="M9" s="53">
        <v>210.65</v>
      </c>
    </row>
    <row r="10" spans="1:13" ht="19.5" customHeight="1" thickBot="1">
      <c r="A10" s="25"/>
      <c r="B10" s="569" t="s">
        <v>127</v>
      </c>
      <c r="C10" s="604"/>
      <c r="D10" s="465">
        <f>SUM(D5:D9)</f>
        <v>2316.64</v>
      </c>
      <c r="E10" s="424">
        <f>SUM(E5:E9)</f>
        <v>46.33279999999999</v>
      </c>
      <c r="F10" s="477">
        <f>SUM(F5:F9)</f>
        <v>1.1583200000000002</v>
      </c>
      <c r="G10" s="465">
        <f>SUM(G5:G9)</f>
        <v>22.008079999999996</v>
      </c>
      <c r="H10" s="65"/>
      <c r="I10" s="25"/>
      <c r="J10" s="55" t="s">
        <v>140</v>
      </c>
      <c r="K10" s="70">
        <v>196.224</v>
      </c>
      <c r="L10" s="53">
        <v>61.32</v>
      </c>
      <c r="M10" s="53">
        <v>42.34</v>
      </c>
    </row>
    <row r="11" spans="1:13" ht="19.5" customHeight="1">
      <c r="A11" s="25"/>
      <c r="B11" s="571" t="s">
        <v>2</v>
      </c>
      <c r="C11" s="469" t="s">
        <v>118</v>
      </c>
      <c r="D11" s="462">
        <f>L8+L9</f>
        <v>206.56</v>
      </c>
      <c r="E11" s="101">
        <f>D11*0.02</f>
        <v>4.1312</v>
      </c>
      <c r="F11" s="476">
        <f t="shared" si="0"/>
        <v>0.10328</v>
      </c>
      <c r="G11" s="462">
        <f t="shared" si="1"/>
        <v>1.9623199999999998</v>
      </c>
      <c r="H11" s="63"/>
      <c r="I11" s="25"/>
      <c r="J11" s="55" t="s">
        <v>141</v>
      </c>
      <c r="K11" s="70">
        <v>487.41</v>
      </c>
      <c r="L11" s="53">
        <v>42.35</v>
      </c>
      <c r="M11" s="53">
        <v>39.27</v>
      </c>
    </row>
    <row r="12" spans="1:13" ht="19.5" customHeight="1">
      <c r="A12" s="25"/>
      <c r="B12" s="572"/>
      <c r="C12" s="467" t="s">
        <v>119</v>
      </c>
      <c r="D12" s="463">
        <f>L10+L11</f>
        <v>103.67</v>
      </c>
      <c r="E12" s="102">
        <f aca="true" t="shared" si="2" ref="E12:E21">D12*0.02</f>
        <v>2.0734</v>
      </c>
      <c r="F12" s="476">
        <f t="shared" si="0"/>
        <v>0.051835</v>
      </c>
      <c r="G12" s="462">
        <f t="shared" si="1"/>
        <v>0.9848649999999999</v>
      </c>
      <c r="H12" s="63"/>
      <c r="I12" s="25"/>
      <c r="J12" s="55" t="s">
        <v>142</v>
      </c>
      <c r="K12" s="70">
        <v>528.12</v>
      </c>
      <c r="L12" s="53">
        <v>11.7</v>
      </c>
      <c r="M12" s="53">
        <v>23.4</v>
      </c>
    </row>
    <row r="13" spans="1:13" ht="19.5" customHeight="1">
      <c r="A13" s="25"/>
      <c r="B13" s="572"/>
      <c r="C13" s="467" t="s">
        <v>130</v>
      </c>
      <c r="D13" s="463">
        <f>L12</f>
        <v>11.7</v>
      </c>
      <c r="E13" s="102">
        <f t="shared" si="2"/>
        <v>0.23399999999999999</v>
      </c>
      <c r="F13" s="476">
        <f t="shared" si="0"/>
        <v>0.00585</v>
      </c>
      <c r="G13" s="462">
        <f t="shared" si="1"/>
        <v>0.11114999999999998</v>
      </c>
      <c r="H13" s="63"/>
      <c r="I13" s="25"/>
      <c r="J13" s="55" t="s">
        <v>143</v>
      </c>
      <c r="K13" s="53">
        <v>512.808</v>
      </c>
      <c r="L13" s="53">
        <v>2.76</v>
      </c>
      <c r="M13" s="53">
        <v>7.36</v>
      </c>
    </row>
    <row r="14" spans="1:13" ht="19.5" customHeight="1">
      <c r="A14" s="25"/>
      <c r="B14" s="572"/>
      <c r="C14" s="467" t="s">
        <v>131</v>
      </c>
      <c r="D14" s="464">
        <f>L13+L14</f>
        <v>2.76</v>
      </c>
      <c r="E14" s="102">
        <f t="shared" si="2"/>
        <v>0.0552</v>
      </c>
      <c r="F14" s="476">
        <f t="shared" si="0"/>
        <v>0.0013800000000000002</v>
      </c>
      <c r="G14" s="462">
        <f t="shared" si="1"/>
        <v>0.026219999999999997</v>
      </c>
      <c r="H14" s="64"/>
      <c r="I14" s="25"/>
      <c r="J14" s="55" t="s">
        <v>144</v>
      </c>
      <c r="K14" s="53">
        <v>112.89600000000002</v>
      </c>
      <c r="L14" s="53">
        <v>0</v>
      </c>
      <c r="M14" s="53">
        <v>2.94</v>
      </c>
    </row>
    <row r="15" spans="1:13" ht="19.5" customHeight="1">
      <c r="A15" s="25"/>
      <c r="B15" s="572"/>
      <c r="C15" s="467" t="s">
        <v>132</v>
      </c>
      <c r="D15" s="464">
        <f>L15+L16</f>
        <v>0</v>
      </c>
      <c r="E15" s="102">
        <f t="shared" si="2"/>
        <v>0</v>
      </c>
      <c r="F15" s="476">
        <f t="shared" si="0"/>
        <v>0</v>
      </c>
      <c r="G15" s="462">
        <f t="shared" si="1"/>
        <v>0</v>
      </c>
      <c r="H15" s="64"/>
      <c r="I15" s="25"/>
      <c r="J15" s="55" t="s">
        <v>145</v>
      </c>
      <c r="K15" s="53">
        <v>109.29599999999999</v>
      </c>
      <c r="L15" s="53">
        <v>0</v>
      </c>
      <c r="M15" s="53">
        <v>0</v>
      </c>
    </row>
    <row r="16" spans="1:13" ht="19.5" customHeight="1" thickBot="1">
      <c r="A16" s="25"/>
      <c r="B16" s="569" t="s">
        <v>127</v>
      </c>
      <c r="C16" s="604"/>
      <c r="D16" s="465">
        <f>SUM(D11:D15)</f>
        <v>324.69</v>
      </c>
      <c r="E16" s="424">
        <f>SUM(E11:E15)</f>
        <v>6.493799999999999</v>
      </c>
      <c r="F16" s="477">
        <f>SUM(F11:F15)</f>
        <v>0.162345</v>
      </c>
      <c r="G16" s="465">
        <f>SUM(G11:G15)</f>
        <v>3.0845549999999995</v>
      </c>
      <c r="H16" s="65"/>
      <c r="I16" s="25"/>
      <c r="J16" s="55" t="s">
        <v>146</v>
      </c>
      <c r="K16" s="53">
        <v>7</v>
      </c>
      <c r="L16" s="53">
        <v>0</v>
      </c>
      <c r="M16" s="53">
        <v>0</v>
      </c>
    </row>
    <row r="17" spans="1:14" ht="19.5" customHeight="1">
      <c r="A17" s="25"/>
      <c r="B17" s="572" t="s">
        <v>124</v>
      </c>
      <c r="C17" s="467" t="s">
        <v>118</v>
      </c>
      <c r="D17" s="463">
        <f>M8+M9</f>
        <v>362.65</v>
      </c>
      <c r="E17" s="102">
        <f t="shared" si="2"/>
        <v>7.253</v>
      </c>
      <c r="F17" s="476">
        <f t="shared" si="0"/>
        <v>0.18132500000000001</v>
      </c>
      <c r="G17" s="462">
        <f t="shared" si="1"/>
        <v>3.445175</v>
      </c>
      <c r="H17" s="64"/>
      <c r="I17" s="25"/>
      <c r="J17" s="57" t="s">
        <v>6</v>
      </c>
      <c r="K17" s="58">
        <v>2316.64</v>
      </c>
      <c r="L17" s="58">
        <v>324.69</v>
      </c>
      <c r="M17" s="58">
        <v>477.96</v>
      </c>
      <c r="N17" s="19"/>
    </row>
    <row r="18" spans="1:12" ht="19.5" customHeight="1">
      <c r="A18" s="25"/>
      <c r="B18" s="572"/>
      <c r="C18" s="467" t="s">
        <v>119</v>
      </c>
      <c r="D18" s="463">
        <f>M10+M11</f>
        <v>81.61000000000001</v>
      </c>
      <c r="E18" s="102">
        <f t="shared" si="2"/>
        <v>1.6322000000000003</v>
      </c>
      <c r="F18" s="476">
        <f t="shared" si="0"/>
        <v>0.04080500000000001</v>
      </c>
      <c r="G18" s="462">
        <f t="shared" si="1"/>
        <v>0.7752950000000001</v>
      </c>
      <c r="H18" s="64"/>
      <c r="I18" s="25"/>
      <c r="J18" s="25"/>
      <c r="K18" s="25"/>
      <c r="L18" s="25"/>
    </row>
    <row r="19" spans="1:12" ht="19.5" customHeight="1">
      <c r="A19" s="25"/>
      <c r="B19" s="572"/>
      <c r="C19" s="467" t="s">
        <v>130</v>
      </c>
      <c r="D19" s="463">
        <f>M12</f>
        <v>23.4</v>
      </c>
      <c r="E19" s="102">
        <f t="shared" si="2"/>
        <v>0.46799999999999997</v>
      </c>
      <c r="F19" s="476">
        <f t="shared" si="0"/>
        <v>0.0117</v>
      </c>
      <c r="G19" s="462">
        <f t="shared" si="1"/>
        <v>0.22229999999999997</v>
      </c>
      <c r="H19" s="64"/>
      <c r="I19" s="25"/>
      <c r="J19" s="25"/>
      <c r="K19" s="25"/>
      <c r="L19" s="25"/>
    </row>
    <row r="20" spans="1:9" ht="19.5" customHeight="1">
      <c r="A20" s="25"/>
      <c r="B20" s="572"/>
      <c r="C20" s="467" t="s">
        <v>131</v>
      </c>
      <c r="D20" s="464">
        <f>M13+M14</f>
        <v>10.3</v>
      </c>
      <c r="E20" s="102">
        <f t="shared" si="2"/>
        <v>0.20600000000000002</v>
      </c>
      <c r="F20" s="476">
        <f t="shared" si="0"/>
        <v>0.005150000000000001</v>
      </c>
      <c r="G20" s="462">
        <f t="shared" si="1"/>
        <v>0.09785</v>
      </c>
      <c r="H20" s="64"/>
      <c r="I20" s="25"/>
    </row>
    <row r="21" spans="1:9" ht="19.5" customHeight="1">
      <c r="A21" s="25"/>
      <c r="B21" s="572"/>
      <c r="C21" s="467" t="s">
        <v>132</v>
      </c>
      <c r="D21" s="464">
        <f>M15+M16</f>
        <v>0</v>
      </c>
      <c r="E21" s="102">
        <f t="shared" si="2"/>
        <v>0</v>
      </c>
      <c r="F21" s="476">
        <f t="shared" si="0"/>
        <v>0</v>
      </c>
      <c r="G21" s="462">
        <f t="shared" si="1"/>
        <v>0</v>
      </c>
      <c r="H21" s="64"/>
      <c r="I21" s="25"/>
    </row>
    <row r="22" spans="1:9" ht="19.5" customHeight="1" thickBot="1">
      <c r="A22" s="25"/>
      <c r="B22" s="569" t="s">
        <v>127</v>
      </c>
      <c r="C22" s="604"/>
      <c r="D22" s="465">
        <f>SUM(D17:D21)</f>
        <v>477.96</v>
      </c>
      <c r="E22" s="424">
        <f>SUM(E17:E21)</f>
        <v>9.5592</v>
      </c>
      <c r="F22" s="477">
        <f>SUM(F17:F21)</f>
        <v>0.23898</v>
      </c>
      <c r="G22" s="465">
        <f>SUM(G17:G21)</f>
        <v>4.54062</v>
      </c>
      <c r="H22" s="66"/>
      <c r="I22" s="25"/>
    </row>
    <row r="23" spans="1:9" ht="19.5" customHeight="1">
      <c r="A23" s="25"/>
      <c r="B23" s="580" t="s">
        <v>128</v>
      </c>
      <c r="C23" s="618"/>
      <c r="D23" s="466">
        <f>D10+D16+D22</f>
        <v>3119.29</v>
      </c>
      <c r="E23" s="449">
        <f>E10+E16+E22</f>
        <v>62.38579999999999</v>
      </c>
      <c r="F23" s="478">
        <f>F10+F16+F22</f>
        <v>1.5596450000000002</v>
      </c>
      <c r="G23" s="466">
        <f>G10+G16+G22</f>
        <v>29.633254999999995</v>
      </c>
      <c r="H23" s="65"/>
      <c r="I23" s="25"/>
    </row>
    <row r="24" spans="1:9" ht="12.75" customHeight="1">
      <c r="A24" s="25"/>
      <c r="B24" s="94" t="s">
        <v>129</v>
      </c>
      <c r="C24" s="564" t="s">
        <v>286</v>
      </c>
      <c r="D24" s="564"/>
      <c r="E24" s="564"/>
      <c r="F24" s="564"/>
      <c r="G24" s="564"/>
      <c r="H24" s="50"/>
      <c r="I24" s="25"/>
    </row>
    <row r="25" spans="1:9" ht="12.75" customHeight="1">
      <c r="A25" s="25"/>
      <c r="B25" s="67"/>
      <c r="C25" s="565" t="s">
        <v>233</v>
      </c>
      <c r="D25" s="565"/>
      <c r="E25" s="565"/>
      <c r="F25" s="565"/>
      <c r="G25" s="565"/>
      <c r="H25" s="50"/>
      <c r="I25" s="25"/>
    </row>
    <row r="26" spans="3:13" ht="35.25" customHeight="1">
      <c r="C26" s="574" t="s">
        <v>293</v>
      </c>
      <c r="D26" s="574"/>
      <c r="E26" s="574"/>
      <c r="F26" s="574"/>
      <c r="G26" s="574"/>
      <c r="H26" s="50"/>
      <c r="I26" s="565"/>
      <c r="J26" s="565"/>
      <c r="K26" s="565"/>
      <c r="L26" s="565"/>
      <c r="M26" s="565"/>
    </row>
    <row r="27" spans="2:13" ht="13.5" customHeight="1">
      <c r="B27" s="83" t="str">
        <f>IESWTR!B29</f>
        <v>Notes:</v>
      </c>
      <c r="C27" s="565" t="str">
        <f>IESWTR!C29</f>
        <v>Detail may not add to totals due to independent rounding.</v>
      </c>
      <c r="D27" s="565"/>
      <c r="E27" s="565"/>
      <c r="F27" s="565"/>
      <c r="G27" s="565"/>
      <c r="H27" s="50"/>
      <c r="I27" s="565"/>
      <c r="J27" s="565"/>
      <c r="K27" s="565"/>
      <c r="L27" s="565"/>
      <c r="M27" s="565"/>
    </row>
    <row r="28" ht="13.5" customHeight="1"/>
    <row r="29" ht="12.75" customHeight="1"/>
    <row r="41" ht="13.5" customHeight="1"/>
  </sheetData>
  <mergeCells count="21">
    <mergeCell ref="I27:M27"/>
    <mergeCell ref="C26:G26"/>
    <mergeCell ref="I26:M26"/>
    <mergeCell ref="J5:J7"/>
    <mergeCell ref="K5:M6"/>
    <mergeCell ref="D3:D4"/>
    <mergeCell ref="B3:B4"/>
    <mergeCell ref="C25:G25"/>
    <mergeCell ref="C27:G27"/>
    <mergeCell ref="E3:F3"/>
    <mergeCell ref="C3:C4"/>
    <mergeCell ref="B1:G1"/>
    <mergeCell ref="B2:G2"/>
    <mergeCell ref="C24:G24"/>
    <mergeCell ref="B5:B9"/>
    <mergeCell ref="B11:B15"/>
    <mergeCell ref="B16:C16"/>
    <mergeCell ref="B22:C22"/>
    <mergeCell ref="B17:B21"/>
    <mergeCell ref="B23:C23"/>
    <mergeCell ref="B10:C10"/>
  </mergeCells>
  <printOptions horizontalCentered="1" verticalCentered="1"/>
  <pageMargins left="0.5" right="0.5" top="0.75" bottom="0.75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6">
      <selection activeCell="A23" sqref="A23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8.57421875" style="0" customWidth="1"/>
    <col min="5" max="5" width="8.00390625" style="0" customWidth="1"/>
    <col min="6" max="6" width="8.7109375" style="0" customWidth="1"/>
    <col min="7" max="7" width="7.7109375" style="0" customWidth="1"/>
    <col min="8" max="8" width="7.8515625" style="0" customWidth="1"/>
    <col min="9" max="9" width="7.7109375" style="0" customWidth="1"/>
    <col min="10" max="10" width="8.140625" style="0" customWidth="1"/>
    <col min="11" max="11" width="8.421875" style="0" customWidth="1"/>
    <col min="12" max="12" width="8.28125" style="0" customWidth="1"/>
    <col min="13" max="13" width="8.421875" style="0" customWidth="1"/>
    <col min="14" max="14" width="8.57421875" style="0" customWidth="1"/>
    <col min="15" max="15" width="8.7109375" style="0" customWidth="1"/>
  </cols>
  <sheetData>
    <row r="1" spans="1:15" ht="24" customHeight="1">
      <c r="A1" s="25"/>
      <c r="B1" s="556" t="s">
        <v>306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</row>
    <row r="2" spans="1:15" ht="26.25" customHeight="1">
      <c r="A2" s="25"/>
      <c r="B2" s="588" t="s">
        <v>201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</row>
    <row r="3" spans="1:15" ht="40.5" customHeight="1">
      <c r="A3" s="25"/>
      <c r="B3" s="552" t="s">
        <v>199</v>
      </c>
      <c r="C3" s="590" t="s">
        <v>200</v>
      </c>
      <c r="D3" s="593" t="s">
        <v>188</v>
      </c>
      <c r="E3" s="594"/>
      <c r="F3" s="595"/>
      <c r="G3" s="593" t="s">
        <v>189</v>
      </c>
      <c r="H3" s="594"/>
      <c r="I3" s="595"/>
      <c r="J3" s="593" t="s">
        <v>190</v>
      </c>
      <c r="K3" s="594"/>
      <c r="L3" s="595"/>
      <c r="M3" s="596" t="s">
        <v>187</v>
      </c>
      <c r="N3" s="594"/>
      <c r="O3" s="594"/>
    </row>
    <row r="4" spans="1:15" ht="27" customHeight="1" thickBot="1">
      <c r="A4" s="25"/>
      <c r="B4" s="589"/>
      <c r="C4" s="591"/>
      <c r="D4" s="107" t="s">
        <v>61</v>
      </c>
      <c r="E4" s="77" t="s">
        <v>62</v>
      </c>
      <c r="F4" s="108" t="s">
        <v>63</v>
      </c>
      <c r="G4" s="107" t="s">
        <v>61</v>
      </c>
      <c r="H4" s="77" t="s">
        <v>62</v>
      </c>
      <c r="I4" s="108" t="s">
        <v>63</v>
      </c>
      <c r="J4" s="107" t="s">
        <v>61</v>
      </c>
      <c r="K4" s="77" t="s">
        <v>62</v>
      </c>
      <c r="L4" s="108" t="s">
        <v>63</v>
      </c>
      <c r="M4" s="100" t="s">
        <v>61</v>
      </c>
      <c r="N4" s="77" t="s">
        <v>62</v>
      </c>
      <c r="O4" s="77" t="s">
        <v>63</v>
      </c>
    </row>
    <row r="5" spans="1:15" ht="13.5" customHeight="1">
      <c r="A5" s="25"/>
      <c r="B5" s="571" t="s">
        <v>0</v>
      </c>
      <c r="C5" s="105" t="s">
        <v>118</v>
      </c>
      <c r="D5" s="109">
        <v>0</v>
      </c>
      <c r="E5" s="79">
        <v>0</v>
      </c>
      <c r="F5" s="110">
        <v>0</v>
      </c>
      <c r="G5" s="109">
        <v>0</v>
      </c>
      <c r="H5" s="79">
        <v>0</v>
      </c>
      <c r="I5" s="110">
        <v>0</v>
      </c>
      <c r="J5" s="109">
        <v>0</v>
      </c>
      <c r="K5" s="79">
        <f>(FBRR!E5+FBRR!F5)*0.5</f>
        <v>3.7195815000000003</v>
      </c>
      <c r="L5" s="110">
        <f>FBRR!G5*0.5</f>
        <v>1.7237085</v>
      </c>
      <c r="M5" s="101">
        <v>0</v>
      </c>
      <c r="N5" s="79">
        <f>K5/2.5</f>
        <v>1.4878326000000002</v>
      </c>
      <c r="O5" s="79">
        <f>L5/2.5</f>
        <v>0.6894834000000001</v>
      </c>
    </row>
    <row r="6" spans="1:15" ht="13.5" customHeight="1">
      <c r="A6" s="25"/>
      <c r="B6" s="572"/>
      <c r="C6" s="106" t="s">
        <v>119</v>
      </c>
      <c r="D6" s="111">
        <v>0</v>
      </c>
      <c r="E6" s="71">
        <v>0</v>
      </c>
      <c r="F6" s="112">
        <v>0</v>
      </c>
      <c r="G6" s="111">
        <v>0</v>
      </c>
      <c r="H6" s="71">
        <v>0</v>
      </c>
      <c r="I6" s="112">
        <v>0</v>
      </c>
      <c r="J6" s="111">
        <v>0</v>
      </c>
      <c r="K6" s="71">
        <f>(FBRR!E6+FBRR!F6)*0.5</f>
        <v>7.0072485</v>
      </c>
      <c r="L6" s="112">
        <f>FBRR!G6*0.5</f>
        <v>3.2472614999999996</v>
      </c>
      <c r="M6" s="102">
        <v>0</v>
      </c>
      <c r="N6" s="71">
        <f aca="true" t="shared" si="0" ref="N6:N22">K6/2.5</f>
        <v>2.8028994000000003</v>
      </c>
      <c r="O6" s="71">
        <f aca="true" t="shared" si="1" ref="O6:O22">L6/2.5</f>
        <v>1.2989045999999997</v>
      </c>
    </row>
    <row r="7" spans="1:15" ht="13.5" customHeight="1">
      <c r="A7" s="25"/>
      <c r="B7" s="572"/>
      <c r="C7" s="106" t="s">
        <v>130</v>
      </c>
      <c r="D7" s="111">
        <v>0</v>
      </c>
      <c r="E7" s="71">
        <v>0</v>
      </c>
      <c r="F7" s="112">
        <v>0</v>
      </c>
      <c r="G7" s="111">
        <v>0</v>
      </c>
      <c r="H7" s="71">
        <v>0</v>
      </c>
      <c r="I7" s="112">
        <v>0</v>
      </c>
      <c r="J7" s="111">
        <v>0</v>
      </c>
      <c r="K7" s="71">
        <f>(FBRR!E7+FBRR!F7)*0.5</f>
        <v>5.41323</v>
      </c>
      <c r="L7" s="112">
        <f>FBRR!G7*0.5</f>
        <v>2.5085699999999997</v>
      </c>
      <c r="M7" s="102">
        <v>0</v>
      </c>
      <c r="N7" s="71">
        <f t="shared" si="0"/>
        <v>2.165292</v>
      </c>
      <c r="O7" s="71">
        <f t="shared" si="1"/>
        <v>1.003428</v>
      </c>
    </row>
    <row r="8" spans="1:15" ht="13.5" customHeight="1">
      <c r="A8" s="25"/>
      <c r="B8" s="572"/>
      <c r="C8" s="106" t="s">
        <v>131</v>
      </c>
      <c r="D8" s="111">
        <v>0</v>
      </c>
      <c r="E8" s="71">
        <v>0</v>
      </c>
      <c r="F8" s="112">
        <v>0</v>
      </c>
      <c r="G8" s="111">
        <v>0</v>
      </c>
      <c r="H8" s="71">
        <v>0</v>
      </c>
      <c r="I8" s="112">
        <v>0</v>
      </c>
      <c r="J8" s="111">
        <v>0</v>
      </c>
      <c r="K8" s="71">
        <f>(FBRR!E8+FBRR!F8)*0.5</f>
        <v>6.413466</v>
      </c>
      <c r="L8" s="112">
        <f>FBRR!G8*0.5</f>
        <v>2.972094</v>
      </c>
      <c r="M8" s="102">
        <v>0</v>
      </c>
      <c r="N8" s="71">
        <f t="shared" si="0"/>
        <v>2.5653864</v>
      </c>
      <c r="O8" s="71">
        <f t="shared" si="1"/>
        <v>1.1888375999999998</v>
      </c>
    </row>
    <row r="9" spans="1:15" ht="13.5" customHeight="1">
      <c r="A9" s="25"/>
      <c r="B9" s="572"/>
      <c r="C9" s="106" t="s">
        <v>132</v>
      </c>
      <c r="D9" s="111">
        <v>0</v>
      </c>
      <c r="E9" s="71">
        <v>0</v>
      </c>
      <c r="F9" s="112">
        <v>0</v>
      </c>
      <c r="G9" s="111">
        <v>0</v>
      </c>
      <c r="H9" s="71">
        <v>0</v>
      </c>
      <c r="I9" s="112">
        <v>0</v>
      </c>
      <c r="J9" s="111">
        <v>0</v>
      </c>
      <c r="K9" s="71">
        <f>(FBRR!E9+FBRR!F9)*0.5</f>
        <v>1.192034</v>
      </c>
      <c r="L9" s="112">
        <f>FBRR!G9*0.5</f>
        <v>0.552406</v>
      </c>
      <c r="M9" s="102">
        <v>0</v>
      </c>
      <c r="N9" s="71">
        <f t="shared" si="0"/>
        <v>0.4768136</v>
      </c>
      <c r="O9" s="71">
        <f t="shared" si="1"/>
        <v>0.22096239999999998</v>
      </c>
    </row>
    <row r="10" spans="2:15" ht="13.5" customHeight="1" thickBot="1">
      <c r="B10" s="569" t="s">
        <v>127</v>
      </c>
      <c r="C10" s="592"/>
      <c r="D10" s="113">
        <v>0</v>
      </c>
      <c r="E10" s="81">
        <v>0</v>
      </c>
      <c r="F10" s="114">
        <v>0</v>
      </c>
      <c r="G10" s="113">
        <v>0</v>
      </c>
      <c r="H10" s="81">
        <v>0</v>
      </c>
      <c r="I10" s="114">
        <v>0</v>
      </c>
      <c r="J10" s="113">
        <v>0</v>
      </c>
      <c r="K10" s="81">
        <f>(FBRR!E10+FBRR!F10)*0.5</f>
        <v>23.745559999999998</v>
      </c>
      <c r="L10" s="114">
        <f>FBRR!G10*0.5</f>
        <v>11.004039999999998</v>
      </c>
      <c r="M10" s="103">
        <v>0</v>
      </c>
      <c r="N10" s="81">
        <f t="shared" si="0"/>
        <v>9.498223999999999</v>
      </c>
      <c r="O10" s="81">
        <f t="shared" si="1"/>
        <v>4.401615999999999</v>
      </c>
    </row>
    <row r="11" spans="2:15" ht="13.5" customHeight="1">
      <c r="B11" s="571" t="s">
        <v>2</v>
      </c>
      <c r="C11" s="105" t="s">
        <v>118</v>
      </c>
      <c r="D11" s="109">
        <v>0</v>
      </c>
      <c r="E11" s="79">
        <v>0</v>
      </c>
      <c r="F11" s="110">
        <v>0</v>
      </c>
      <c r="G11" s="109">
        <v>0</v>
      </c>
      <c r="H11" s="79">
        <v>0</v>
      </c>
      <c r="I11" s="110">
        <v>0</v>
      </c>
      <c r="J11" s="109">
        <v>0</v>
      </c>
      <c r="K11" s="79">
        <f>(FBRR!E11+FBRR!F11)*0.5</f>
        <v>2.11724</v>
      </c>
      <c r="L11" s="110">
        <f>FBRR!G11*0.5</f>
        <v>0.9811599999999999</v>
      </c>
      <c r="M11" s="101">
        <v>0</v>
      </c>
      <c r="N11" s="79">
        <f t="shared" si="0"/>
        <v>0.8468959999999999</v>
      </c>
      <c r="O11" s="79">
        <f t="shared" si="1"/>
        <v>0.392464</v>
      </c>
    </row>
    <row r="12" spans="2:15" ht="13.5" customHeight="1">
      <c r="B12" s="572"/>
      <c r="C12" s="106" t="s">
        <v>119</v>
      </c>
      <c r="D12" s="111">
        <v>0</v>
      </c>
      <c r="E12" s="71">
        <v>0</v>
      </c>
      <c r="F12" s="112">
        <v>0</v>
      </c>
      <c r="G12" s="111">
        <v>0</v>
      </c>
      <c r="H12" s="71">
        <v>0</v>
      </c>
      <c r="I12" s="112">
        <v>0</v>
      </c>
      <c r="J12" s="111">
        <v>0</v>
      </c>
      <c r="K12" s="71">
        <f>(FBRR!E12+FBRR!F12)*0.5</f>
        <v>1.0626175</v>
      </c>
      <c r="L12" s="112">
        <f>FBRR!G12*0.5</f>
        <v>0.49243249999999994</v>
      </c>
      <c r="M12" s="102">
        <v>0</v>
      </c>
      <c r="N12" s="71">
        <f t="shared" si="0"/>
        <v>0.425047</v>
      </c>
      <c r="O12" s="71">
        <f t="shared" si="1"/>
        <v>0.19697299999999998</v>
      </c>
    </row>
    <row r="13" spans="2:15" ht="13.5" customHeight="1">
      <c r="B13" s="572"/>
      <c r="C13" s="106" t="s">
        <v>130</v>
      </c>
      <c r="D13" s="111">
        <v>0</v>
      </c>
      <c r="E13" s="71">
        <v>0</v>
      </c>
      <c r="F13" s="112">
        <v>0</v>
      </c>
      <c r="G13" s="111">
        <v>0</v>
      </c>
      <c r="H13" s="71">
        <v>0</v>
      </c>
      <c r="I13" s="112">
        <v>0</v>
      </c>
      <c r="J13" s="111">
        <v>0</v>
      </c>
      <c r="K13" s="71">
        <f>(FBRR!E13+FBRR!F13)*0.5</f>
        <v>0.11992499999999999</v>
      </c>
      <c r="L13" s="112">
        <f>FBRR!G13*0.5</f>
        <v>0.05557499999999999</v>
      </c>
      <c r="M13" s="102">
        <v>0</v>
      </c>
      <c r="N13" s="71">
        <f t="shared" si="0"/>
        <v>0.04797</v>
      </c>
      <c r="O13" s="71">
        <f t="shared" si="1"/>
        <v>0.022229999999999996</v>
      </c>
    </row>
    <row r="14" spans="2:15" ht="13.5" customHeight="1">
      <c r="B14" s="572"/>
      <c r="C14" s="106" t="s">
        <v>131</v>
      </c>
      <c r="D14" s="111">
        <v>0</v>
      </c>
      <c r="E14" s="71">
        <v>0</v>
      </c>
      <c r="F14" s="112">
        <v>0</v>
      </c>
      <c r="G14" s="111">
        <v>0</v>
      </c>
      <c r="H14" s="71">
        <v>0</v>
      </c>
      <c r="I14" s="112">
        <v>0</v>
      </c>
      <c r="J14" s="111">
        <v>0</v>
      </c>
      <c r="K14" s="71">
        <f>(FBRR!E14+FBRR!F14)*0.5</f>
        <v>0.02829</v>
      </c>
      <c r="L14" s="112">
        <f>FBRR!G14*0.5</f>
        <v>0.013109999999999998</v>
      </c>
      <c r="M14" s="102">
        <v>0</v>
      </c>
      <c r="N14" s="71">
        <f t="shared" si="0"/>
        <v>0.011316</v>
      </c>
      <c r="O14" s="71">
        <f t="shared" si="1"/>
        <v>0.0052439999999999995</v>
      </c>
    </row>
    <row r="15" spans="2:15" ht="13.5" customHeight="1">
      <c r="B15" s="572"/>
      <c r="C15" s="106" t="s">
        <v>132</v>
      </c>
      <c r="D15" s="111">
        <v>0</v>
      </c>
      <c r="E15" s="71">
        <v>0</v>
      </c>
      <c r="F15" s="112">
        <v>0</v>
      </c>
      <c r="G15" s="111">
        <v>0</v>
      </c>
      <c r="H15" s="71">
        <v>0</v>
      </c>
      <c r="I15" s="112">
        <v>0</v>
      </c>
      <c r="J15" s="111">
        <v>0</v>
      </c>
      <c r="K15" s="71">
        <f>(FBRR!E15+FBRR!F15)*0.5</f>
        <v>0</v>
      </c>
      <c r="L15" s="112">
        <f>FBRR!G15*0.5</f>
        <v>0</v>
      </c>
      <c r="M15" s="102">
        <v>0</v>
      </c>
      <c r="N15" s="71">
        <f t="shared" si="0"/>
        <v>0</v>
      </c>
      <c r="O15" s="71">
        <f t="shared" si="1"/>
        <v>0</v>
      </c>
    </row>
    <row r="16" spans="2:15" ht="13.5" customHeight="1" thickBot="1">
      <c r="B16" s="569" t="s">
        <v>127</v>
      </c>
      <c r="C16" s="592"/>
      <c r="D16" s="113">
        <v>0</v>
      </c>
      <c r="E16" s="81">
        <v>0</v>
      </c>
      <c r="F16" s="114">
        <v>0</v>
      </c>
      <c r="G16" s="113">
        <v>0</v>
      </c>
      <c r="H16" s="81">
        <v>0</v>
      </c>
      <c r="I16" s="114">
        <v>0</v>
      </c>
      <c r="J16" s="113">
        <v>0</v>
      </c>
      <c r="K16" s="81">
        <f>(FBRR!E16+FBRR!F16)*0.5</f>
        <v>3.3280724999999998</v>
      </c>
      <c r="L16" s="114">
        <f>FBRR!G16*0.5</f>
        <v>1.5422774999999997</v>
      </c>
      <c r="M16" s="103">
        <v>0</v>
      </c>
      <c r="N16" s="81">
        <f t="shared" si="0"/>
        <v>1.331229</v>
      </c>
      <c r="O16" s="81">
        <f t="shared" si="1"/>
        <v>0.6169109999999999</v>
      </c>
    </row>
    <row r="17" spans="2:15" ht="13.5" customHeight="1">
      <c r="B17" s="571" t="s">
        <v>124</v>
      </c>
      <c r="C17" s="105" t="s">
        <v>118</v>
      </c>
      <c r="D17" s="109">
        <v>0</v>
      </c>
      <c r="E17" s="79">
        <v>0</v>
      </c>
      <c r="F17" s="110">
        <v>0</v>
      </c>
      <c r="G17" s="109">
        <v>0</v>
      </c>
      <c r="H17" s="79">
        <v>0</v>
      </c>
      <c r="I17" s="110">
        <v>0</v>
      </c>
      <c r="J17" s="109">
        <v>0</v>
      </c>
      <c r="K17" s="79">
        <f>(FBRR!E17+FBRR!F17)*0.5</f>
        <v>3.7171625</v>
      </c>
      <c r="L17" s="110">
        <f>FBRR!G17*0.5</f>
        <v>1.7225875</v>
      </c>
      <c r="M17" s="101">
        <v>0</v>
      </c>
      <c r="N17" s="79">
        <f t="shared" si="0"/>
        <v>1.486865</v>
      </c>
      <c r="O17" s="79">
        <f t="shared" si="1"/>
        <v>0.689035</v>
      </c>
    </row>
    <row r="18" spans="2:15" ht="13.5" customHeight="1">
      <c r="B18" s="572"/>
      <c r="C18" s="106" t="s">
        <v>119</v>
      </c>
      <c r="D18" s="111">
        <v>0</v>
      </c>
      <c r="E18" s="71">
        <v>0</v>
      </c>
      <c r="F18" s="112">
        <v>0</v>
      </c>
      <c r="G18" s="111">
        <v>0</v>
      </c>
      <c r="H18" s="71">
        <v>0</v>
      </c>
      <c r="I18" s="112">
        <v>0</v>
      </c>
      <c r="J18" s="111">
        <v>0</v>
      </c>
      <c r="K18" s="71">
        <f>(FBRR!E18+FBRR!F18)*0.5</f>
        <v>0.8365025000000001</v>
      </c>
      <c r="L18" s="112">
        <f>FBRR!G18*0.5</f>
        <v>0.38764750000000003</v>
      </c>
      <c r="M18" s="102">
        <v>0</v>
      </c>
      <c r="N18" s="71">
        <f t="shared" si="0"/>
        <v>0.33460100000000004</v>
      </c>
      <c r="O18" s="71">
        <f t="shared" si="1"/>
        <v>0.155059</v>
      </c>
    </row>
    <row r="19" spans="2:15" ht="13.5" customHeight="1">
      <c r="B19" s="572"/>
      <c r="C19" s="106" t="s">
        <v>130</v>
      </c>
      <c r="D19" s="111">
        <v>0</v>
      </c>
      <c r="E19" s="71">
        <v>0</v>
      </c>
      <c r="F19" s="112">
        <v>0</v>
      </c>
      <c r="G19" s="111">
        <v>0</v>
      </c>
      <c r="H19" s="71">
        <v>0</v>
      </c>
      <c r="I19" s="112">
        <v>0</v>
      </c>
      <c r="J19" s="111">
        <v>0</v>
      </c>
      <c r="K19" s="71">
        <f>(FBRR!E19+FBRR!F19)*0.5</f>
        <v>0.23984999999999998</v>
      </c>
      <c r="L19" s="112">
        <f>FBRR!G19*0.5</f>
        <v>0.11114999999999998</v>
      </c>
      <c r="M19" s="102">
        <v>0</v>
      </c>
      <c r="N19" s="71">
        <f t="shared" si="0"/>
        <v>0.09594</v>
      </c>
      <c r="O19" s="71">
        <f t="shared" si="1"/>
        <v>0.04445999999999999</v>
      </c>
    </row>
    <row r="20" spans="2:15" ht="13.5" customHeight="1">
      <c r="B20" s="572"/>
      <c r="C20" s="106" t="s">
        <v>131</v>
      </c>
      <c r="D20" s="111">
        <v>0</v>
      </c>
      <c r="E20" s="71">
        <v>0</v>
      </c>
      <c r="F20" s="112">
        <v>0</v>
      </c>
      <c r="G20" s="111">
        <v>0</v>
      </c>
      <c r="H20" s="71">
        <v>0</v>
      </c>
      <c r="I20" s="112">
        <v>0</v>
      </c>
      <c r="J20" s="111">
        <v>0</v>
      </c>
      <c r="K20" s="71">
        <f>(FBRR!E20+FBRR!F20)*0.5</f>
        <v>0.105575</v>
      </c>
      <c r="L20" s="112">
        <f>FBRR!G20*0.5</f>
        <v>0.048925</v>
      </c>
      <c r="M20" s="102">
        <v>0</v>
      </c>
      <c r="N20" s="71">
        <f t="shared" si="0"/>
        <v>0.042230000000000004</v>
      </c>
      <c r="O20" s="71">
        <f t="shared" si="1"/>
        <v>0.01957</v>
      </c>
    </row>
    <row r="21" spans="2:15" ht="13.5" customHeight="1">
      <c r="B21" s="572"/>
      <c r="C21" s="106" t="s">
        <v>132</v>
      </c>
      <c r="D21" s="111">
        <v>0</v>
      </c>
      <c r="E21" s="71">
        <v>0</v>
      </c>
      <c r="F21" s="112">
        <v>0</v>
      </c>
      <c r="G21" s="111">
        <v>0</v>
      </c>
      <c r="H21" s="71">
        <v>0</v>
      </c>
      <c r="I21" s="112">
        <v>0</v>
      </c>
      <c r="J21" s="111">
        <v>0</v>
      </c>
      <c r="K21" s="71">
        <f>(FBRR!E21+FBRR!F21)*0.5</f>
        <v>0</v>
      </c>
      <c r="L21" s="112">
        <f>FBRR!G21*0.5</f>
        <v>0</v>
      </c>
      <c r="M21" s="102">
        <v>0</v>
      </c>
      <c r="N21" s="71">
        <f t="shared" si="0"/>
        <v>0</v>
      </c>
      <c r="O21" s="71">
        <f t="shared" si="1"/>
        <v>0</v>
      </c>
    </row>
    <row r="22" spans="2:15" ht="13.5" customHeight="1" thickBot="1">
      <c r="B22" s="569" t="s">
        <v>127</v>
      </c>
      <c r="C22" s="592"/>
      <c r="D22" s="113">
        <v>0</v>
      </c>
      <c r="E22" s="81">
        <v>0</v>
      </c>
      <c r="F22" s="114">
        <v>0</v>
      </c>
      <c r="G22" s="113">
        <v>0</v>
      </c>
      <c r="H22" s="81">
        <v>0</v>
      </c>
      <c r="I22" s="114">
        <v>0</v>
      </c>
      <c r="J22" s="113">
        <v>0</v>
      </c>
      <c r="K22" s="81">
        <f>(FBRR!E22+FBRR!F22)*0.5</f>
        <v>4.89909</v>
      </c>
      <c r="L22" s="114">
        <f>FBRR!G22*0.5</f>
        <v>2.27031</v>
      </c>
      <c r="M22" s="103">
        <v>0</v>
      </c>
      <c r="N22" s="81">
        <f t="shared" si="0"/>
        <v>1.9596360000000002</v>
      </c>
      <c r="O22" s="81">
        <f t="shared" si="1"/>
        <v>0.9081239999999999</v>
      </c>
    </row>
    <row r="23" spans="2:15" ht="13.5" customHeight="1">
      <c r="B23" s="567" t="s">
        <v>207</v>
      </c>
      <c r="C23" s="581"/>
      <c r="D23" s="115">
        <v>0</v>
      </c>
      <c r="E23" s="82">
        <v>0</v>
      </c>
      <c r="F23" s="116">
        <v>0</v>
      </c>
      <c r="G23" s="115">
        <v>0</v>
      </c>
      <c r="H23" s="82">
        <v>0</v>
      </c>
      <c r="I23" s="116">
        <v>0</v>
      </c>
      <c r="J23" s="115">
        <v>0</v>
      </c>
      <c r="K23" s="82">
        <f>(FBRR!E23+FBRR!F23)*0.5</f>
        <v>31.972722499999996</v>
      </c>
      <c r="L23" s="116">
        <f>FBRR!G23*0.5</f>
        <v>14.816627499999997</v>
      </c>
      <c r="M23" s="104">
        <v>0</v>
      </c>
      <c r="N23" s="82">
        <f>K23/2.5</f>
        <v>12.789088999999999</v>
      </c>
      <c r="O23" s="82">
        <f>L23/2.5</f>
        <v>5.926650999999999</v>
      </c>
    </row>
    <row r="24" spans="2:15" ht="13.5" customHeight="1">
      <c r="B24" s="64" t="s">
        <v>129</v>
      </c>
      <c r="C24" s="582" t="s">
        <v>321</v>
      </c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</row>
    <row r="25" spans="2:15" ht="12.75">
      <c r="B25" s="64" t="s">
        <v>173</v>
      </c>
      <c r="C25" s="566" t="str">
        <f>'Existing Tier 1'!C29:N29</f>
        <v>Detail may not add to totals due to independent rounding.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</row>
    <row r="26" spans="3:15" ht="12.75">
      <c r="C26" s="566" t="s">
        <v>329</v>
      </c>
      <c r="D26" s="587"/>
      <c r="E26" s="587"/>
      <c r="F26" s="587"/>
      <c r="G26" s="587"/>
      <c r="H26" s="587"/>
      <c r="I26" s="587"/>
      <c r="J26" s="587"/>
      <c r="K26" s="587"/>
      <c r="L26" s="561"/>
      <c r="M26" s="561"/>
      <c r="N26" s="561"/>
      <c r="O26" s="561"/>
    </row>
  </sheetData>
  <mergeCells count="18">
    <mergeCell ref="C26:O26"/>
    <mergeCell ref="B23:C23"/>
    <mergeCell ref="C24:O24"/>
    <mergeCell ref="C25:O25"/>
    <mergeCell ref="D3:F3"/>
    <mergeCell ref="G3:I3"/>
    <mergeCell ref="B3:B4"/>
    <mergeCell ref="C3:C4"/>
    <mergeCell ref="B1:O1"/>
    <mergeCell ref="B5:B9"/>
    <mergeCell ref="B22:C22"/>
    <mergeCell ref="B10:C10"/>
    <mergeCell ref="B11:B15"/>
    <mergeCell ref="B16:C16"/>
    <mergeCell ref="B17:B21"/>
    <mergeCell ref="J3:L3"/>
    <mergeCell ref="M3:O3"/>
    <mergeCell ref="B2:O2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workbookViewId="0" topLeftCell="A1">
      <selection activeCell="A21" sqref="A21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8.00390625" style="0" bestFit="1" customWidth="1"/>
    <col min="5" max="5" width="7.57421875" style="0" bestFit="1" customWidth="1"/>
    <col min="6" max="6" width="8.140625" style="0" bestFit="1" customWidth="1"/>
    <col min="7" max="7" width="8.7109375" style="0" customWidth="1"/>
    <col min="8" max="8" width="8.57421875" style="0" bestFit="1" customWidth="1"/>
    <col min="9" max="9" width="10.421875" style="0" bestFit="1" customWidth="1"/>
    <col min="10" max="10" width="9.7109375" style="0" bestFit="1" customWidth="1"/>
    <col min="11" max="11" width="11.421875" style="0" bestFit="1" customWidth="1"/>
    <col min="12" max="12" width="6.00390625" style="0" customWidth="1"/>
    <col min="14" max="14" width="12.28125" style="0" customWidth="1"/>
  </cols>
  <sheetData>
    <row r="1" spans="1:16" ht="23.25" customHeight="1">
      <c r="A1" s="25"/>
      <c r="B1" s="556" t="s">
        <v>307</v>
      </c>
      <c r="C1" s="556"/>
      <c r="D1" s="556"/>
      <c r="E1" s="556"/>
      <c r="F1" s="556"/>
      <c r="G1" s="556"/>
      <c r="H1" s="556"/>
      <c r="I1" s="556"/>
      <c r="J1" s="556"/>
      <c r="K1" s="556"/>
      <c r="L1" s="25"/>
      <c r="M1" s="25"/>
      <c r="N1" s="25"/>
      <c r="O1" s="25"/>
      <c r="P1" s="25"/>
    </row>
    <row r="2" spans="1:16" ht="24.75" customHeight="1">
      <c r="A2" s="25"/>
      <c r="B2" s="570" t="s">
        <v>202</v>
      </c>
      <c r="C2" s="570"/>
      <c r="D2" s="570"/>
      <c r="E2" s="570"/>
      <c r="F2" s="570"/>
      <c r="G2" s="570"/>
      <c r="H2" s="570"/>
      <c r="I2" s="570"/>
      <c r="J2" s="570"/>
      <c r="K2" s="570"/>
      <c r="L2" s="61"/>
      <c r="M2" s="25"/>
      <c r="N2" s="25"/>
      <c r="O2" s="25"/>
      <c r="P2" s="25"/>
    </row>
    <row r="3" spans="1:16" ht="18" customHeight="1">
      <c r="A3" s="25"/>
      <c r="B3" s="552" t="s">
        <v>116</v>
      </c>
      <c r="C3" s="619" t="s">
        <v>117</v>
      </c>
      <c r="D3" s="602" t="s">
        <v>133</v>
      </c>
      <c r="E3" s="549" t="s">
        <v>62</v>
      </c>
      <c r="F3" s="576"/>
      <c r="G3" s="576"/>
      <c r="H3" s="545"/>
      <c r="I3" s="597" t="s">
        <v>63</v>
      </c>
      <c r="J3" s="548"/>
      <c r="K3" s="622"/>
      <c r="L3" s="61"/>
      <c r="M3" s="25"/>
      <c r="N3" s="25"/>
      <c r="O3" s="25"/>
      <c r="P3" s="25"/>
    </row>
    <row r="4" spans="1:12" ht="39.75" customHeight="1" thickBot="1">
      <c r="A4" s="25"/>
      <c r="B4" s="553"/>
      <c r="C4" s="620"/>
      <c r="D4" s="621"/>
      <c r="E4" s="481" t="s">
        <v>234</v>
      </c>
      <c r="F4" s="84" t="s">
        <v>294</v>
      </c>
      <c r="G4" s="84" t="s">
        <v>204</v>
      </c>
      <c r="H4" s="490" t="s">
        <v>236</v>
      </c>
      <c r="I4" s="498" t="s">
        <v>235</v>
      </c>
      <c r="J4" s="84" t="s">
        <v>237</v>
      </c>
      <c r="K4" s="535" t="s">
        <v>295</v>
      </c>
      <c r="L4" s="62"/>
    </row>
    <row r="5" spans="1:12" ht="19.5" customHeight="1">
      <c r="A5" s="25"/>
      <c r="B5" s="571" t="s">
        <v>0</v>
      </c>
      <c r="C5" s="469" t="s">
        <v>118</v>
      </c>
      <c r="D5" s="473">
        <f>'Inv. Summary'!D4</f>
        <v>31688</v>
      </c>
      <c r="E5" s="482">
        <f>'Existing Tier 2'!E5</f>
        <v>167</v>
      </c>
      <c r="F5" s="95">
        <f>E5*0.5</f>
        <v>83.5</v>
      </c>
      <c r="G5" s="95">
        <f>I5*0.05</f>
        <v>13.25</v>
      </c>
      <c r="H5" s="491">
        <f>I5*0.05</f>
        <v>13.25</v>
      </c>
      <c r="I5" s="499">
        <f>'Existing Tier 3'!E5</f>
        <v>265</v>
      </c>
      <c r="J5" s="95">
        <f>I5*0.95</f>
        <v>251.75</v>
      </c>
      <c r="K5" s="514">
        <f>I5*0.5*0.95</f>
        <v>125.875</v>
      </c>
      <c r="L5" s="63"/>
    </row>
    <row r="6" spans="1:12" ht="19.5" customHeight="1">
      <c r="A6" s="25"/>
      <c r="B6" s="572"/>
      <c r="C6" s="467" t="s">
        <v>119</v>
      </c>
      <c r="D6" s="464">
        <f>'Inv. Summary'!D5</f>
        <v>14149</v>
      </c>
      <c r="E6" s="483">
        <f>'Existing Tier 2'!E6</f>
        <v>130</v>
      </c>
      <c r="F6" s="95">
        <f>E6*0.5</f>
        <v>65</v>
      </c>
      <c r="G6" s="95">
        <f>I6*0.05</f>
        <v>2.4000000000000004</v>
      </c>
      <c r="H6" s="491">
        <f>I6*0.05</f>
        <v>2.4000000000000004</v>
      </c>
      <c r="I6" s="500">
        <f>'Existing Tier 3'!E6</f>
        <v>48</v>
      </c>
      <c r="J6" s="95">
        <f>I6*0.95</f>
        <v>45.599999999999994</v>
      </c>
      <c r="K6" s="514">
        <f>I6*0.5*0.95</f>
        <v>22.799999999999997</v>
      </c>
      <c r="L6" s="63"/>
    </row>
    <row r="7" spans="1:12" ht="19.5" customHeight="1">
      <c r="A7" s="25"/>
      <c r="B7" s="572"/>
      <c r="C7" s="467" t="s">
        <v>130</v>
      </c>
      <c r="D7" s="464">
        <f>'Inv. Summary'!D6</f>
        <v>4458</v>
      </c>
      <c r="E7" s="483">
        <f>'Existing Tier 2'!E7</f>
        <v>25</v>
      </c>
      <c r="F7" s="95">
        <f>E7*0.5</f>
        <v>12.5</v>
      </c>
      <c r="G7" s="95">
        <f>I7*0.05</f>
        <v>0.5</v>
      </c>
      <c r="H7" s="491">
        <f>I7*0.05</f>
        <v>0.5</v>
      </c>
      <c r="I7" s="500">
        <f>'Existing Tier 3'!E7</f>
        <v>10</v>
      </c>
      <c r="J7" s="95">
        <f>I7*0.95</f>
        <v>9.5</v>
      </c>
      <c r="K7" s="514">
        <f>I7*0.5*0.95</f>
        <v>4.75</v>
      </c>
      <c r="L7" s="63"/>
    </row>
    <row r="8" spans="1:12" ht="19.5" customHeight="1">
      <c r="A8" s="25"/>
      <c r="B8" s="572"/>
      <c r="C8" s="467" t="s">
        <v>131</v>
      </c>
      <c r="D8" s="464">
        <f>'Inv. Summary'!D7</f>
        <v>3416</v>
      </c>
      <c r="E8" s="483">
        <f>'Existing Tier 2'!E8</f>
        <v>25</v>
      </c>
      <c r="F8" s="95">
        <f>E8*0.5</f>
        <v>12.5</v>
      </c>
      <c r="G8" s="95">
        <f>I8*0.05</f>
        <v>0.15000000000000002</v>
      </c>
      <c r="H8" s="491">
        <f>I8*0.05</f>
        <v>0.15000000000000002</v>
      </c>
      <c r="I8" s="500">
        <f>'Existing Tier 3'!E8</f>
        <v>3</v>
      </c>
      <c r="J8" s="95">
        <f>I8*0.95</f>
        <v>2.8499999999999996</v>
      </c>
      <c r="K8" s="514">
        <f>I8*0.5*0.95</f>
        <v>1.4249999999999998</v>
      </c>
      <c r="L8" s="64"/>
    </row>
    <row r="9" spans="1:12" ht="19.5" customHeight="1">
      <c r="A9" s="25"/>
      <c r="B9" s="572"/>
      <c r="C9" s="467" t="s">
        <v>132</v>
      </c>
      <c r="D9" s="464">
        <f>'Inv. Summary'!D8</f>
        <v>353</v>
      </c>
      <c r="E9" s="483">
        <f>'Existing Tier 2'!E9</f>
        <v>0</v>
      </c>
      <c r="F9" s="95">
        <f>E9*0.5</f>
        <v>0</v>
      </c>
      <c r="G9" s="95">
        <f>I9*0.05</f>
        <v>0</v>
      </c>
      <c r="H9" s="491">
        <f>I9*0.05</f>
        <v>0</v>
      </c>
      <c r="I9" s="500">
        <f>'Existing Tier 3'!E9</f>
        <v>0</v>
      </c>
      <c r="J9" s="95">
        <f>I9*0.95</f>
        <v>0</v>
      </c>
      <c r="K9" s="514">
        <f>I9*0.5*0.95</f>
        <v>0</v>
      </c>
      <c r="L9" s="64"/>
    </row>
    <row r="10" spans="1:12" ht="19.5" customHeight="1" thickBot="1">
      <c r="A10" s="25"/>
      <c r="B10" s="569" t="s">
        <v>127</v>
      </c>
      <c r="C10" s="604"/>
      <c r="D10" s="486">
        <f aca="true" t="shared" si="0" ref="D10:K10">SUM(D5:D9)</f>
        <v>54064</v>
      </c>
      <c r="E10" s="484">
        <f t="shared" si="0"/>
        <v>347</v>
      </c>
      <c r="F10" s="97">
        <f t="shared" si="0"/>
        <v>173.5</v>
      </c>
      <c r="G10" s="97">
        <f t="shared" si="0"/>
        <v>16.299999999999997</v>
      </c>
      <c r="H10" s="492">
        <f t="shared" si="0"/>
        <v>16.299999999999997</v>
      </c>
      <c r="I10" s="501">
        <f t="shared" si="0"/>
        <v>326</v>
      </c>
      <c r="J10" s="97">
        <f t="shared" si="0"/>
        <v>309.70000000000005</v>
      </c>
      <c r="K10" s="515">
        <f t="shared" si="0"/>
        <v>154.85000000000002</v>
      </c>
      <c r="L10" s="65"/>
    </row>
    <row r="11" spans="1:12" ht="19.5" customHeight="1">
      <c r="A11" s="25"/>
      <c r="B11" s="571" t="s">
        <v>2</v>
      </c>
      <c r="C11" s="469" t="s">
        <v>118</v>
      </c>
      <c r="D11" s="487" t="s">
        <v>149</v>
      </c>
      <c r="E11" s="429" t="s">
        <v>149</v>
      </c>
      <c r="F11" s="539" t="s">
        <v>149</v>
      </c>
      <c r="G11" s="80" t="s">
        <v>149</v>
      </c>
      <c r="H11" s="493" t="s">
        <v>149</v>
      </c>
      <c r="I11" s="446" t="s">
        <v>149</v>
      </c>
      <c r="J11" s="80" t="s">
        <v>149</v>
      </c>
      <c r="K11" s="542" t="s">
        <v>149</v>
      </c>
      <c r="L11" s="63"/>
    </row>
    <row r="12" spans="1:12" ht="19.5" customHeight="1">
      <c r="A12" s="25"/>
      <c r="B12" s="572"/>
      <c r="C12" s="467" t="s">
        <v>119</v>
      </c>
      <c r="D12" s="488" t="s">
        <v>149</v>
      </c>
      <c r="E12" s="428" t="s">
        <v>149</v>
      </c>
      <c r="F12" s="540" t="s">
        <v>149</v>
      </c>
      <c r="G12" s="60" t="s">
        <v>149</v>
      </c>
      <c r="H12" s="494" t="s">
        <v>149</v>
      </c>
      <c r="I12" s="444" t="s">
        <v>149</v>
      </c>
      <c r="J12" s="60" t="s">
        <v>149</v>
      </c>
      <c r="K12" s="543" t="s">
        <v>149</v>
      </c>
      <c r="L12" s="63"/>
    </row>
    <row r="13" spans="1:12" ht="19.5" customHeight="1">
      <c r="A13" s="25"/>
      <c r="B13" s="572"/>
      <c r="C13" s="467" t="s">
        <v>130</v>
      </c>
      <c r="D13" s="488" t="s">
        <v>149</v>
      </c>
      <c r="E13" s="428" t="s">
        <v>149</v>
      </c>
      <c r="F13" s="540" t="s">
        <v>149</v>
      </c>
      <c r="G13" s="60" t="s">
        <v>149</v>
      </c>
      <c r="H13" s="494" t="s">
        <v>149</v>
      </c>
      <c r="I13" s="444" t="s">
        <v>149</v>
      </c>
      <c r="J13" s="60" t="s">
        <v>149</v>
      </c>
      <c r="K13" s="543" t="s">
        <v>149</v>
      </c>
      <c r="L13" s="63"/>
    </row>
    <row r="14" spans="1:12" ht="19.5" customHeight="1">
      <c r="A14" s="25"/>
      <c r="B14" s="572"/>
      <c r="C14" s="467" t="s">
        <v>131</v>
      </c>
      <c r="D14" s="488" t="s">
        <v>149</v>
      </c>
      <c r="E14" s="428" t="s">
        <v>149</v>
      </c>
      <c r="F14" s="540" t="s">
        <v>149</v>
      </c>
      <c r="G14" s="60" t="s">
        <v>149</v>
      </c>
      <c r="H14" s="494" t="s">
        <v>149</v>
      </c>
      <c r="I14" s="444" t="s">
        <v>149</v>
      </c>
      <c r="J14" s="60" t="s">
        <v>149</v>
      </c>
      <c r="K14" s="543" t="s">
        <v>149</v>
      </c>
      <c r="L14" s="64"/>
    </row>
    <row r="15" spans="1:12" ht="19.5" customHeight="1">
      <c r="A15" s="25"/>
      <c r="B15" s="572"/>
      <c r="C15" s="467" t="s">
        <v>132</v>
      </c>
      <c r="D15" s="488" t="s">
        <v>149</v>
      </c>
      <c r="E15" s="428" t="s">
        <v>149</v>
      </c>
      <c r="F15" s="540" t="s">
        <v>149</v>
      </c>
      <c r="G15" s="60" t="s">
        <v>149</v>
      </c>
      <c r="H15" s="494" t="s">
        <v>149</v>
      </c>
      <c r="I15" s="444" t="s">
        <v>149</v>
      </c>
      <c r="J15" s="60" t="s">
        <v>149</v>
      </c>
      <c r="K15" s="543" t="s">
        <v>149</v>
      </c>
      <c r="L15" s="64"/>
    </row>
    <row r="16" spans="1:12" ht="19.5" customHeight="1" thickBot="1">
      <c r="A16" s="25"/>
      <c r="B16" s="569" t="s">
        <v>127</v>
      </c>
      <c r="C16" s="604"/>
      <c r="D16" s="486" t="s">
        <v>149</v>
      </c>
      <c r="E16" s="103" t="s">
        <v>149</v>
      </c>
      <c r="F16" s="97" t="s">
        <v>149</v>
      </c>
      <c r="G16" s="81" t="s">
        <v>149</v>
      </c>
      <c r="H16" s="495" t="s">
        <v>149</v>
      </c>
      <c r="I16" s="113" t="s">
        <v>149</v>
      </c>
      <c r="J16" s="81" t="s">
        <v>149</v>
      </c>
      <c r="K16" s="515" t="s">
        <v>149</v>
      </c>
      <c r="L16" s="65"/>
    </row>
    <row r="17" spans="1:12" ht="19.5" customHeight="1">
      <c r="A17" s="25"/>
      <c r="B17" s="572" t="s">
        <v>124</v>
      </c>
      <c r="C17" s="467" t="s">
        <v>118</v>
      </c>
      <c r="D17" s="488" t="s">
        <v>149</v>
      </c>
      <c r="E17" s="483" t="s">
        <v>149</v>
      </c>
      <c r="F17" s="96" t="s">
        <v>149</v>
      </c>
      <c r="G17" s="96" t="s">
        <v>149</v>
      </c>
      <c r="H17" s="496" t="s">
        <v>149</v>
      </c>
      <c r="I17" s="500" t="s">
        <v>149</v>
      </c>
      <c r="J17" s="96" t="s">
        <v>149</v>
      </c>
      <c r="K17" s="516" t="s">
        <v>149</v>
      </c>
      <c r="L17" s="64"/>
    </row>
    <row r="18" spans="1:12" ht="19.5" customHeight="1">
      <c r="A18" s="25"/>
      <c r="B18" s="572"/>
      <c r="C18" s="467" t="s">
        <v>119</v>
      </c>
      <c r="D18" s="488" t="s">
        <v>149</v>
      </c>
      <c r="E18" s="483" t="s">
        <v>149</v>
      </c>
      <c r="F18" s="96" t="s">
        <v>149</v>
      </c>
      <c r="G18" s="96" t="s">
        <v>149</v>
      </c>
      <c r="H18" s="496" t="s">
        <v>149</v>
      </c>
      <c r="I18" s="500" t="s">
        <v>149</v>
      </c>
      <c r="J18" s="96" t="s">
        <v>149</v>
      </c>
      <c r="K18" s="516" t="s">
        <v>149</v>
      </c>
      <c r="L18" s="64"/>
    </row>
    <row r="19" spans="1:12" ht="19.5" customHeight="1">
      <c r="A19" s="25"/>
      <c r="B19" s="572"/>
      <c r="C19" s="467" t="s">
        <v>130</v>
      </c>
      <c r="D19" s="488" t="s">
        <v>149</v>
      </c>
      <c r="E19" s="483" t="s">
        <v>149</v>
      </c>
      <c r="F19" s="96" t="s">
        <v>149</v>
      </c>
      <c r="G19" s="96" t="s">
        <v>149</v>
      </c>
      <c r="H19" s="496" t="s">
        <v>149</v>
      </c>
      <c r="I19" s="500" t="s">
        <v>149</v>
      </c>
      <c r="J19" s="96" t="s">
        <v>149</v>
      </c>
      <c r="K19" s="516" t="s">
        <v>149</v>
      </c>
      <c r="L19" s="64"/>
    </row>
    <row r="20" spans="1:12" ht="19.5" customHeight="1">
      <c r="A20" s="25"/>
      <c r="B20" s="572"/>
      <c r="C20" s="467" t="s">
        <v>131</v>
      </c>
      <c r="D20" s="488" t="s">
        <v>149</v>
      </c>
      <c r="E20" s="483" t="s">
        <v>149</v>
      </c>
      <c r="F20" s="96" t="s">
        <v>149</v>
      </c>
      <c r="G20" s="96" t="s">
        <v>149</v>
      </c>
      <c r="H20" s="496" t="s">
        <v>149</v>
      </c>
      <c r="I20" s="500" t="s">
        <v>149</v>
      </c>
      <c r="J20" s="96" t="s">
        <v>149</v>
      </c>
      <c r="K20" s="516" t="s">
        <v>149</v>
      </c>
      <c r="L20" s="64"/>
    </row>
    <row r="21" spans="1:12" ht="19.5" customHeight="1">
      <c r="A21" s="25"/>
      <c r="B21" s="572"/>
      <c r="C21" s="467" t="s">
        <v>132</v>
      </c>
      <c r="D21" s="488" t="s">
        <v>149</v>
      </c>
      <c r="E21" s="483" t="s">
        <v>149</v>
      </c>
      <c r="F21" s="96" t="s">
        <v>149</v>
      </c>
      <c r="G21" s="96" t="s">
        <v>149</v>
      </c>
      <c r="H21" s="496" t="s">
        <v>149</v>
      </c>
      <c r="I21" s="500" t="s">
        <v>149</v>
      </c>
      <c r="J21" s="96" t="s">
        <v>149</v>
      </c>
      <c r="K21" s="516" t="s">
        <v>149</v>
      </c>
      <c r="L21" s="64"/>
    </row>
    <row r="22" spans="1:13" ht="19.5" customHeight="1" thickBot="1">
      <c r="A22" s="25"/>
      <c r="B22" s="569" t="s">
        <v>127</v>
      </c>
      <c r="C22" s="604"/>
      <c r="D22" s="489" t="s">
        <v>149</v>
      </c>
      <c r="E22" s="430" t="s">
        <v>149</v>
      </c>
      <c r="F22" s="541" t="s">
        <v>149</v>
      </c>
      <c r="G22" s="72" t="s">
        <v>149</v>
      </c>
      <c r="H22" s="468" t="s">
        <v>149</v>
      </c>
      <c r="I22" s="447" t="s">
        <v>149</v>
      </c>
      <c r="J22" s="72" t="s">
        <v>149</v>
      </c>
      <c r="K22" s="544" t="s">
        <v>149</v>
      </c>
      <c r="L22" s="66"/>
      <c r="M22" s="25"/>
    </row>
    <row r="23" spans="1:13" ht="19.5" customHeight="1">
      <c r="A23" s="25"/>
      <c r="B23" s="567" t="s">
        <v>128</v>
      </c>
      <c r="C23" s="605"/>
      <c r="D23" s="474">
        <f>D10</f>
        <v>54064</v>
      </c>
      <c r="E23" s="485">
        <f>E10</f>
        <v>347</v>
      </c>
      <c r="F23" s="98">
        <f aca="true" t="shared" si="1" ref="F23:K23">F10</f>
        <v>173.5</v>
      </c>
      <c r="G23" s="98">
        <f t="shared" si="1"/>
        <v>16.299999999999997</v>
      </c>
      <c r="H23" s="497">
        <f t="shared" si="1"/>
        <v>16.299999999999997</v>
      </c>
      <c r="I23" s="502">
        <f t="shared" si="1"/>
        <v>326</v>
      </c>
      <c r="J23" s="98">
        <f t="shared" si="1"/>
        <v>309.70000000000005</v>
      </c>
      <c r="K23" s="517">
        <f t="shared" si="1"/>
        <v>154.85000000000002</v>
      </c>
      <c r="L23" s="65"/>
      <c r="M23" s="25"/>
    </row>
    <row r="24" spans="1:13" ht="13.5" customHeight="1">
      <c r="A24" s="25"/>
      <c r="B24" s="48" t="s">
        <v>129</v>
      </c>
      <c r="C24" s="564" t="s">
        <v>287</v>
      </c>
      <c r="D24" s="564"/>
      <c r="E24" s="564"/>
      <c r="F24" s="564"/>
      <c r="G24" s="564"/>
      <c r="H24" s="564"/>
      <c r="I24" s="564"/>
      <c r="J24" s="564"/>
      <c r="K24" s="564"/>
      <c r="L24" s="50"/>
      <c r="M24" s="25"/>
    </row>
    <row r="25" spans="1:13" ht="13.5" customHeight="1">
      <c r="A25" s="25"/>
      <c r="B25" s="25"/>
      <c r="C25" s="566" t="s">
        <v>289</v>
      </c>
      <c r="D25" s="566"/>
      <c r="E25" s="566"/>
      <c r="F25" s="566"/>
      <c r="G25" s="566"/>
      <c r="H25" s="566"/>
      <c r="I25" s="566"/>
      <c r="J25" s="566"/>
      <c r="K25" s="566"/>
      <c r="L25" s="68"/>
      <c r="M25" s="25"/>
    </row>
    <row r="26" spans="1:13" ht="24" customHeight="1">
      <c r="A26" s="25"/>
      <c r="B26" s="25"/>
      <c r="C26" s="574" t="s">
        <v>331</v>
      </c>
      <c r="D26" s="574"/>
      <c r="E26" s="574"/>
      <c r="F26" s="574"/>
      <c r="G26" s="574"/>
      <c r="H26" s="574"/>
      <c r="I26" s="574"/>
      <c r="J26" s="574"/>
      <c r="K26" s="574"/>
      <c r="L26" s="50"/>
      <c r="M26" s="25"/>
    </row>
    <row r="27" spans="1:13" ht="23.25" customHeight="1">
      <c r="A27" s="25"/>
      <c r="B27" s="25"/>
      <c r="C27" s="574" t="s">
        <v>332</v>
      </c>
      <c r="D27" s="574"/>
      <c r="E27" s="574"/>
      <c r="F27" s="574"/>
      <c r="G27" s="574"/>
      <c r="H27" s="574"/>
      <c r="I27" s="574"/>
      <c r="J27" s="574"/>
      <c r="K27" s="574"/>
      <c r="L27" s="50"/>
      <c r="M27" s="25"/>
    </row>
    <row r="28" spans="1:17" s="11" customFormat="1" ht="13.5" customHeight="1">
      <c r="A28" s="40"/>
      <c r="B28" s="99" t="s">
        <v>173</v>
      </c>
      <c r="C28" s="566" t="str">
        <f>IESWTR!C29</f>
        <v>Detail may not add to totals due to independent rounding.</v>
      </c>
      <c r="D28" s="566"/>
      <c r="E28" s="566"/>
      <c r="F28" s="566"/>
      <c r="G28" s="566"/>
      <c r="H28" s="566"/>
      <c r="I28" s="566"/>
      <c r="J28" s="566"/>
      <c r="K28" s="566"/>
      <c r="L28" s="68"/>
      <c r="M28" s="566"/>
      <c r="N28" s="566"/>
      <c r="O28" s="566"/>
      <c r="P28" s="566"/>
      <c r="Q28" s="566"/>
    </row>
    <row r="29" spans="1:17" s="11" customFormat="1" ht="13.5" customHeight="1">
      <c r="A29" s="40"/>
      <c r="B29" s="40"/>
      <c r="C29" s="566"/>
      <c r="D29" s="566"/>
      <c r="E29" s="566"/>
      <c r="F29" s="566"/>
      <c r="G29" s="566"/>
      <c r="H29" s="566"/>
      <c r="I29" s="566"/>
      <c r="J29" s="566"/>
      <c r="K29" s="566"/>
      <c r="L29" s="68"/>
      <c r="M29" s="566"/>
      <c r="N29" s="566"/>
      <c r="O29" s="566"/>
      <c r="P29" s="566"/>
      <c r="Q29" s="566"/>
    </row>
    <row r="30" spans="1:17" s="11" customFormat="1" ht="13.5" customHeight="1">
      <c r="A30" s="40"/>
      <c r="B30" s="40"/>
      <c r="C30" s="566"/>
      <c r="D30" s="566"/>
      <c r="E30" s="566"/>
      <c r="F30" s="566"/>
      <c r="G30" s="566"/>
      <c r="H30" s="566"/>
      <c r="I30" s="566"/>
      <c r="J30" s="566"/>
      <c r="K30" s="566"/>
      <c r="L30" s="68"/>
      <c r="M30" s="566"/>
      <c r="N30" s="566"/>
      <c r="O30" s="566"/>
      <c r="P30" s="566"/>
      <c r="Q30" s="566"/>
    </row>
    <row r="31" spans="3:17" s="11" customFormat="1" ht="13.5" customHeight="1">
      <c r="C31" s="566"/>
      <c r="D31" s="566"/>
      <c r="E31" s="566"/>
      <c r="F31" s="566"/>
      <c r="G31" s="566"/>
      <c r="H31" s="566"/>
      <c r="I31" s="566"/>
      <c r="J31" s="566"/>
      <c r="K31" s="566"/>
      <c r="L31" s="68"/>
      <c r="M31" s="566"/>
      <c r="N31" s="566"/>
      <c r="O31" s="566"/>
      <c r="P31" s="566"/>
      <c r="Q31" s="566"/>
    </row>
    <row r="32" spans="3:17" ht="13.5" customHeight="1">
      <c r="C32" s="565"/>
      <c r="D32" s="565"/>
      <c r="E32" s="565"/>
      <c r="F32" s="565"/>
      <c r="G32" s="565"/>
      <c r="H32" s="565"/>
      <c r="I32" s="565"/>
      <c r="J32" s="565"/>
      <c r="K32" s="565"/>
      <c r="L32" s="50"/>
      <c r="M32" s="565"/>
      <c r="N32" s="565"/>
      <c r="O32" s="565"/>
      <c r="P32" s="565"/>
      <c r="Q32" s="565"/>
    </row>
    <row r="33" spans="3:17" ht="13.5" customHeight="1">
      <c r="C33" s="565"/>
      <c r="D33" s="565"/>
      <c r="E33" s="565"/>
      <c r="F33" s="565"/>
      <c r="G33" s="565"/>
      <c r="H33" s="565"/>
      <c r="I33" s="565"/>
      <c r="J33" s="565"/>
      <c r="K33" s="565"/>
      <c r="L33" s="50"/>
      <c r="M33" s="565"/>
      <c r="N33" s="565"/>
      <c r="O33" s="565"/>
      <c r="P33" s="565"/>
      <c r="Q33" s="565"/>
    </row>
    <row r="34" ht="13.5" customHeight="1"/>
    <row r="35" ht="12.75" customHeight="1"/>
    <row r="47" ht="13.5" customHeight="1"/>
  </sheetData>
  <mergeCells count="30">
    <mergeCell ref="C33:K33"/>
    <mergeCell ref="M33:Q33"/>
    <mergeCell ref="C31:K31"/>
    <mergeCell ref="M31:Q31"/>
    <mergeCell ref="C32:K32"/>
    <mergeCell ref="M32:Q32"/>
    <mergeCell ref="M29:Q29"/>
    <mergeCell ref="C30:K30"/>
    <mergeCell ref="M30:Q30"/>
    <mergeCell ref="C25:K25"/>
    <mergeCell ref="C26:K26"/>
    <mergeCell ref="C27:K27"/>
    <mergeCell ref="C28:K28"/>
    <mergeCell ref="M28:Q28"/>
    <mergeCell ref="C29:K29"/>
    <mergeCell ref="C24:K24"/>
    <mergeCell ref="B5:B9"/>
    <mergeCell ref="B11:B15"/>
    <mergeCell ref="B16:C16"/>
    <mergeCell ref="B22:C22"/>
    <mergeCell ref="B17:B21"/>
    <mergeCell ref="B23:C23"/>
    <mergeCell ref="B10:C10"/>
    <mergeCell ref="B1:K1"/>
    <mergeCell ref="C3:C4"/>
    <mergeCell ref="B3:B4"/>
    <mergeCell ref="E3:H3"/>
    <mergeCell ref="B2:K2"/>
    <mergeCell ref="D3:D4"/>
    <mergeCell ref="I3:K3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7">
      <selection activeCell="A21" sqref="A21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8.421875" style="0" customWidth="1"/>
    <col min="5" max="5" width="9.00390625" style="0" customWidth="1"/>
    <col min="6" max="6" width="8.7109375" style="0" customWidth="1"/>
    <col min="7" max="7" width="8.57421875" style="0" customWidth="1"/>
    <col min="8" max="9" width="8.7109375" style="0" customWidth="1"/>
    <col min="10" max="10" width="8.421875" style="0" customWidth="1"/>
    <col min="11" max="11" width="8.00390625" style="0" customWidth="1"/>
    <col min="12" max="12" width="8.421875" style="0" customWidth="1"/>
    <col min="13" max="13" width="8.28125" style="0" customWidth="1"/>
    <col min="14" max="14" width="9.00390625" style="0" customWidth="1"/>
    <col min="15" max="15" width="8.8515625" style="0" customWidth="1"/>
  </cols>
  <sheetData>
    <row r="1" spans="1:15" ht="21" customHeight="1">
      <c r="A1" s="25"/>
      <c r="B1" s="556" t="s">
        <v>308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</row>
    <row r="2" spans="1:15" ht="23.25" customHeight="1">
      <c r="A2" s="25"/>
      <c r="B2" s="588" t="s">
        <v>203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</row>
    <row r="3" spans="1:15" ht="40.5" customHeight="1">
      <c r="A3" s="25"/>
      <c r="B3" s="552" t="s">
        <v>199</v>
      </c>
      <c r="C3" s="590" t="s">
        <v>200</v>
      </c>
      <c r="D3" s="593" t="s">
        <v>188</v>
      </c>
      <c r="E3" s="594"/>
      <c r="F3" s="595"/>
      <c r="G3" s="593" t="s">
        <v>189</v>
      </c>
      <c r="H3" s="594"/>
      <c r="I3" s="595"/>
      <c r="J3" s="593" t="s">
        <v>190</v>
      </c>
      <c r="K3" s="594"/>
      <c r="L3" s="595"/>
      <c r="M3" s="596" t="s">
        <v>187</v>
      </c>
      <c r="N3" s="594"/>
      <c r="O3" s="594"/>
    </row>
    <row r="4" spans="1:15" ht="27" customHeight="1" thickBot="1">
      <c r="A4" s="25"/>
      <c r="B4" s="589"/>
      <c r="C4" s="591"/>
      <c r="D4" s="107" t="s">
        <v>61</v>
      </c>
      <c r="E4" s="77" t="s">
        <v>62</v>
      </c>
      <c r="F4" s="108" t="s">
        <v>63</v>
      </c>
      <c r="G4" s="107" t="s">
        <v>61</v>
      </c>
      <c r="H4" s="77" t="s">
        <v>62</v>
      </c>
      <c r="I4" s="108" t="s">
        <v>63</v>
      </c>
      <c r="J4" s="107" t="s">
        <v>61</v>
      </c>
      <c r="K4" s="77" t="s">
        <v>62</v>
      </c>
      <c r="L4" s="108" t="s">
        <v>63</v>
      </c>
      <c r="M4" s="100" t="s">
        <v>61</v>
      </c>
      <c r="N4" s="77" t="s">
        <v>62</v>
      </c>
      <c r="O4" s="77" t="s">
        <v>63</v>
      </c>
    </row>
    <row r="5" spans="1:15" ht="13.5" customHeight="1">
      <c r="A5" s="25"/>
      <c r="B5" s="571" t="s">
        <v>0</v>
      </c>
      <c r="C5" s="105" t="s">
        <v>118</v>
      </c>
      <c r="D5" s="109">
        <v>0</v>
      </c>
      <c r="E5" s="79">
        <f>(Rads!E5+Rads!G5)*0.5</f>
        <v>90.125</v>
      </c>
      <c r="F5" s="110">
        <f>Rads!J5*0.5</f>
        <v>125.875</v>
      </c>
      <c r="G5" s="109">
        <v>0</v>
      </c>
      <c r="H5" s="79">
        <f>Rads!E5+Rads!G5</f>
        <v>180.25</v>
      </c>
      <c r="I5" s="110">
        <f>Rads!J5</f>
        <v>251.75</v>
      </c>
      <c r="J5" s="109">
        <v>0</v>
      </c>
      <c r="K5" s="79">
        <f>Rads!E5+Rads!F5+Rads!G5+Rads!H5</f>
        <v>277</v>
      </c>
      <c r="L5" s="110">
        <f>Rads!J5+Rads!K5</f>
        <v>377.625</v>
      </c>
      <c r="M5" s="101">
        <v>0</v>
      </c>
      <c r="N5" s="79">
        <f aca="true" t="shared" si="0" ref="N5:O10">(E5+H5+K5)/2.5</f>
        <v>218.95</v>
      </c>
      <c r="O5" s="79">
        <f t="shared" si="0"/>
        <v>302.1</v>
      </c>
    </row>
    <row r="6" spans="1:15" ht="13.5" customHeight="1">
      <c r="A6" s="25"/>
      <c r="B6" s="572"/>
      <c r="C6" s="106" t="s">
        <v>119</v>
      </c>
      <c r="D6" s="111">
        <v>0</v>
      </c>
      <c r="E6" s="71">
        <f>(Rads!E6+Rads!G6)*0.5</f>
        <v>66.2</v>
      </c>
      <c r="F6" s="112">
        <f>Rads!J6*0.5</f>
        <v>22.799999999999997</v>
      </c>
      <c r="G6" s="111">
        <v>0</v>
      </c>
      <c r="H6" s="71">
        <f>Rads!E6+Rads!G6</f>
        <v>132.4</v>
      </c>
      <c r="I6" s="112">
        <f>Rads!J6</f>
        <v>45.599999999999994</v>
      </c>
      <c r="J6" s="111">
        <v>0</v>
      </c>
      <c r="K6" s="71">
        <f>Rads!E6+Rads!F6+Rads!G6+Rads!H6</f>
        <v>199.8</v>
      </c>
      <c r="L6" s="112">
        <f>Rads!J6+Rads!K6</f>
        <v>68.39999999999999</v>
      </c>
      <c r="M6" s="102">
        <v>0</v>
      </c>
      <c r="N6" s="71">
        <f t="shared" si="0"/>
        <v>159.36</v>
      </c>
      <c r="O6" s="71">
        <f t="shared" si="0"/>
        <v>54.71999999999999</v>
      </c>
    </row>
    <row r="7" spans="1:15" ht="13.5" customHeight="1">
      <c r="A7" s="25"/>
      <c r="B7" s="572"/>
      <c r="C7" s="106" t="s">
        <v>130</v>
      </c>
      <c r="D7" s="111">
        <v>0</v>
      </c>
      <c r="E7" s="71">
        <f>(Rads!E7+Rads!G7)*0.5</f>
        <v>12.75</v>
      </c>
      <c r="F7" s="112">
        <f>Rads!J7*0.5</f>
        <v>4.75</v>
      </c>
      <c r="G7" s="111">
        <v>0</v>
      </c>
      <c r="H7" s="71">
        <f>Rads!E7+Rads!G7</f>
        <v>25.5</v>
      </c>
      <c r="I7" s="112">
        <f>Rads!J7</f>
        <v>9.5</v>
      </c>
      <c r="J7" s="111">
        <v>0</v>
      </c>
      <c r="K7" s="71">
        <f>Rads!E7+Rads!F7+Rads!G7+Rads!H7</f>
        <v>38.5</v>
      </c>
      <c r="L7" s="112">
        <f>Rads!J7+Rads!K7</f>
        <v>14.25</v>
      </c>
      <c r="M7" s="102">
        <v>0</v>
      </c>
      <c r="N7" s="71">
        <f t="shared" si="0"/>
        <v>30.7</v>
      </c>
      <c r="O7" s="71">
        <f t="shared" si="0"/>
        <v>11.4</v>
      </c>
    </row>
    <row r="8" spans="1:15" ht="13.5" customHeight="1">
      <c r="A8" s="25"/>
      <c r="B8" s="572"/>
      <c r="C8" s="106" t="s">
        <v>131</v>
      </c>
      <c r="D8" s="111">
        <v>0</v>
      </c>
      <c r="E8" s="71">
        <f>(Rads!E8+Rads!G8)*0.5</f>
        <v>12.575</v>
      </c>
      <c r="F8" s="112">
        <f>Rads!J8*0.5</f>
        <v>1.4249999999999998</v>
      </c>
      <c r="G8" s="111">
        <v>0</v>
      </c>
      <c r="H8" s="71">
        <f>Rads!E8+Rads!G8</f>
        <v>25.15</v>
      </c>
      <c r="I8" s="112">
        <f>Rads!J8</f>
        <v>2.8499999999999996</v>
      </c>
      <c r="J8" s="111">
        <v>0</v>
      </c>
      <c r="K8" s="71">
        <f>Rads!E8+Rads!F8+Rads!G8+Rads!H8</f>
        <v>37.8</v>
      </c>
      <c r="L8" s="112">
        <f>Rads!J8+Rads!K8</f>
        <v>4.2749999999999995</v>
      </c>
      <c r="M8" s="102">
        <v>0</v>
      </c>
      <c r="N8" s="71">
        <f t="shared" si="0"/>
        <v>30.209999999999997</v>
      </c>
      <c r="O8" s="71">
        <f t="shared" si="0"/>
        <v>3.4199999999999995</v>
      </c>
    </row>
    <row r="9" spans="1:15" ht="13.5" customHeight="1">
      <c r="A9" s="25"/>
      <c r="B9" s="572"/>
      <c r="C9" s="106" t="s">
        <v>132</v>
      </c>
      <c r="D9" s="111">
        <v>0</v>
      </c>
      <c r="E9" s="71">
        <f>(Rads!E9+Rads!G9)*0.5</f>
        <v>0</v>
      </c>
      <c r="F9" s="112">
        <f>Rads!J9*0.5</f>
        <v>0</v>
      </c>
      <c r="G9" s="111">
        <v>0</v>
      </c>
      <c r="H9" s="71">
        <f>Rads!E9+Rads!G9</f>
        <v>0</v>
      </c>
      <c r="I9" s="112">
        <f>Rads!J9</f>
        <v>0</v>
      </c>
      <c r="J9" s="111">
        <v>0</v>
      </c>
      <c r="K9" s="71">
        <f>Rads!E9+Rads!F9+Rads!G9+Rads!H9</f>
        <v>0</v>
      </c>
      <c r="L9" s="112">
        <f>Rads!J9+Rads!K9</f>
        <v>0</v>
      </c>
      <c r="M9" s="102">
        <v>0</v>
      </c>
      <c r="N9" s="71">
        <f t="shared" si="0"/>
        <v>0</v>
      </c>
      <c r="O9" s="71">
        <f t="shared" si="0"/>
        <v>0</v>
      </c>
    </row>
    <row r="10" spans="2:15" ht="13.5" customHeight="1" thickBot="1">
      <c r="B10" s="569" t="s">
        <v>127</v>
      </c>
      <c r="C10" s="592"/>
      <c r="D10" s="113">
        <v>0</v>
      </c>
      <c r="E10" s="81">
        <f>(Rads!E10+Rads!G10)*0.5</f>
        <v>181.65</v>
      </c>
      <c r="F10" s="114">
        <f>Rads!J10*0.5</f>
        <v>154.85000000000002</v>
      </c>
      <c r="G10" s="113">
        <v>0</v>
      </c>
      <c r="H10" s="81">
        <f>Rads!E10+Rads!G10</f>
        <v>363.3</v>
      </c>
      <c r="I10" s="114">
        <f>Rads!J10</f>
        <v>309.70000000000005</v>
      </c>
      <c r="J10" s="113">
        <v>0</v>
      </c>
      <c r="K10" s="81">
        <f>Rads!E10+Rads!F10+Rads!G10+Rads!H10</f>
        <v>553.0999999999999</v>
      </c>
      <c r="L10" s="114">
        <f>Rads!J10+Rads!K10</f>
        <v>464.55000000000007</v>
      </c>
      <c r="M10" s="103">
        <v>0</v>
      </c>
      <c r="N10" s="81">
        <f t="shared" si="0"/>
        <v>439.21999999999997</v>
      </c>
      <c r="O10" s="81">
        <f t="shared" si="0"/>
        <v>371.64000000000004</v>
      </c>
    </row>
    <row r="11" spans="2:15" ht="13.5" customHeight="1">
      <c r="B11" s="571" t="s">
        <v>2</v>
      </c>
      <c r="C11" s="105" t="s">
        <v>118</v>
      </c>
      <c r="D11" s="109">
        <v>0</v>
      </c>
      <c r="E11" s="79">
        <v>0</v>
      </c>
      <c r="F11" s="110">
        <v>0</v>
      </c>
      <c r="G11" s="109">
        <v>0</v>
      </c>
      <c r="H11" s="79">
        <v>0</v>
      </c>
      <c r="I11" s="110">
        <v>0</v>
      </c>
      <c r="J11" s="109">
        <v>0</v>
      </c>
      <c r="K11" s="79">
        <v>0</v>
      </c>
      <c r="L11" s="110">
        <v>0</v>
      </c>
      <c r="M11" s="101">
        <v>0</v>
      </c>
      <c r="N11" s="79">
        <v>0</v>
      </c>
      <c r="O11" s="79">
        <v>0</v>
      </c>
    </row>
    <row r="12" spans="2:15" ht="13.5" customHeight="1">
      <c r="B12" s="572"/>
      <c r="C12" s="106" t="s">
        <v>119</v>
      </c>
      <c r="D12" s="111">
        <v>0</v>
      </c>
      <c r="E12" s="71">
        <v>0</v>
      </c>
      <c r="F12" s="112">
        <v>0</v>
      </c>
      <c r="G12" s="111">
        <v>0</v>
      </c>
      <c r="H12" s="71">
        <v>0</v>
      </c>
      <c r="I12" s="112">
        <v>0</v>
      </c>
      <c r="J12" s="111">
        <v>0</v>
      </c>
      <c r="K12" s="71">
        <v>0</v>
      </c>
      <c r="L12" s="112">
        <v>0</v>
      </c>
      <c r="M12" s="102">
        <v>0</v>
      </c>
      <c r="N12" s="71">
        <v>0</v>
      </c>
      <c r="O12" s="71">
        <v>0</v>
      </c>
    </row>
    <row r="13" spans="2:15" ht="13.5" customHeight="1">
      <c r="B13" s="572"/>
      <c r="C13" s="106" t="s">
        <v>130</v>
      </c>
      <c r="D13" s="111">
        <v>0</v>
      </c>
      <c r="E13" s="71">
        <v>0</v>
      </c>
      <c r="F13" s="112">
        <v>0</v>
      </c>
      <c r="G13" s="111">
        <v>0</v>
      </c>
      <c r="H13" s="71">
        <v>0</v>
      </c>
      <c r="I13" s="112">
        <v>0</v>
      </c>
      <c r="J13" s="111">
        <v>0</v>
      </c>
      <c r="K13" s="71">
        <v>0</v>
      </c>
      <c r="L13" s="112">
        <v>0</v>
      </c>
      <c r="M13" s="102">
        <v>0</v>
      </c>
      <c r="N13" s="71">
        <v>0</v>
      </c>
      <c r="O13" s="71">
        <v>0</v>
      </c>
    </row>
    <row r="14" spans="2:15" ht="13.5" customHeight="1">
      <c r="B14" s="572"/>
      <c r="C14" s="106" t="s">
        <v>131</v>
      </c>
      <c r="D14" s="111">
        <v>0</v>
      </c>
      <c r="E14" s="71">
        <v>0</v>
      </c>
      <c r="F14" s="112">
        <v>0</v>
      </c>
      <c r="G14" s="111">
        <v>0</v>
      </c>
      <c r="H14" s="71">
        <v>0</v>
      </c>
      <c r="I14" s="112">
        <v>0</v>
      </c>
      <c r="J14" s="111">
        <v>0</v>
      </c>
      <c r="K14" s="71">
        <v>0</v>
      </c>
      <c r="L14" s="112">
        <v>0</v>
      </c>
      <c r="M14" s="102">
        <v>0</v>
      </c>
      <c r="N14" s="71">
        <v>0</v>
      </c>
      <c r="O14" s="71">
        <v>0</v>
      </c>
    </row>
    <row r="15" spans="2:15" ht="13.5" customHeight="1">
      <c r="B15" s="572"/>
      <c r="C15" s="106" t="s">
        <v>132</v>
      </c>
      <c r="D15" s="111">
        <v>0</v>
      </c>
      <c r="E15" s="71">
        <v>0</v>
      </c>
      <c r="F15" s="112">
        <v>0</v>
      </c>
      <c r="G15" s="111">
        <v>0</v>
      </c>
      <c r="H15" s="71">
        <v>0</v>
      </c>
      <c r="I15" s="112">
        <v>0</v>
      </c>
      <c r="J15" s="111">
        <v>0</v>
      </c>
      <c r="K15" s="71">
        <v>0</v>
      </c>
      <c r="L15" s="112">
        <v>0</v>
      </c>
      <c r="M15" s="102">
        <v>0</v>
      </c>
      <c r="N15" s="71">
        <v>0</v>
      </c>
      <c r="O15" s="71">
        <v>0</v>
      </c>
    </row>
    <row r="16" spans="2:15" ht="13.5" customHeight="1" thickBot="1">
      <c r="B16" s="569" t="s">
        <v>127</v>
      </c>
      <c r="C16" s="592"/>
      <c r="D16" s="113">
        <v>0</v>
      </c>
      <c r="E16" s="81">
        <v>0</v>
      </c>
      <c r="F16" s="114">
        <v>0</v>
      </c>
      <c r="G16" s="113">
        <v>0</v>
      </c>
      <c r="H16" s="81">
        <v>0</v>
      </c>
      <c r="I16" s="114">
        <v>0</v>
      </c>
      <c r="J16" s="113">
        <v>0</v>
      </c>
      <c r="K16" s="81">
        <v>0</v>
      </c>
      <c r="L16" s="114">
        <v>0</v>
      </c>
      <c r="M16" s="103">
        <v>0</v>
      </c>
      <c r="N16" s="81">
        <v>0</v>
      </c>
      <c r="O16" s="81">
        <v>0</v>
      </c>
    </row>
    <row r="17" spans="2:15" ht="13.5" customHeight="1">
      <c r="B17" s="571" t="s">
        <v>124</v>
      </c>
      <c r="C17" s="105" t="s">
        <v>118</v>
      </c>
      <c r="D17" s="109">
        <v>0</v>
      </c>
      <c r="E17" s="79">
        <v>0</v>
      </c>
      <c r="F17" s="110">
        <v>0</v>
      </c>
      <c r="G17" s="109">
        <v>0</v>
      </c>
      <c r="H17" s="79">
        <v>0</v>
      </c>
      <c r="I17" s="110">
        <v>0</v>
      </c>
      <c r="J17" s="109">
        <v>0</v>
      </c>
      <c r="K17" s="79">
        <v>0</v>
      </c>
      <c r="L17" s="110">
        <v>0</v>
      </c>
      <c r="M17" s="101">
        <v>0</v>
      </c>
      <c r="N17" s="79">
        <v>0</v>
      </c>
      <c r="O17" s="79">
        <v>0</v>
      </c>
    </row>
    <row r="18" spans="2:15" ht="13.5" customHeight="1">
      <c r="B18" s="572"/>
      <c r="C18" s="106" t="s">
        <v>119</v>
      </c>
      <c r="D18" s="111">
        <v>0</v>
      </c>
      <c r="E18" s="71">
        <v>0</v>
      </c>
      <c r="F18" s="112">
        <v>0</v>
      </c>
      <c r="G18" s="111">
        <v>0</v>
      </c>
      <c r="H18" s="71">
        <v>0</v>
      </c>
      <c r="I18" s="112">
        <v>0</v>
      </c>
      <c r="J18" s="111">
        <v>0</v>
      </c>
      <c r="K18" s="71">
        <v>0</v>
      </c>
      <c r="L18" s="112">
        <v>0</v>
      </c>
      <c r="M18" s="102">
        <v>0</v>
      </c>
      <c r="N18" s="71">
        <v>0</v>
      </c>
      <c r="O18" s="71">
        <v>0</v>
      </c>
    </row>
    <row r="19" spans="2:15" ht="13.5" customHeight="1">
      <c r="B19" s="572"/>
      <c r="C19" s="106" t="s">
        <v>130</v>
      </c>
      <c r="D19" s="111">
        <v>0</v>
      </c>
      <c r="E19" s="71">
        <v>0</v>
      </c>
      <c r="F19" s="112">
        <v>0</v>
      </c>
      <c r="G19" s="111">
        <v>0</v>
      </c>
      <c r="H19" s="71">
        <v>0</v>
      </c>
      <c r="I19" s="112">
        <v>0</v>
      </c>
      <c r="J19" s="111">
        <v>0</v>
      </c>
      <c r="K19" s="71">
        <v>0</v>
      </c>
      <c r="L19" s="112">
        <v>0</v>
      </c>
      <c r="M19" s="102">
        <v>0</v>
      </c>
      <c r="N19" s="71">
        <v>0</v>
      </c>
      <c r="O19" s="71">
        <v>0</v>
      </c>
    </row>
    <row r="20" spans="2:15" ht="13.5" customHeight="1">
      <c r="B20" s="572"/>
      <c r="C20" s="106" t="s">
        <v>131</v>
      </c>
      <c r="D20" s="111">
        <v>0</v>
      </c>
      <c r="E20" s="71">
        <v>0</v>
      </c>
      <c r="F20" s="112">
        <v>0</v>
      </c>
      <c r="G20" s="111">
        <v>0</v>
      </c>
      <c r="H20" s="71">
        <v>0</v>
      </c>
      <c r="I20" s="112">
        <v>0</v>
      </c>
      <c r="J20" s="111">
        <v>0</v>
      </c>
      <c r="K20" s="71">
        <v>0</v>
      </c>
      <c r="L20" s="112">
        <v>0</v>
      </c>
      <c r="M20" s="102">
        <v>0</v>
      </c>
      <c r="N20" s="71">
        <v>0</v>
      </c>
      <c r="O20" s="71">
        <v>0</v>
      </c>
    </row>
    <row r="21" spans="2:15" ht="13.5" customHeight="1">
      <c r="B21" s="572"/>
      <c r="C21" s="106" t="s">
        <v>132</v>
      </c>
      <c r="D21" s="111">
        <v>0</v>
      </c>
      <c r="E21" s="71">
        <v>0</v>
      </c>
      <c r="F21" s="112">
        <v>0</v>
      </c>
      <c r="G21" s="111">
        <v>0</v>
      </c>
      <c r="H21" s="71">
        <v>0</v>
      </c>
      <c r="I21" s="112">
        <v>0</v>
      </c>
      <c r="J21" s="111">
        <v>0</v>
      </c>
      <c r="K21" s="71">
        <v>0</v>
      </c>
      <c r="L21" s="112">
        <v>0</v>
      </c>
      <c r="M21" s="102">
        <v>0</v>
      </c>
      <c r="N21" s="71">
        <v>0</v>
      </c>
      <c r="O21" s="71">
        <v>0</v>
      </c>
    </row>
    <row r="22" spans="2:15" ht="13.5" customHeight="1" thickBot="1">
      <c r="B22" s="569" t="s">
        <v>127</v>
      </c>
      <c r="C22" s="592"/>
      <c r="D22" s="113">
        <v>0</v>
      </c>
      <c r="E22" s="81">
        <v>0</v>
      </c>
      <c r="F22" s="114">
        <v>0</v>
      </c>
      <c r="G22" s="113">
        <v>0</v>
      </c>
      <c r="H22" s="81">
        <v>0</v>
      </c>
      <c r="I22" s="114">
        <v>0</v>
      </c>
      <c r="J22" s="113">
        <v>0</v>
      </c>
      <c r="K22" s="81">
        <v>0</v>
      </c>
      <c r="L22" s="114">
        <v>0</v>
      </c>
      <c r="M22" s="103">
        <v>0</v>
      </c>
      <c r="N22" s="81">
        <v>0</v>
      </c>
      <c r="O22" s="81">
        <v>0</v>
      </c>
    </row>
    <row r="23" spans="2:15" ht="13.5" customHeight="1">
      <c r="B23" s="567" t="s">
        <v>207</v>
      </c>
      <c r="C23" s="581"/>
      <c r="D23" s="115">
        <v>0</v>
      </c>
      <c r="E23" s="82">
        <f>(Rads!E23+Rads!G23)*0.5</f>
        <v>181.65</v>
      </c>
      <c r="F23" s="116">
        <f>Rads!J23*0.5</f>
        <v>154.85000000000002</v>
      </c>
      <c r="G23" s="115">
        <v>0</v>
      </c>
      <c r="H23" s="82">
        <f>Rads!E23+Rads!G23</f>
        <v>363.3</v>
      </c>
      <c r="I23" s="116">
        <f>Rads!J23</f>
        <v>309.70000000000005</v>
      </c>
      <c r="J23" s="115">
        <v>0</v>
      </c>
      <c r="K23" s="82">
        <f>Rads!E23+Rads!F23+Rads!G23+Rads!H23</f>
        <v>553.0999999999999</v>
      </c>
      <c r="L23" s="116">
        <f>Rads!J23+Rads!K23</f>
        <v>464.55000000000007</v>
      </c>
      <c r="M23" s="104">
        <v>0</v>
      </c>
      <c r="N23" s="82">
        <f>(E23+H23+K23)/2.5</f>
        <v>439.21999999999997</v>
      </c>
      <c r="O23" s="82">
        <f>(F23+I23+L23)/2.5</f>
        <v>371.64000000000004</v>
      </c>
    </row>
    <row r="24" spans="2:15" ht="13.5" customHeight="1">
      <c r="B24" s="64" t="s">
        <v>129</v>
      </c>
      <c r="C24" s="582" t="s">
        <v>322</v>
      </c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</row>
    <row r="25" spans="2:15" ht="12.75">
      <c r="B25" s="64" t="s">
        <v>173</v>
      </c>
      <c r="C25" s="566" t="str">
        <f>'Existing Tier 1'!C29:N29</f>
        <v>Detail may not add to totals due to independent rounding.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</row>
    <row r="26" spans="3:11" ht="12.75">
      <c r="C26" s="566" t="s">
        <v>323</v>
      </c>
      <c r="D26" s="587"/>
      <c r="E26" s="587"/>
      <c r="F26" s="587"/>
      <c r="G26" s="587"/>
      <c r="H26" s="587"/>
      <c r="I26" s="587"/>
      <c r="J26" s="587"/>
      <c r="K26" s="587"/>
    </row>
    <row r="27" spans="3:15" ht="12" customHeight="1">
      <c r="C27" s="566" t="s">
        <v>333</v>
      </c>
      <c r="D27" s="587"/>
      <c r="E27" s="587"/>
      <c r="F27" s="587"/>
      <c r="G27" s="587"/>
      <c r="H27" s="587"/>
      <c r="I27" s="587"/>
      <c r="J27" s="587"/>
      <c r="K27" s="587"/>
      <c r="L27" s="561"/>
      <c r="M27" s="561"/>
      <c r="N27" s="561"/>
      <c r="O27" s="561"/>
    </row>
    <row r="28" spans="3:15" ht="12.75">
      <c r="C28" s="566"/>
      <c r="D28" s="587"/>
      <c r="E28" s="587"/>
      <c r="F28" s="587"/>
      <c r="G28" s="587"/>
      <c r="H28" s="587"/>
      <c r="I28" s="587"/>
      <c r="J28" s="587"/>
      <c r="K28" s="587"/>
      <c r="L28" s="561"/>
      <c r="M28" s="561"/>
      <c r="N28" s="561"/>
      <c r="O28" s="561"/>
    </row>
  </sheetData>
  <mergeCells count="20">
    <mergeCell ref="C28:O28"/>
    <mergeCell ref="C26:K26"/>
    <mergeCell ref="B23:C23"/>
    <mergeCell ref="C24:O24"/>
    <mergeCell ref="C25:O25"/>
    <mergeCell ref="C27:O27"/>
    <mergeCell ref="B5:B9"/>
    <mergeCell ref="B22:C22"/>
    <mergeCell ref="B10:C10"/>
    <mergeCell ref="B11:B15"/>
    <mergeCell ref="B16:C16"/>
    <mergeCell ref="B17:B21"/>
    <mergeCell ref="B1:O1"/>
    <mergeCell ref="J3:L3"/>
    <mergeCell ref="M3:O3"/>
    <mergeCell ref="B2:O2"/>
    <mergeCell ref="D3:F3"/>
    <mergeCell ref="G3:I3"/>
    <mergeCell ref="B3:B4"/>
    <mergeCell ref="C3:C4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6">
      <selection activeCell="A21" sqref="A21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8.421875" style="0" customWidth="1"/>
    <col min="5" max="5" width="8.7109375" style="0" customWidth="1"/>
    <col min="6" max="6" width="8.8515625" style="0" customWidth="1"/>
    <col min="8" max="8" width="8.57421875" style="0" customWidth="1"/>
    <col min="9" max="10" width="8.7109375" style="0" customWidth="1"/>
    <col min="11" max="11" width="8.421875" style="0" customWidth="1"/>
    <col min="12" max="13" width="8.7109375" style="0" customWidth="1"/>
    <col min="14" max="14" width="9.00390625" style="0" customWidth="1"/>
    <col min="15" max="15" width="8.7109375" style="0" customWidth="1"/>
  </cols>
  <sheetData>
    <row r="1" spans="1:15" ht="23.25" customHeight="1">
      <c r="A1" s="25"/>
      <c r="B1" s="556" t="s">
        <v>309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</row>
    <row r="2" spans="1:15" ht="32.25" customHeight="1">
      <c r="A2" s="25"/>
      <c r="B2" s="588" t="s">
        <v>238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</row>
    <row r="3" spans="1:15" ht="40.5" customHeight="1">
      <c r="A3" s="25"/>
      <c r="B3" s="552" t="s">
        <v>199</v>
      </c>
      <c r="C3" s="590" t="s">
        <v>200</v>
      </c>
      <c r="D3" s="593" t="s">
        <v>188</v>
      </c>
      <c r="E3" s="594"/>
      <c r="F3" s="595"/>
      <c r="G3" s="593" t="s">
        <v>189</v>
      </c>
      <c r="H3" s="594"/>
      <c r="I3" s="595"/>
      <c r="J3" s="593" t="s">
        <v>190</v>
      </c>
      <c r="K3" s="594"/>
      <c r="L3" s="595"/>
      <c r="M3" s="596" t="s">
        <v>187</v>
      </c>
      <c r="N3" s="594"/>
      <c r="O3" s="594"/>
    </row>
    <row r="4" spans="1:15" ht="27" customHeight="1" thickBot="1">
      <c r="A4" s="25"/>
      <c r="B4" s="589"/>
      <c r="C4" s="591"/>
      <c r="D4" s="107" t="s">
        <v>61</v>
      </c>
      <c r="E4" s="77" t="s">
        <v>62</v>
      </c>
      <c r="F4" s="108" t="s">
        <v>63</v>
      </c>
      <c r="G4" s="107" t="s">
        <v>61</v>
      </c>
      <c r="H4" s="77" t="s">
        <v>62</v>
      </c>
      <c r="I4" s="108" t="s">
        <v>63</v>
      </c>
      <c r="J4" s="107" t="s">
        <v>61</v>
      </c>
      <c r="K4" s="77" t="s">
        <v>62</v>
      </c>
      <c r="L4" s="108" t="s">
        <v>63</v>
      </c>
      <c r="M4" s="100" t="s">
        <v>61</v>
      </c>
      <c r="N4" s="77" t="s">
        <v>62</v>
      </c>
      <c r="O4" s="77" t="s">
        <v>63</v>
      </c>
    </row>
    <row r="5" spans="1:15" ht="13.5" customHeight="1">
      <c r="A5" s="25"/>
      <c r="B5" s="571" t="s">
        <v>0</v>
      </c>
      <c r="C5" s="105" t="s">
        <v>118</v>
      </c>
      <c r="D5" s="109">
        <f>'Existing (Sched)'!D5+'Stage 1 (Sched)'!D5+'IESWTR (Sched)'!D5+'FBRR (Sched)'!D5+'Rads (Sched)'!D5</f>
        <v>374.81499999999994</v>
      </c>
      <c r="E5" s="79">
        <f>'Existing (Sched)'!E5+'Stage 1 (Sched)'!E5+'IESWTR (Sched)'!E5+'FBRR (Sched)'!E5+'Rads (Sched)'!E5</f>
        <v>2767.6</v>
      </c>
      <c r="F5" s="110">
        <f>'Existing (Sched)'!F5+'Stage 1 (Sched)'!F5+'IESWTR (Sched)'!F5+'FBRR (Sched)'!F5+'Rads (Sched)'!F5</f>
        <v>4983.375</v>
      </c>
      <c r="G5" s="109">
        <f>'Existing (Sched)'!G5+'Stage 1 (Sched)'!G5+'IESWTR (Sched)'!G5+'FBRR (Sched)'!G5+'Rads (Sched)'!G5</f>
        <v>749.6299999999999</v>
      </c>
      <c r="H5" s="79">
        <f>'Existing (Sched)'!H5+'Stage 1 (Sched)'!H5+'IESWTR (Sched)'!H5+'FBRR (Sched)'!H5+'Rads (Sched)'!H5</f>
        <v>5535.2</v>
      </c>
      <c r="I5" s="110">
        <f>'Existing (Sched)'!I5+'Stage 1 (Sched)'!I5+'IESWTR (Sched)'!I5+'FBRR (Sched)'!I5+'Rads (Sched)'!I5</f>
        <v>9966.75</v>
      </c>
      <c r="J5" s="109">
        <f>'Existing (Sched)'!J5+'Stage 1 (Sched)'!J5+'IESWTR (Sched)'!J5+'FBRR (Sched)'!J5+'Rads (Sched)'!J5</f>
        <v>749.6299999999999</v>
      </c>
      <c r="K5" s="79">
        <f>'Existing (Sched)'!K5+'Stage 1 (Sched)'!K5+'IESWTR (Sched)'!K5+'FBRR (Sched)'!K5+'Rads (Sched)'!K5</f>
        <v>6563.933010263752</v>
      </c>
      <c r="L5" s="110">
        <f>'Existing (Sched)'!L5+'Stage 1 (Sched)'!L5+'IESWTR (Sched)'!L5+'FBRR (Sched)'!L5+'Rads (Sched)'!L5</f>
        <v>10294.450628499999</v>
      </c>
      <c r="M5" s="101">
        <f>'Existing (Sched)'!M5+'Stage 1 (Sched)'!M5+'IESWTR (Sched)'!M5+'FBRR (Sched)'!M5+'Rads (Sched)'!M5</f>
        <v>749.6299999999999</v>
      </c>
      <c r="N5" s="79">
        <f>'Existing (Sched)'!N5+'Stage 1 (Sched)'!N5+'IESWTR (Sched)'!N5+'FBRR (Sched)'!N5+'Rads (Sched)'!N5</f>
        <v>5946.693204105501</v>
      </c>
      <c r="O5" s="79">
        <f>'Existing (Sched)'!O5+'Stage 1 (Sched)'!O5+'IESWTR (Sched)'!O5+'FBRR (Sched)'!O5+'Rads (Sched)'!O5</f>
        <v>10097.8302514</v>
      </c>
    </row>
    <row r="6" spans="1:15" ht="13.5" customHeight="1">
      <c r="A6" s="25"/>
      <c r="B6" s="572"/>
      <c r="C6" s="106" t="s">
        <v>119</v>
      </c>
      <c r="D6" s="111">
        <f>'Existing (Sched)'!D6+'Stage 1 (Sched)'!D6+'IESWTR (Sched)'!D6+'FBRR (Sched)'!D6+'Rads (Sched)'!D6</f>
        <v>147.26</v>
      </c>
      <c r="E6" s="71">
        <f>'Existing (Sched)'!E6+'Stage 1 (Sched)'!E6+'IESWTR (Sched)'!E6+'FBRR (Sched)'!E6+'Rads (Sched)'!E6</f>
        <v>1007.4250000000001</v>
      </c>
      <c r="F6" s="112">
        <f>'Existing (Sched)'!F6+'Stage 1 (Sched)'!F6+'IESWTR (Sched)'!F6+'FBRR (Sched)'!F6+'Rads (Sched)'!F6</f>
        <v>1241.3</v>
      </c>
      <c r="G6" s="111">
        <f>'Existing (Sched)'!G6+'Stage 1 (Sched)'!G6+'IESWTR (Sched)'!G6+'FBRR (Sched)'!G6+'Rads (Sched)'!G6</f>
        <v>294.52</v>
      </c>
      <c r="H6" s="71">
        <f>'Existing (Sched)'!H6+'Stage 1 (Sched)'!H6+'IESWTR (Sched)'!H6+'FBRR (Sched)'!H6+'Rads (Sched)'!H6</f>
        <v>2014.8500000000001</v>
      </c>
      <c r="I6" s="112">
        <f>'Existing (Sched)'!I6+'Stage 1 (Sched)'!I6+'IESWTR (Sched)'!I6+'FBRR (Sched)'!I6+'Rads (Sched)'!I6</f>
        <v>2482.6</v>
      </c>
      <c r="J6" s="111">
        <f>'Existing (Sched)'!J6+'Stage 1 (Sched)'!J6+'IESWTR (Sched)'!J6+'FBRR (Sched)'!J6+'Rads (Sched)'!J6</f>
        <v>294.52</v>
      </c>
      <c r="K6" s="71">
        <f>'Existing (Sched)'!K6+'Stage 1 (Sched)'!K6+'IESWTR (Sched)'!K6+'FBRR (Sched)'!K6+'Rads (Sched)'!K6</f>
        <v>2615.366302068512</v>
      </c>
      <c r="L6" s="112">
        <f>'Existing (Sched)'!L6+'Stage 1 (Sched)'!L6+'IESWTR (Sched)'!L6+'FBRR (Sched)'!L6+'Rads (Sched)'!L6</f>
        <v>2621.7812415000003</v>
      </c>
      <c r="M6" s="102">
        <f>'Existing (Sched)'!M6+'Stage 1 (Sched)'!M6+'IESWTR (Sched)'!M6+'FBRR (Sched)'!M6+'Rads (Sched)'!M6</f>
        <v>294.52</v>
      </c>
      <c r="N6" s="71">
        <f>'Existing (Sched)'!N6+'Stage 1 (Sched)'!N6+'IESWTR (Sched)'!N6+'FBRR (Sched)'!N6+'Rads (Sched)'!N6</f>
        <v>2255.056520827405</v>
      </c>
      <c r="O6" s="71">
        <f>'Existing (Sched)'!O6+'Stage 1 (Sched)'!O6+'IESWTR (Sched)'!O6+'FBRR (Sched)'!O6+'Rads (Sched)'!O6</f>
        <v>2538.2724965999996</v>
      </c>
    </row>
    <row r="7" spans="1:15" ht="13.5" customHeight="1">
      <c r="A7" s="25"/>
      <c r="B7" s="572"/>
      <c r="C7" s="106" t="s">
        <v>130</v>
      </c>
      <c r="D7" s="111">
        <f>'Existing (Sched)'!D7+'Stage 1 (Sched)'!D7+'IESWTR (Sched)'!D7+'FBRR (Sched)'!D7+'Rads (Sched)'!D7</f>
        <v>22.155</v>
      </c>
      <c r="E7" s="71">
        <f>'Existing (Sched)'!E7+'Stage 1 (Sched)'!E7+'IESWTR (Sched)'!E7+'FBRR (Sched)'!E7+'Rads (Sched)'!E7</f>
        <v>303.175</v>
      </c>
      <c r="F7" s="112">
        <f>'Existing (Sched)'!F7+'Stage 1 (Sched)'!F7+'IESWTR (Sched)'!F7+'FBRR (Sched)'!F7+'Rads (Sched)'!F7</f>
        <v>344.75</v>
      </c>
      <c r="G7" s="111">
        <f>'Existing (Sched)'!G7+'Stage 1 (Sched)'!G7+'IESWTR (Sched)'!G7+'FBRR (Sched)'!G7+'Rads (Sched)'!G7</f>
        <v>44.31</v>
      </c>
      <c r="H7" s="71">
        <f>'Existing (Sched)'!H7+'Stage 1 (Sched)'!H7+'IESWTR (Sched)'!H7+'FBRR (Sched)'!H7+'Rads (Sched)'!H7</f>
        <v>606.35</v>
      </c>
      <c r="I7" s="112">
        <f>'Existing (Sched)'!I7+'Stage 1 (Sched)'!I7+'IESWTR (Sched)'!I7+'FBRR (Sched)'!I7+'Rads (Sched)'!I7</f>
        <v>689.5</v>
      </c>
      <c r="J7" s="111">
        <f>'Existing (Sched)'!J7+'Stage 1 (Sched)'!J7+'IESWTR (Sched)'!J7+'FBRR (Sched)'!J7+'Rads (Sched)'!J7</f>
        <v>44.31</v>
      </c>
      <c r="K7" s="71">
        <f>'Existing (Sched)'!K7+'Stage 1 (Sched)'!K7+'IESWTR (Sched)'!K7+'FBRR (Sched)'!K7+'Rads (Sched)'!K7</f>
        <v>796.2707070302974</v>
      </c>
      <c r="L7" s="112">
        <f>'Existing (Sched)'!L7+'Stage 1 (Sched)'!L7+'IESWTR (Sched)'!L7+'FBRR (Sched)'!L7+'Rads (Sched)'!L7</f>
        <v>733.564705</v>
      </c>
      <c r="M7" s="102">
        <f>'Existing (Sched)'!M7+'Stage 1 (Sched)'!M7+'IESWTR (Sched)'!M7+'FBRR (Sched)'!M7+'Rads (Sched)'!M7</f>
        <v>44.31</v>
      </c>
      <c r="N7" s="71">
        <f>'Existing (Sched)'!N7+'Stage 1 (Sched)'!N7+'IESWTR (Sched)'!N7+'FBRR (Sched)'!N7+'Rads (Sched)'!N7</f>
        <v>682.318282812119</v>
      </c>
      <c r="O7" s="71">
        <f>'Existing (Sched)'!O7+'Stage 1 (Sched)'!O7+'IESWTR (Sched)'!O7+'FBRR (Sched)'!O7+'Rads (Sched)'!O7</f>
        <v>707.1258819999999</v>
      </c>
    </row>
    <row r="8" spans="1:15" ht="13.5" customHeight="1">
      <c r="A8" s="25"/>
      <c r="B8" s="572"/>
      <c r="C8" s="106" t="s">
        <v>131</v>
      </c>
      <c r="D8" s="111">
        <f>'Existing (Sched)'!D8+'Stage 1 (Sched)'!D8+'IESWTR (Sched)'!D8+'FBRR (Sched)'!D8+'Rads (Sched)'!D8</f>
        <v>14.82</v>
      </c>
      <c r="E8" s="71">
        <f>'Existing (Sched)'!E8+'Stage 1 (Sched)'!E8+'IESWTR (Sched)'!E8+'FBRR (Sched)'!E8+'Rads (Sched)'!E8</f>
        <v>392.76057</v>
      </c>
      <c r="F8" s="112">
        <f>'Existing (Sched)'!F8+'Stage 1 (Sched)'!F8+'IESWTR (Sched)'!F8+'FBRR (Sched)'!F8+'Rads (Sched)'!F8</f>
        <v>247.98623</v>
      </c>
      <c r="G8" s="111">
        <f>'Existing (Sched)'!G8+'Stage 1 (Sched)'!G8+'IESWTR (Sched)'!G8+'FBRR (Sched)'!G8+'Rads (Sched)'!G8</f>
        <v>29.64</v>
      </c>
      <c r="H8" s="71">
        <f>'Existing (Sched)'!H8+'Stage 1 (Sched)'!H8+'IESWTR (Sched)'!H8+'FBRR (Sched)'!H8+'Rads (Sched)'!H8</f>
        <v>785.52114</v>
      </c>
      <c r="I8" s="112">
        <f>'Existing (Sched)'!I8+'Stage 1 (Sched)'!I8+'IESWTR (Sched)'!I8+'FBRR (Sched)'!I8+'Rads (Sched)'!I8</f>
        <v>495.97246</v>
      </c>
      <c r="J8" s="111">
        <f>'Existing (Sched)'!J8+'Stage 1 (Sched)'!J8+'IESWTR (Sched)'!J8+'FBRR (Sched)'!J8+'Rads (Sched)'!J8</f>
        <v>29.64</v>
      </c>
      <c r="K8" s="71">
        <f>'Existing (Sched)'!K8+'Stage 1 (Sched)'!K8+'IESWTR (Sched)'!K8+'FBRR (Sched)'!K8+'Rads (Sched)'!K8</f>
        <v>804.5846059999999</v>
      </c>
      <c r="L8" s="112">
        <f>'Existing (Sched)'!L8+'Stage 1 (Sched)'!L8+'IESWTR (Sched)'!L8+'FBRR (Sched)'!L8+'Rads (Sched)'!L8</f>
        <v>500.369554</v>
      </c>
      <c r="M8" s="102">
        <f>'Existing (Sched)'!M8+'Stage 1 (Sched)'!M8+'IESWTR (Sched)'!M8+'FBRR (Sched)'!M8+'Rads (Sched)'!M8</f>
        <v>29.639999999999997</v>
      </c>
      <c r="N8" s="71">
        <f>'Existing (Sched)'!N8+'Stage 1 (Sched)'!N8+'IESWTR (Sched)'!N8+'FBRR (Sched)'!N8+'Rads (Sched)'!N8</f>
        <v>793.1465264</v>
      </c>
      <c r="O8" s="71">
        <f>'Existing (Sched)'!O8+'Stage 1 (Sched)'!O8+'IESWTR (Sched)'!O8+'FBRR (Sched)'!O8+'Rads (Sched)'!O8</f>
        <v>497.7312976</v>
      </c>
    </row>
    <row r="9" spans="1:15" ht="13.5" customHeight="1">
      <c r="A9" s="25"/>
      <c r="B9" s="572"/>
      <c r="C9" s="106" t="s">
        <v>132</v>
      </c>
      <c r="D9" s="111">
        <f>'Existing (Sched)'!D9+'Stage 1 (Sched)'!D9+'IESWTR (Sched)'!D9+'FBRR (Sched)'!D9+'Rads (Sched)'!D9</f>
        <v>4.047553603620881</v>
      </c>
      <c r="E9" s="71">
        <f>'Existing (Sched)'!E9+'Stage 1 (Sched)'!E9+'IESWTR (Sched)'!E9+'FBRR (Sched)'!E9+'Rads (Sched)'!E9</f>
        <v>43.94594969387162</v>
      </c>
      <c r="F9" s="112">
        <f>'Existing (Sched)'!F9+'Stage 1 (Sched)'!F9+'IESWTR (Sched)'!F9+'FBRR (Sched)'!F9+'Rads (Sched)'!F9</f>
        <v>23.0047225</v>
      </c>
      <c r="G9" s="111">
        <f>'Existing (Sched)'!G9+'Stage 1 (Sched)'!G9+'IESWTR (Sched)'!G9+'FBRR (Sched)'!G9+'Rads (Sched)'!G9</f>
        <v>8.095107207241762</v>
      </c>
      <c r="H9" s="71">
        <f>'Existing (Sched)'!H9+'Stage 1 (Sched)'!H9+'IESWTR (Sched)'!H9+'FBRR (Sched)'!H9+'Rads (Sched)'!H9</f>
        <v>87.89189938774324</v>
      </c>
      <c r="I9" s="112">
        <f>'Existing (Sched)'!I9+'Stage 1 (Sched)'!I9+'IESWTR (Sched)'!I9+'FBRR (Sched)'!I9+'Rads (Sched)'!I9</f>
        <v>46.009445</v>
      </c>
      <c r="J9" s="111">
        <f>'Existing (Sched)'!J9+'Stage 1 (Sched)'!J9+'IESWTR (Sched)'!J9+'FBRR (Sched)'!J9+'Rads (Sched)'!J9</f>
        <v>8.095107207241762</v>
      </c>
      <c r="K9" s="71">
        <f>'Existing (Sched)'!K9+'Stage 1 (Sched)'!K9+'IESWTR (Sched)'!K9+'FBRR (Sched)'!K9+'Rads (Sched)'!K9</f>
        <v>89.08393338774324</v>
      </c>
      <c r="L9" s="112">
        <f>'Existing (Sched)'!L9+'Stage 1 (Sched)'!L9+'IESWTR (Sched)'!L9+'FBRR (Sched)'!L9+'Rads (Sched)'!L9</f>
        <v>46.561851</v>
      </c>
      <c r="M9" s="102">
        <f>'Existing (Sched)'!M9+'Stage 1 (Sched)'!M9+'IESWTR (Sched)'!M9+'FBRR (Sched)'!M9+'Rads (Sched)'!M9</f>
        <v>8.095107207241762</v>
      </c>
      <c r="N9" s="71">
        <f>'Existing (Sched)'!N9+'Stage 1 (Sched)'!N9+'IESWTR (Sched)'!N9+'FBRR (Sched)'!N9+'Rads (Sched)'!N9</f>
        <v>88.36871298774324</v>
      </c>
      <c r="O9" s="71">
        <f>'Existing (Sched)'!O9+'Stage 1 (Sched)'!O9+'IESWTR (Sched)'!O9+'FBRR (Sched)'!O9+'Rads (Sched)'!O9</f>
        <v>46.2304074</v>
      </c>
    </row>
    <row r="10" spans="2:15" ht="13.5" customHeight="1" thickBot="1">
      <c r="B10" s="569" t="s">
        <v>127</v>
      </c>
      <c r="C10" s="592"/>
      <c r="D10" s="113">
        <f>'Existing (Sched)'!D10+'Stage 1 (Sched)'!D10+'IESWTR (Sched)'!D10+'FBRR (Sched)'!D10+'Rads (Sched)'!D10</f>
        <v>563.0975536036209</v>
      </c>
      <c r="E10" s="81">
        <f>'Existing (Sched)'!E10+'Stage 1 (Sched)'!E10+'IESWTR (Sched)'!E10+'FBRR (Sched)'!E10+'Rads (Sched)'!E10</f>
        <v>4514.906519693872</v>
      </c>
      <c r="F10" s="114">
        <f>'Existing (Sched)'!F10+'Stage 1 (Sched)'!F10+'IESWTR (Sched)'!F10+'FBRR (Sched)'!F10+'Rads (Sched)'!F10</f>
        <v>6840.4159525</v>
      </c>
      <c r="G10" s="113">
        <f>'Existing (Sched)'!G10+'Stage 1 (Sched)'!G10+'IESWTR (Sched)'!G10+'FBRR (Sched)'!G10+'Rads (Sched)'!G10</f>
        <v>1126.1951072072418</v>
      </c>
      <c r="H10" s="81">
        <f>'Existing (Sched)'!H10+'Stage 1 (Sched)'!H10+'IESWTR (Sched)'!H10+'FBRR (Sched)'!H10+'Rads (Sched)'!H10</f>
        <v>9029.813039387744</v>
      </c>
      <c r="I10" s="114">
        <f>'Existing (Sched)'!I10+'Stage 1 (Sched)'!I10+'IESWTR (Sched)'!I10+'FBRR (Sched)'!I10+'Rads (Sched)'!I10</f>
        <v>13680.831905</v>
      </c>
      <c r="J10" s="113">
        <f>'Existing (Sched)'!J10+'Stage 1 (Sched)'!J10+'IESWTR (Sched)'!J10+'FBRR (Sched)'!J10+'Rads (Sched)'!J10</f>
        <v>1126.1951072072418</v>
      </c>
      <c r="K10" s="81">
        <f>'Existing (Sched)'!K10+'Stage 1 (Sched)'!K10+'IESWTR (Sched)'!K10+'FBRR (Sched)'!K10+'Rads (Sched)'!K10</f>
        <v>10869.238558750307</v>
      </c>
      <c r="L10" s="114">
        <f>'Existing (Sched)'!L10+'Stage 1 (Sched)'!L10+'IESWTR (Sched)'!L10+'FBRR (Sched)'!L10+'Rads (Sched)'!L10</f>
        <v>14196.727979999998</v>
      </c>
      <c r="M10" s="103">
        <f>'Existing (Sched)'!M10+'Stage 1 (Sched)'!M10+'IESWTR (Sched)'!M10+'FBRR (Sched)'!M10+'Rads (Sched)'!M10</f>
        <v>1126.1951072072416</v>
      </c>
      <c r="N10" s="81">
        <f>'Existing (Sched)'!N10+'Stage 1 (Sched)'!N10+'IESWTR (Sched)'!N10+'FBRR (Sched)'!N10+'Rads (Sched)'!N10</f>
        <v>9765.58324713277</v>
      </c>
      <c r="O10" s="81">
        <f>'Existing (Sched)'!O10+'Stage 1 (Sched)'!O10+'IESWTR (Sched)'!O10+'FBRR (Sched)'!O10+'Rads (Sched)'!O10</f>
        <v>13887.190334999998</v>
      </c>
    </row>
    <row r="11" spans="2:15" ht="13.5" customHeight="1">
      <c r="B11" s="571" t="s">
        <v>2</v>
      </c>
      <c r="C11" s="105" t="s">
        <v>118</v>
      </c>
      <c r="D11" s="109">
        <f>'Existing (Sched)'!D11+'Stage 1 (Sched)'!D11+'IESWTR (Sched)'!D11+'FBRR (Sched)'!D11+'Rads (Sched)'!D11</f>
        <v>105.695</v>
      </c>
      <c r="E11" s="79">
        <f>'Existing (Sched)'!E11+'Stage 1 (Sched)'!E11+'IESWTR (Sched)'!E11+'FBRR (Sched)'!E11+'Rads (Sched)'!E11</f>
        <v>1164.325</v>
      </c>
      <c r="F11" s="110">
        <f>'Existing (Sched)'!F11+'Stage 1 (Sched)'!F11+'IESWTR (Sched)'!F11+'FBRR (Sched)'!F11+'Rads (Sched)'!F11</f>
        <v>2132</v>
      </c>
      <c r="G11" s="109">
        <f>'Existing (Sched)'!G11+'Stage 1 (Sched)'!G11+'IESWTR (Sched)'!G11+'FBRR (Sched)'!G11+'Rads (Sched)'!G11</f>
        <v>211.39</v>
      </c>
      <c r="H11" s="79">
        <f>'Existing (Sched)'!H11+'Stage 1 (Sched)'!H11+'IESWTR (Sched)'!H11+'FBRR (Sched)'!H11+'Rads (Sched)'!H11</f>
        <v>2328.65</v>
      </c>
      <c r="I11" s="110">
        <f>'Existing (Sched)'!I11+'Stage 1 (Sched)'!I11+'IESWTR (Sched)'!I11+'FBRR (Sched)'!I11+'Rads (Sched)'!I11</f>
        <v>4264</v>
      </c>
      <c r="J11" s="109">
        <f>'Existing (Sched)'!J11+'Stage 1 (Sched)'!J11+'IESWTR (Sched)'!J11+'FBRR (Sched)'!J11+'Rads (Sched)'!J11</f>
        <v>211.39</v>
      </c>
      <c r="K11" s="79">
        <f>'Existing (Sched)'!K11+'Stage 1 (Sched)'!K11+'IESWTR (Sched)'!K11+'FBRR (Sched)'!K11+'Rads (Sched)'!K11</f>
        <v>2634.2242373184295</v>
      </c>
      <c r="L11" s="110">
        <f>'Existing (Sched)'!L11+'Stage 1 (Sched)'!L11+'IESWTR (Sched)'!L11+'FBRR (Sched)'!L11+'Rads (Sched)'!L11</f>
        <v>4330.437965</v>
      </c>
      <c r="M11" s="101">
        <f>'Existing (Sched)'!M11+'Stage 1 (Sched)'!M11+'IESWTR (Sched)'!M11+'FBRR (Sched)'!M11+'Rads (Sched)'!M11</f>
        <v>211.38999999999996</v>
      </c>
      <c r="N11" s="79">
        <f>'Existing (Sched)'!N11+'Stage 1 (Sched)'!N11+'IESWTR (Sched)'!N11+'FBRR (Sched)'!N11+'Rads (Sched)'!N11</f>
        <v>2450.879694927372</v>
      </c>
      <c r="O11" s="79">
        <f>'Existing (Sched)'!O11+'Stage 1 (Sched)'!O11+'IESWTR (Sched)'!O11+'FBRR (Sched)'!O11+'Rads (Sched)'!O11</f>
        <v>4290.575185999999</v>
      </c>
    </row>
    <row r="12" spans="2:15" ht="13.5" customHeight="1">
      <c r="B12" s="572"/>
      <c r="C12" s="106" t="s">
        <v>119</v>
      </c>
      <c r="D12" s="111">
        <f>'Existing (Sched)'!D12+'Stage 1 (Sched)'!D12+'IESWTR (Sched)'!D12+'FBRR (Sched)'!D12+'Rads (Sched)'!D12</f>
        <v>18.529999999999998</v>
      </c>
      <c r="E12" s="71">
        <f>'Existing (Sched)'!E12+'Stage 1 (Sched)'!E12+'IESWTR (Sched)'!E12+'FBRR (Sched)'!E12+'Rads (Sched)'!E12</f>
        <v>171.775</v>
      </c>
      <c r="F12" s="112">
        <f>'Existing (Sched)'!F12+'Stage 1 (Sched)'!F12+'IESWTR (Sched)'!F12+'FBRR (Sched)'!F12+'Rads (Sched)'!F12</f>
        <v>283</v>
      </c>
      <c r="G12" s="111">
        <f>'Existing (Sched)'!G12+'Stage 1 (Sched)'!G12+'IESWTR (Sched)'!G12+'FBRR (Sched)'!G12+'Rads (Sched)'!G12</f>
        <v>37.059999999999995</v>
      </c>
      <c r="H12" s="71">
        <f>'Existing (Sched)'!H12+'Stage 1 (Sched)'!H12+'IESWTR (Sched)'!H12+'FBRR (Sched)'!H12+'Rads (Sched)'!H12</f>
        <v>343.55</v>
      </c>
      <c r="I12" s="112">
        <f>'Existing (Sched)'!I12+'Stage 1 (Sched)'!I12+'IESWTR (Sched)'!I12+'FBRR (Sched)'!I12+'Rads (Sched)'!I12</f>
        <v>566</v>
      </c>
      <c r="J12" s="111">
        <f>'Existing (Sched)'!J12+'Stage 1 (Sched)'!J12+'IESWTR (Sched)'!J12+'FBRR (Sched)'!J12+'Rads (Sched)'!J12</f>
        <v>37.059999999999995</v>
      </c>
      <c r="K12" s="71">
        <f>'Existing (Sched)'!K12+'Stage 1 (Sched)'!K12+'IESWTR (Sched)'!K12+'FBRR (Sched)'!K12+'Rads (Sched)'!K12</f>
        <v>395.9210637105143</v>
      </c>
      <c r="L12" s="112">
        <f>'Existing (Sched)'!L12+'Stage 1 (Sched)'!L12+'IESWTR (Sched)'!L12+'FBRR (Sched)'!L12+'Rads (Sched)'!L12</f>
        <v>577.5456825</v>
      </c>
      <c r="M12" s="102">
        <f>'Existing (Sched)'!M12+'Stage 1 (Sched)'!M12+'IESWTR (Sched)'!M12+'FBRR (Sched)'!M12+'Rads (Sched)'!M12</f>
        <v>37.05999999999999</v>
      </c>
      <c r="N12" s="71">
        <f>'Existing (Sched)'!N12+'Stage 1 (Sched)'!N12+'IESWTR (Sched)'!N12+'FBRR (Sched)'!N12+'Rads (Sched)'!N12</f>
        <v>364.49842548420577</v>
      </c>
      <c r="O12" s="71">
        <f>'Existing (Sched)'!O12+'Stage 1 (Sched)'!O12+'IESWTR (Sched)'!O12+'FBRR (Sched)'!O12+'Rads (Sched)'!O12</f>
        <v>570.6182729999999</v>
      </c>
    </row>
    <row r="13" spans="2:15" ht="13.5" customHeight="1">
      <c r="B13" s="572"/>
      <c r="C13" s="106" t="s">
        <v>130</v>
      </c>
      <c r="D13" s="111">
        <f>'Existing (Sched)'!D13+'Stage 1 (Sched)'!D13+'IESWTR (Sched)'!D13+'FBRR (Sched)'!D13+'Rads (Sched)'!D13</f>
        <v>1.035</v>
      </c>
      <c r="E13" s="71">
        <f>'Existing (Sched)'!E13+'Stage 1 (Sched)'!E13+'IESWTR (Sched)'!E13+'FBRR (Sched)'!E13+'Rads (Sched)'!E13</f>
        <v>6.550000000000001</v>
      </c>
      <c r="F13" s="112">
        <f>'Existing (Sched)'!F13+'Stage 1 (Sched)'!F13+'IESWTR (Sched)'!F13+'FBRR (Sched)'!F13+'Rads (Sched)'!F13</f>
        <v>17</v>
      </c>
      <c r="G13" s="111">
        <f>'Existing (Sched)'!G13+'Stage 1 (Sched)'!G13+'IESWTR (Sched)'!G13+'FBRR (Sched)'!G13+'Rads (Sched)'!G13</f>
        <v>2.07</v>
      </c>
      <c r="H13" s="71">
        <f>'Existing (Sched)'!H13+'Stage 1 (Sched)'!H13+'IESWTR (Sched)'!H13+'FBRR (Sched)'!H13+'Rads (Sched)'!H13</f>
        <v>13.100000000000001</v>
      </c>
      <c r="I13" s="112">
        <f>'Existing (Sched)'!I13+'Stage 1 (Sched)'!I13+'IESWTR (Sched)'!I13+'FBRR (Sched)'!I13+'Rads (Sched)'!I13</f>
        <v>34</v>
      </c>
      <c r="J13" s="111">
        <f>'Existing (Sched)'!J13+'Stage 1 (Sched)'!J13+'IESWTR (Sched)'!J13+'FBRR (Sched)'!J13+'Rads (Sched)'!J13</f>
        <v>2.07</v>
      </c>
      <c r="K13" s="71">
        <f>'Existing (Sched)'!K13+'Stage 1 (Sched)'!K13+'IESWTR (Sched)'!K13+'FBRR (Sched)'!K13+'Rads (Sched)'!K13</f>
        <v>15.355724694434901</v>
      </c>
      <c r="L13" s="112">
        <f>'Existing (Sched)'!L13+'Stage 1 (Sched)'!L13+'IESWTR (Sched)'!L13+'FBRR (Sched)'!L13+'Rads (Sched)'!L13</f>
        <v>34.51414</v>
      </c>
      <c r="M13" s="102">
        <f>'Existing (Sched)'!M13+'Stage 1 (Sched)'!M13+'IESWTR (Sched)'!M13+'FBRR (Sched)'!M13+'Rads (Sched)'!M13</f>
        <v>2.0699999999999994</v>
      </c>
      <c r="N13" s="71">
        <f>'Existing (Sched)'!N13+'Stage 1 (Sched)'!N13+'IESWTR (Sched)'!N13+'FBRR (Sched)'!N13+'Rads (Sched)'!N13</f>
        <v>14.00228987777396</v>
      </c>
      <c r="O13" s="71">
        <f>'Existing (Sched)'!O13+'Stage 1 (Sched)'!O13+'IESWTR (Sched)'!O13+'FBRR (Sched)'!O13+'Rads (Sched)'!O13</f>
        <v>34.205656</v>
      </c>
    </row>
    <row r="14" spans="2:15" ht="13.5" customHeight="1">
      <c r="B14" s="572"/>
      <c r="C14" s="106" t="s">
        <v>131</v>
      </c>
      <c r="D14" s="111">
        <f>'Existing (Sched)'!D14+'Stage 1 (Sched)'!D14+'IESWTR (Sched)'!D14+'FBRR (Sched)'!D14+'Rads (Sched)'!D14</f>
        <v>0.012646618848529018</v>
      </c>
      <c r="E14" s="71">
        <f>'Existing (Sched)'!E14+'Stage 1 (Sched)'!E14+'IESWTR (Sched)'!E14+'FBRR (Sched)'!E14+'Rads (Sched)'!E14</f>
        <v>2.531833963695055</v>
      </c>
      <c r="F14" s="112">
        <f>'Existing (Sched)'!F14+'Stage 1 (Sched)'!F14+'IESWTR (Sched)'!F14+'FBRR (Sched)'!F14+'Rads (Sched)'!F14</f>
        <v>2.5806324999999997</v>
      </c>
      <c r="G14" s="111">
        <f>'Existing (Sched)'!G14+'Stage 1 (Sched)'!G14+'IESWTR (Sched)'!G14+'FBRR (Sched)'!G14+'Rads (Sched)'!G14</f>
        <v>0.025293237697058036</v>
      </c>
      <c r="H14" s="71">
        <f>'Existing (Sched)'!H14+'Stage 1 (Sched)'!H14+'IESWTR (Sched)'!H14+'FBRR (Sched)'!H14+'Rads (Sched)'!H14</f>
        <v>5.06366792739011</v>
      </c>
      <c r="I14" s="112">
        <f>'Existing (Sched)'!I14+'Stage 1 (Sched)'!I14+'IESWTR (Sched)'!I14+'FBRR (Sched)'!I14+'Rads (Sched)'!I14</f>
        <v>5.161264999999999</v>
      </c>
      <c r="J14" s="111">
        <f>'Existing (Sched)'!J14+'Stage 1 (Sched)'!J14+'IESWTR (Sched)'!J14+'FBRR (Sched)'!J14+'Rads (Sched)'!J14</f>
        <v>0.025293237697058036</v>
      </c>
      <c r="K14" s="71">
        <f>'Existing (Sched)'!K14+'Stage 1 (Sched)'!K14+'IESWTR (Sched)'!K14+'FBRR (Sched)'!K14+'Rads (Sched)'!K14</f>
        <v>5.09195792739011</v>
      </c>
      <c r="L14" s="112">
        <f>'Existing (Sched)'!L14+'Stage 1 (Sched)'!L14+'IESWTR (Sched)'!L14+'FBRR (Sched)'!L14+'Rads (Sched)'!L14</f>
        <v>5.1743749999999995</v>
      </c>
      <c r="M14" s="102">
        <f>'Existing (Sched)'!M14+'Stage 1 (Sched)'!M14+'IESWTR (Sched)'!M14+'FBRR (Sched)'!M14+'Rads (Sched)'!M14</f>
        <v>0.025293237697058032</v>
      </c>
      <c r="N14" s="71">
        <f>'Existing (Sched)'!N14+'Stage 1 (Sched)'!N14+'IESWTR (Sched)'!N14+'FBRR (Sched)'!N14+'Rads (Sched)'!N14</f>
        <v>5.07498392739011</v>
      </c>
      <c r="O14" s="71">
        <f>'Existing (Sched)'!O14+'Stage 1 (Sched)'!O14+'IESWTR (Sched)'!O14+'FBRR (Sched)'!O14+'Rads (Sched)'!O14</f>
        <v>5.166509</v>
      </c>
    </row>
    <row r="15" spans="2:15" ht="13.5" customHeight="1">
      <c r="B15" s="572"/>
      <c r="C15" s="106" t="s">
        <v>132</v>
      </c>
      <c r="D15" s="111">
        <f>'Existing (Sched)'!D15+'Stage 1 (Sched)'!D15+'IESWTR (Sched)'!D15+'FBRR (Sched)'!D15+'Rads (Sched)'!D15</f>
        <v>0</v>
      </c>
      <c r="E15" s="71">
        <f>'Existing (Sched)'!E15+'Stage 1 (Sched)'!E15+'IESWTR (Sched)'!E15+'FBRR (Sched)'!E15+'Rads (Sched)'!E15</f>
        <v>0.06250314695785553</v>
      </c>
      <c r="F15" s="112">
        <f>'Existing (Sched)'!F15+'Stage 1 (Sched)'!F15+'IESWTR (Sched)'!F15+'FBRR (Sched)'!F15+'Rads (Sched)'!F15</f>
        <v>0.508265</v>
      </c>
      <c r="G15" s="111">
        <f>'Existing (Sched)'!G15+'Stage 1 (Sched)'!G15+'IESWTR (Sched)'!G15+'FBRR (Sched)'!G15+'Rads (Sched)'!G15</f>
        <v>0</v>
      </c>
      <c r="H15" s="71">
        <f>'Existing (Sched)'!H15+'Stage 1 (Sched)'!H15+'IESWTR (Sched)'!H15+'FBRR (Sched)'!H15+'Rads (Sched)'!H15</f>
        <v>0.12500629391571105</v>
      </c>
      <c r="I15" s="112">
        <f>'Existing (Sched)'!I15+'Stage 1 (Sched)'!I15+'IESWTR (Sched)'!I15+'FBRR (Sched)'!I15+'Rads (Sched)'!I15</f>
        <v>1.01653</v>
      </c>
      <c r="J15" s="111">
        <f>'Existing (Sched)'!J15+'Stage 1 (Sched)'!J15+'IESWTR (Sched)'!J15+'FBRR (Sched)'!J15+'Rads (Sched)'!J15</f>
        <v>0</v>
      </c>
      <c r="K15" s="71">
        <f>'Existing (Sched)'!K15+'Stage 1 (Sched)'!K15+'IESWTR (Sched)'!K15+'FBRR (Sched)'!K15+'Rads (Sched)'!K15</f>
        <v>0.12500629391571105</v>
      </c>
      <c r="L15" s="112">
        <f>'Existing (Sched)'!L15+'Stage 1 (Sched)'!L15+'IESWTR (Sched)'!L15+'FBRR (Sched)'!L15+'Rads (Sched)'!L15</f>
        <v>1.01653</v>
      </c>
      <c r="M15" s="102">
        <f>'Existing (Sched)'!M15+'Stage 1 (Sched)'!M15+'IESWTR (Sched)'!M15+'FBRR (Sched)'!M15+'Rads (Sched)'!M15</f>
        <v>0</v>
      </c>
      <c r="N15" s="71">
        <f>'Existing (Sched)'!N15+'Stage 1 (Sched)'!N15+'IESWTR (Sched)'!N15+'FBRR (Sched)'!N15+'Rads (Sched)'!N15</f>
        <v>0.12500629391571105</v>
      </c>
      <c r="O15" s="71">
        <f>'Existing (Sched)'!O15+'Stage 1 (Sched)'!O15+'IESWTR (Sched)'!O15+'FBRR (Sched)'!O15+'Rads (Sched)'!O15</f>
        <v>1.01653</v>
      </c>
    </row>
    <row r="16" spans="2:15" ht="13.5" customHeight="1" thickBot="1">
      <c r="B16" s="569" t="s">
        <v>127</v>
      </c>
      <c r="C16" s="592"/>
      <c r="D16" s="113">
        <f>'Existing (Sched)'!D16+'Stage 1 (Sched)'!D16+'IESWTR (Sched)'!D16+'FBRR (Sched)'!D16+'Rads (Sched)'!D16</f>
        <v>125.27264661884853</v>
      </c>
      <c r="E16" s="81">
        <f>'Existing (Sched)'!E16+'Stage 1 (Sched)'!E16+'IESWTR (Sched)'!E16+'FBRR (Sched)'!E16+'Rads (Sched)'!E16</f>
        <v>1345.244337110653</v>
      </c>
      <c r="F16" s="114">
        <f>'Existing (Sched)'!F16+'Stage 1 (Sched)'!F16+'IESWTR (Sched)'!F16+'FBRR (Sched)'!F16+'Rads (Sched)'!F16</f>
        <v>2435.0888975000003</v>
      </c>
      <c r="G16" s="113">
        <f>'Existing (Sched)'!G16+'Stage 1 (Sched)'!G16+'IESWTR (Sched)'!G16+'FBRR (Sched)'!G16+'Rads (Sched)'!G16</f>
        <v>250.54529323769705</v>
      </c>
      <c r="H16" s="81">
        <f>'Existing (Sched)'!H16+'Stage 1 (Sched)'!H16+'IESWTR (Sched)'!H16+'FBRR (Sched)'!H16+'Rads (Sched)'!H16</f>
        <v>2690.488674221306</v>
      </c>
      <c r="I16" s="114">
        <f>'Existing (Sched)'!I16+'Stage 1 (Sched)'!I16+'IESWTR (Sched)'!I16+'FBRR (Sched)'!I16+'Rads (Sched)'!I16</f>
        <v>4870.1777950000005</v>
      </c>
      <c r="J16" s="113">
        <f>'Existing (Sched)'!J16+'Stage 1 (Sched)'!J16+'IESWTR (Sched)'!J16+'FBRR (Sched)'!J16+'Rads (Sched)'!J16</f>
        <v>250.54529323769705</v>
      </c>
      <c r="K16" s="81">
        <f>'Existing (Sched)'!K16+'Stage 1 (Sched)'!K16+'IESWTR (Sched)'!K16+'FBRR (Sched)'!K16+'Rads (Sched)'!K16</f>
        <v>3050.7179899446846</v>
      </c>
      <c r="L16" s="114">
        <f>'Existing (Sched)'!L16+'Stage 1 (Sched)'!L16+'IESWTR (Sched)'!L16+'FBRR (Sched)'!L16+'Rads (Sched)'!L16</f>
        <v>4948.6886925</v>
      </c>
      <c r="M16" s="103">
        <f>'Existing (Sched)'!M16+'Stage 1 (Sched)'!M16+'IESWTR (Sched)'!M16+'FBRR (Sched)'!M16+'Rads (Sched)'!M16</f>
        <v>250.54529323769708</v>
      </c>
      <c r="N16" s="81">
        <f>'Existing (Sched)'!N16+'Stage 1 (Sched)'!N16+'IESWTR (Sched)'!N16+'FBRR (Sched)'!N16+'Rads (Sched)'!N16</f>
        <v>2834.5804005106575</v>
      </c>
      <c r="O16" s="81">
        <f>'Existing (Sched)'!O16+'Stage 1 (Sched)'!O16+'IESWTR (Sched)'!O16+'FBRR (Sched)'!O16+'Rads (Sched)'!O16</f>
        <v>4901.582154000001</v>
      </c>
    </row>
    <row r="17" spans="2:15" ht="13.5" customHeight="1">
      <c r="B17" s="571" t="s">
        <v>124</v>
      </c>
      <c r="C17" s="105" t="s">
        <v>118</v>
      </c>
      <c r="D17" s="109">
        <f>'Existing (Sched)'!D17+'Stage 1 (Sched)'!D17+'IESWTR (Sched)'!D17+'FBRR (Sched)'!D17+'Rads (Sched)'!D17</f>
        <v>370.945</v>
      </c>
      <c r="E17" s="79">
        <f>'Existing (Sched)'!E17+'Stage 1 (Sched)'!E17+'IESWTR (Sched)'!E17+'FBRR (Sched)'!E17+'Rads (Sched)'!E17</f>
        <v>2485.325</v>
      </c>
      <c r="F17" s="110">
        <f>'Existing (Sched)'!F17+'Stage 1 (Sched)'!F17+'IESWTR (Sched)'!F17+'FBRR (Sched)'!F17+'Rads (Sched)'!F17</f>
        <v>6685.5</v>
      </c>
      <c r="G17" s="109">
        <f>'Existing (Sched)'!G17+'Stage 1 (Sched)'!G17+'IESWTR (Sched)'!G17+'FBRR (Sched)'!G17+'Rads (Sched)'!G17</f>
        <v>741.89</v>
      </c>
      <c r="H17" s="79">
        <f>'Existing (Sched)'!H17+'Stage 1 (Sched)'!H17+'IESWTR (Sched)'!H17+'FBRR (Sched)'!H17+'Rads (Sched)'!H17</f>
        <v>4970.65</v>
      </c>
      <c r="I17" s="110">
        <f>'Existing (Sched)'!I17+'Stage 1 (Sched)'!I17+'IESWTR (Sched)'!I17+'FBRR (Sched)'!I17+'Rads (Sched)'!I17</f>
        <v>13371</v>
      </c>
      <c r="J17" s="109">
        <f>'Existing (Sched)'!J17+'Stage 1 (Sched)'!J17+'IESWTR (Sched)'!J17+'FBRR (Sched)'!J17+'Rads (Sched)'!J17</f>
        <v>741.89</v>
      </c>
      <c r="K17" s="79">
        <f>'Existing (Sched)'!K17+'Stage 1 (Sched)'!K17+'IESWTR (Sched)'!K17+'FBRR (Sched)'!K17+'Rads (Sched)'!K17</f>
        <v>4974.3671625</v>
      </c>
      <c r="L17" s="110">
        <f>'Existing (Sched)'!L17+'Stage 1 (Sched)'!L17+'IESWTR (Sched)'!L17+'FBRR (Sched)'!L17+'Rads (Sched)'!L17</f>
        <v>13372.7225875</v>
      </c>
      <c r="M17" s="101">
        <f>'Existing (Sched)'!M17+'Stage 1 (Sched)'!M17+'IESWTR (Sched)'!M17+'FBRR (Sched)'!M17+'Rads (Sched)'!M17</f>
        <v>741.89</v>
      </c>
      <c r="N17" s="79">
        <f>'Existing (Sched)'!N17+'Stage 1 (Sched)'!N17+'IESWTR (Sched)'!N17+'FBRR (Sched)'!N17+'Rads (Sched)'!N17</f>
        <v>4972.1368649999995</v>
      </c>
      <c r="O17" s="79">
        <f>'Existing (Sched)'!O17+'Stage 1 (Sched)'!O17+'IESWTR (Sched)'!O17+'FBRR (Sched)'!O17+'Rads (Sched)'!O17</f>
        <v>13371.689035</v>
      </c>
    </row>
    <row r="18" spans="2:15" ht="13.5" customHeight="1">
      <c r="B18" s="572"/>
      <c r="C18" s="106" t="s">
        <v>119</v>
      </c>
      <c r="D18" s="111">
        <f>'Existing (Sched)'!D18+'Stage 1 (Sched)'!D18+'IESWTR (Sched)'!D18+'FBRR (Sched)'!D18+'Rads (Sched)'!D18</f>
        <v>9.085</v>
      </c>
      <c r="E18" s="71">
        <f>'Existing (Sched)'!E18+'Stage 1 (Sched)'!E18+'IESWTR (Sched)'!E18+'FBRR (Sched)'!E18+'Rads (Sched)'!E18</f>
        <v>69.5</v>
      </c>
      <c r="F18" s="112">
        <f>'Existing (Sched)'!F18+'Stage 1 (Sched)'!F18+'IESWTR (Sched)'!F18+'FBRR (Sched)'!F18+'Rads (Sched)'!F18</f>
        <v>157.5</v>
      </c>
      <c r="G18" s="111">
        <f>'Existing (Sched)'!G18+'Stage 1 (Sched)'!G18+'IESWTR (Sched)'!G18+'FBRR (Sched)'!G18+'Rads (Sched)'!G18</f>
        <v>18.17</v>
      </c>
      <c r="H18" s="71">
        <f>'Existing (Sched)'!H18+'Stage 1 (Sched)'!H18+'IESWTR (Sched)'!H18+'FBRR (Sched)'!H18+'Rads (Sched)'!H18</f>
        <v>139</v>
      </c>
      <c r="I18" s="112">
        <f>'Existing (Sched)'!I18+'Stage 1 (Sched)'!I18+'IESWTR (Sched)'!I18+'FBRR (Sched)'!I18+'Rads (Sched)'!I18</f>
        <v>315</v>
      </c>
      <c r="J18" s="111">
        <f>'Existing (Sched)'!J18+'Stage 1 (Sched)'!J18+'IESWTR (Sched)'!J18+'FBRR (Sched)'!J18+'Rads (Sched)'!J18</f>
        <v>18.17</v>
      </c>
      <c r="K18" s="71">
        <f>'Existing (Sched)'!K18+'Stage 1 (Sched)'!K18+'IESWTR (Sched)'!K18+'FBRR (Sched)'!K18+'Rads (Sched)'!K18</f>
        <v>139.8365025</v>
      </c>
      <c r="L18" s="112">
        <f>'Existing (Sched)'!L18+'Stage 1 (Sched)'!L18+'IESWTR (Sched)'!L18+'FBRR (Sched)'!L18+'Rads (Sched)'!L18</f>
        <v>315.3876475</v>
      </c>
      <c r="M18" s="102">
        <f>'Existing (Sched)'!M18+'Stage 1 (Sched)'!M18+'IESWTR (Sched)'!M18+'FBRR (Sched)'!M18+'Rads (Sched)'!M18</f>
        <v>18.17</v>
      </c>
      <c r="N18" s="71">
        <f>'Existing (Sched)'!N18+'Stage 1 (Sched)'!N18+'IESWTR (Sched)'!N18+'FBRR (Sched)'!N18+'Rads (Sched)'!N18</f>
        <v>139.334601</v>
      </c>
      <c r="O18" s="71">
        <f>'Existing (Sched)'!O18+'Stage 1 (Sched)'!O18+'IESWTR (Sched)'!O18+'FBRR (Sched)'!O18+'Rads (Sched)'!O18</f>
        <v>315.155059</v>
      </c>
    </row>
    <row r="19" spans="2:15" ht="13.5" customHeight="1">
      <c r="B19" s="572"/>
      <c r="C19" s="106" t="s">
        <v>130</v>
      </c>
      <c r="D19" s="111">
        <f>'Existing (Sched)'!D19+'Stage 1 (Sched)'!D19+'IESWTR (Sched)'!D19+'FBRR (Sched)'!D19+'Rads (Sched)'!D19</f>
        <v>1.115</v>
      </c>
      <c r="E19" s="71">
        <f>'Existing (Sched)'!E19+'Stage 1 (Sched)'!E19+'IESWTR (Sched)'!E19+'FBRR (Sched)'!E19+'Rads (Sched)'!E19</f>
        <v>5.225</v>
      </c>
      <c r="F19" s="112">
        <f>'Existing (Sched)'!F19+'Stage 1 (Sched)'!F19+'IESWTR (Sched)'!F19+'FBRR (Sched)'!F19+'Rads (Sched)'!F19</f>
        <v>8</v>
      </c>
      <c r="G19" s="111">
        <f>'Existing (Sched)'!G19+'Stage 1 (Sched)'!G19+'IESWTR (Sched)'!G19+'FBRR (Sched)'!G19+'Rads (Sched)'!G19</f>
        <v>2.23</v>
      </c>
      <c r="H19" s="71">
        <f>'Existing (Sched)'!H19+'Stage 1 (Sched)'!H19+'IESWTR (Sched)'!H19+'FBRR (Sched)'!H19+'Rads (Sched)'!H19</f>
        <v>10.45</v>
      </c>
      <c r="I19" s="112">
        <f>'Existing (Sched)'!I19+'Stage 1 (Sched)'!I19+'IESWTR (Sched)'!I19+'FBRR (Sched)'!I19+'Rads (Sched)'!I19</f>
        <v>16</v>
      </c>
      <c r="J19" s="111">
        <f>'Existing (Sched)'!J19+'Stage 1 (Sched)'!J19+'IESWTR (Sched)'!J19+'FBRR (Sched)'!J19+'Rads (Sched)'!J19</f>
        <v>2.23</v>
      </c>
      <c r="K19" s="71">
        <f>'Existing (Sched)'!K19+'Stage 1 (Sched)'!K19+'IESWTR (Sched)'!K19+'FBRR (Sched)'!K19+'Rads (Sched)'!K19</f>
        <v>10.68985</v>
      </c>
      <c r="L19" s="112">
        <f>'Existing (Sched)'!L19+'Stage 1 (Sched)'!L19+'IESWTR (Sched)'!L19+'FBRR (Sched)'!L19+'Rads (Sched)'!L19</f>
        <v>16.11115</v>
      </c>
      <c r="M19" s="102">
        <f>'Existing (Sched)'!M19+'Stage 1 (Sched)'!M19+'IESWTR (Sched)'!M19+'FBRR (Sched)'!M19+'Rads (Sched)'!M19</f>
        <v>2.2299999999999995</v>
      </c>
      <c r="N19" s="71">
        <f>'Existing (Sched)'!N19+'Stage 1 (Sched)'!N19+'IESWTR (Sched)'!N19+'FBRR (Sched)'!N19+'Rads (Sched)'!N19</f>
        <v>10.54594</v>
      </c>
      <c r="O19" s="71">
        <f>'Existing (Sched)'!O19+'Stage 1 (Sched)'!O19+'IESWTR (Sched)'!O19+'FBRR (Sched)'!O19+'Rads (Sched)'!O19</f>
        <v>16.04446</v>
      </c>
    </row>
    <row r="20" spans="2:15" ht="13.5" customHeight="1">
      <c r="B20" s="572"/>
      <c r="C20" s="106" t="s">
        <v>131</v>
      </c>
      <c r="D20" s="111">
        <f>'Existing (Sched)'!D20+'Stage 1 (Sched)'!D20+'IESWTR (Sched)'!D20+'FBRR (Sched)'!D20+'Rads (Sched)'!D20</f>
        <v>0.6348768746883512</v>
      </c>
      <c r="E20" s="71">
        <f>'Existing (Sched)'!E20+'Stage 1 (Sched)'!E20+'IESWTR (Sched)'!E20+'FBRR (Sched)'!E20+'Rads (Sched)'!E20</f>
        <v>3.26823561907867</v>
      </c>
      <c r="F20" s="112">
        <f>'Existing (Sched)'!F20+'Stage 1 (Sched)'!F20+'IESWTR (Sched)'!F20+'FBRR (Sched)'!F20+'Rads (Sched)'!F20</f>
        <v>0.051500000000000004</v>
      </c>
      <c r="G20" s="111">
        <f>'Existing (Sched)'!G20+'Stage 1 (Sched)'!G20+'IESWTR (Sched)'!G20+'FBRR (Sched)'!G20+'Rads (Sched)'!G20</f>
        <v>1.2697537493767024</v>
      </c>
      <c r="H20" s="71">
        <f>'Existing (Sched)'!H20+'Stage 1 (Sched)'!H20+'IESWTR (Sched)'!H20+'FBRR (Sched)'!H20+'Rads (Sched)'!H20</f>
        <v>6.53647123815734</v>
      </c>
      <c r="I20" s="112">
        <f>'Existing (Sched)'!I20+'Stage 1 (Sched)'!I20+'IESWTR (Sched)'!I20+'FBRR (Sched)'!I20+'Rads (Sched)'!I20</f>
        <v>0.10300000000000001</v>
      </c>
      <c r="J20" s="111">
        <f>'Existing (Sched)'!J20+'Stage 1 (Sched)'!J20+'IESWTR (Sched)'!J20+'FBRR (Sched)'!J20+'Rads (Sched)'!J20</f>
        <v>1.2697537493767024</v>
      </c>
      <c r="K20" s="71">
        <f>'Existing (Sched)'!K20+'Stage 1 (Sched)'!K20+'IESWTR (Sched)'!K20+'FBRR (Sched)'!K20+'Rads (Sched)'!K20</f>
        <v>6.64204623815734</v>
      </c>
      <c r="L20" s="112">
        <f>'Existing (Sched)'!L20+'Stage 1 (Sched)'!L20+'IESWTR (Sched)'!L20+'FBRR (Sched)'!L20+'Rads (Sched)'!L20</f>
        <v>0.151925</v>
      </c>
      <c r="M20" s="102">
        <f>'Existing (Sched)'!M20+'Stage 1 (Sched)'!M20+'IESWTR (Sched)'!M20+'FBRR (Sched)'!M20+'Rads (Sched)'!M20</f>
        <v>1.2697537493767026</v>
      </c>
      <c r="N20" s="71">
        <f>'Existing (Sched)'!N20+'Stage 1 (Sched)'!N20+'IESWTR (Sched)'!N20+'FBRR (Sched)'!N20+'Rads (Sched)'!N20</f>
        <v>6.57870123815734</v>
      </c>
      <c r="O20" s="71">
        <f>'Existing (Sched)'!O20+'Stage 1 (Sched)'!O20+'IESWTR (Sched)'!O20+'FBRR (Sched)'!O20+'Rads (Sched)'!O20</f>
        <v>0.12257000000000003</v>
      </c>
    </row>
    <row r="21" spans="2:15" ht="13.5" customHeight="1">
      <c r="B21" s="572"/>
      <c r="C21" s="106" t="s">
        <v>132</v>
      </c>
      <c r="D21" s="111">
        <f>'Existing (Sched)'!D21+'Stage 1 (Sched)'!D21+'IESWTR (Sched)'!D21+'FBRR (Sched)'!D21+'Rads (Sched)'!D21</f>
        <v>0</v>
      </c>
      <c r="E21" s="71">
        <f>'Existing (Sched)'!E21+'Stage 1 (Sched)'!E21+'IESWTR (Sched)'!E21+'FBRR (Sched)'!E21+'Rads (Sched)'!E21</f>
        <v>0</v>
      </c>
      <c r="F21" s="112">
        <f>'Existing (Sched)'!F21+'Stage 1 (Sched)'!F21+'IESWTR (Sched)'!F21+'FBRR (Sched)'!F21+'Rads (Sched)'!F21</f>
        <v>0</v>
      </c>
      <c r="G21" s="111">
        <f>'Existing (Sched)'!G21+'Stage 1 (Sched)'!G21+'IESWTR (Sched)'!G21+'FBRR (Sched)'!G21+'Rads (Sched)'!G21</f>
        <v>0</v>
      </c>
      <c r="H21" s="71">
        <f>'Existing (Sched)'!H21+'Stage 1 (Sched)'!H21+'IESWTR (Sched)'!H21+'FBRR (Sched)'!H21+'Rads (Sched)'!H21</f>
        <v>0</v>
      </c>
      <c r="I21" s="112">
        <f>'Existing (Sched)'!I21+'Stage 1 (Sched)'!I21+'IESWTR (Sched)'!I21+'FBRR (Sched)'!I21+'Rads (Sched)'!I21</f>
        <v>0</v>
      </c>
      <c r="J21" s="111">
        <f>'Existing (Sched)'!J21+'Stage 1 (Sched)'!J21+'IESWTR (Sched)'!J21+'FBRR (Sched)'!J21+'Rads (Sched)'!J21</f>
        <v>0</v>
      </c>
      <c r="K21" s="71">
        <f>'Existing (Sched)'!K21+'Stage 1 (Sched)'!K21+'IESWTR (Sched)'!K21+'FBRR (Sched)'!K21+'Rads (Sched)'!K21</f>
        <v>0</v>
      </c>
      <c r="L21" s="112">
        <f>'Existing (Sched)'!L21+'Stage 1 (Sched)'!L21+'IESWTR (Sched)'!L21+'FBRR (Sched)'!L21+'Rads (Sched)'!L21</f>
        <v>0</v>
      </c>
      <c r="M21" s="102">
        <f>'Existing (Sched)'!M21+'Stage 1 (Sched)'!M21+'IESWTR (Sched)'!M21+'FBRR (Sched)'!M21+'Rads (Sched)'!M21</f>
        <v>0</v>
      </c>
      <c r="N21" s="71">
        <f>'Existing (Sched)'!N21+'Stage 1 (Sched)'!N21+'IESWTR (Sched)'!N21+'FBRR (Sched)'!N21+'Rads (Sched)'!N21</f>
        <v>0</v>
      </c>
      <c r="O21" s="71">
        <f>'Existing (Sched)'!O21+'Stage 1 (Sched)'!O21+'IESWTR (Sched)'!O21+'FBRR (Sched)'!O21+'Rads (Sched)'!O21</f>
        <v>0</v>
      </c>
    </row>
    <row r="22" spans="2:15" ht="13.5" customHeight="1" thickBot="1">
      <c r="B22" s="569" t="s">
        <v>127</v>
      </c>
      <c r="C22" s="592"/>
      <c r="D22" s="113">
        <f>'Existing (Sched)'!D22+'Stage 1 (Sched)'!D22+'IESWTR (Sched)'!D22+'FBRR (Sched)'!D22+'Rads (Sched)'!D22</f>
        <v>381.77987687468834</v>
      </c>
      <c r="E22" s="81">
        <f>'Existing (Sched)'!E22+'Stage 1 (Sched)'!E22+'IESWTR (Sched)'!E22+'FBRR (Sched)'!E22+'Rads (Sched)'!E22</f>
        <v>2563.318235619078</v>
      </c>
      <c r="F22" s="114">
        <f>'Existing (Sched)'!F22+'Stage 1 (Sched)'!F22+'IESWTR (Sched)'!F22+'FBRR (Sched)'!F22+'Rads (Sched)'!F22</f>
        <v>6851.0515</v>
      </c>
      <c r="G22" s="113">
        <f>'Existing (Sched)'!G22+'Stage 1 (Sched)'!G22+'IESWTR (Sched)'!G22+'FBRR (Sched)'!G22+'Rads (Sched)'!G22</f>
        <v>763.5597537493767</v>
      </c>
      <c r="H22" s="81">
        <f>'Existing (Sched)'!H22+'Stage 1 (Sched)'!H22+'IESWTR (Sched)'!H22+'FBRR (Sched)'!H22+'Rads (Sched)'!H22</f>
        <v>5126.636471238156</v>
      </c>
      <c r="I22" s="114">
        <f>'Existing (Sched)'!I22+'Stage 1 (Sched)'!I22+'IESWTR (Sched)'!I22+'FBRR (Sched)'!I22+'Rads (Sched)'!I22</f>
        <v>13702.103</v>
      </c>
      <c r="J22" s="113">
        <f>'Existing (Sched)'!J22+'Stage 1 (Sched)'!J22+'IESWTR (Sched)'!J22+'FBRR (Sched)'!J22+'Rads (Sched)'!J22</f>
        <v>763.5597537493767</v>
      </c>
      <c r="K22" s="81">
        <f>'Existing (Sched)'!K22+'Stage 1 (Sched)'!K22+'IESWTR (Sched)'!K22+'FBRR (Sched)'!K22+'Rads (Sched)'!K22</f>
        <v>5131.535561238156</v>
      </c>
      <c r="L22" s="114">
        <f>'Existing (Sched)'!L22+'Stage 1 (Sched)'!L22+'IESWTR (Sched)'!L22+'FBRR (Sched)'!L22+'Rads (Sched)'!L22</f>
        <v>13704.373309999999</v>
      </c>
      <c r="M22" s="103">
        <f>'Existing (Sched)'!M22+'Stage 1 (Sched)'!M22+'IESWTR (Sched)'!M22+'FBRR (Sched)'!M22+'Rads (Sched)'!M22</f>
        <v>763.5597537493767</v>
      </c>
      <c r="N22" s="81">
        <f>'Existing (Sched)'!N22+'Stage 1 (Sched)'!N22+'IESWTR (Sched)'!N22+'FBRR (Sched)'!N22+'Rads (Sched)'!N22</f>
        <v>5128.596107238156</v>
      </c>
      <c r="O22" s="81">
        <f>'Existing (Sched)'!O22+'Stage 1 (Sched)'!O22+'IESWTR (Sched)'!O22+'FBRR (Sched)'!O22+'Rads (Sched)'!O22</f>
        <v>13703.011123999999</v>
      </c>
    </row>
    <row r="23" spans="2:15" ht="13.5" customHeight="1">
      <c r="B23" s="567" t="s">
        <v>207</v>
      </c>
      <c r="C23" s="581"/>
      <c r="D23" s="115">
        <f>'Existing (Sched)'!D23+'Stage 1 (Sched)'!D23+'IESWTR (Sched)'!D23+'FBRR (Sched)'!D23+'Rads (Sched)'!D23</f>
        <v>1070.1500770971577</v>
      </c>
      <c r="E23" s="82">
        <f>'Existing (Sched)'!E23+'Stage 1 (Sched)'!E23+'IESWTR (Sched)'!E23+'FBRR (Sched)'!E23+'Rads (Sched)'!E23</f>
        <v>8423.469092423604</v>
      </c>
      <c r="F23" s="116">
        <f>'Existing (Sched)'!F23+'Stage 1 (Sched)'!F23+'IESWTR (Sched)'!F23+'FBRR (Sched)'!F23+'Rads (Sched)'!F23</f>
        <v>16126.55635</v>
      </c>
      <c r="G23" s="115">
        <f>'Existing (Sched)'!G23+'Stage 1 (Sched)'!G23+'IESWTR (Sched)'!G23+'FBRR (Sched)'!G23+'Rads (Sched)'!G23</f>
        <v>2140.3001541943154</v>
      </c>
      <c r="H23" s="82">
        <f>'Existing (Sched)'!H23+'Stage 1 (Sched)'!H23+'IESWTR (Sched)'!H23+'FBRR (Sched)'!H23+'Rads (Sched)'!H23</f>
        <v>16846.938184847208</v>
      </c>
      <c r="I23" s="116">
        <f>'Existing (Sched)'!I23+'Stage 1 (Sched)'!I23+'IESWTR (Sched)'!I23+'FBRR (Sched)'!I23+'Rads (Sched)'!I23</f>
        <v>32253.1127</v>
      </c>
      <c r="J23" s="115">
        <f>'Existing (Sched)'!J23+'Stage 1 (Sched)'!J23+'IESWTR (Sched)'!J23+'FBRR (Sched)'!J23+'Rads (Sched)'!J23</f>
        <v>2140.3001541943154</v>
      </c>
      <c r="K23" s="82">
        <f>'Existing (Sched)'!K23+'Stage 1 (Sched)'!K23+'IESWTR (Sched)'!K23+'FBRR (Sched)'!K23+'Rads (Sched)'!K23</f>
        <v>19051.492109933148</v>
      </c>
      <c r="L23" s="116">
        <f>'Existing (Sched)'!L23+'Stage 1 (Sched)'!L23+'IESWTR (Sched)'!L23+'FBRR (Sched)'!L23+'Rads (Sched)'!L23</f>
        <v>32849.789982500006</v>
      </c>
      <c r="M23" s="104">
        <f>'Existing (Sched)'!M23+'Stage 1 (Sched)'!M23+'IESWTR (Sched)'!M23+'FBRR (Sched)'!M23+'Rads (Sched)'!M23</f>
        <v>2140.3001541943154</v>
      </c>
      <c r="N23" s="82">
        <f>'Existing (Sched)'!N23+'Stage 1 (Sched)'!N23+'IESWTR (Sched)'!N23+'FBRR (Sched)'!N23+'Rads (Sched)'!N23</f>
        <v>17728.759754881587</v>
      </c>
      <c r="O23" s="82">
        <f>'Existing (Sched)'!O23+'Stage 1 (Sched)'!O23+'IESWTR (Sched)'!O23+'FBRR (Sched)'!O23+'Rads (Sched)'!O23</f>
        <v>32491.783613000003</v>
      </c>
    </row>
    <row r="24" spans="2:15" ht="13.5" customHeight="1">
      <c r="B24" s="64" t="s">
        <v>129</v>
      </c>
      <c r="C24" s="582" t="s">
        <v>324</v>
      </c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</row>
    <row r="25" spans="2:15" ht="12.75">
      <c r="B25" s="64" t="s">
        <v>173</v>
      </c>
      <c r="C25" s="566" t="str">
        <f>'Existing Tier 1'!C29:N29</f>
        <v>Detail may not add to totals due to independent rounding.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</row>
    <row r="26" spans="3:15" ht="12" customHeight="1">
      <c r="C26" s="566" t="s">
        <v>329</v>
      </c>
      <c r="D26" s="587"/>
      <c r="E26" s="587"/>
      <c r="F26" s="587"/>
      <c r="G26" s="587"/>
      <c r="H26" s="587"/>
      <c r="I26" s="587"/>
      <c r="J26" s="587"/>
      <c r="K26" s="587"/>
      <c r="L26" s="561"/>
      <c r="M26" s="561"/>
      <c r="N26" s="561"/>
      <c r="O26" s="561"/>
    </row>
    <row r="27" spans="3:15" ht="12.75">
      <c r="C27" s="566"/>
      <c r="D27" s="587"/>
      <c r="E27" s="587"/>
      <c r="F27" s="587"/>
      <c r="G27" s="587"/>
      <c r="H27" s="587"/>
      <c r="I27" s="587"/>
      <c r="J27" s="587"/>
      <c r="K27" s="587"/>
      <c r="L27" s="561"/>
      <c r="M27" s="561"/>
      <c r="N27" s="561"/>
      <c r="O27" s="561"/>
    </row>
    <row r="34" spans="13:15" ht="12.75">
      <c r="M34">
        <v>3512</v>
      </c>
      <c r="N34">
        <v>17968</v>
      </c>
      <c r="O34">
        <v>29969</v>
      </c>
    </row>
    <row r="35" spans="13:16" ht="12.75">
      <c r="M35" s="518">
        <f>M23-M34</f>
        <v>-1371.6998458056846</v>
      </c>
      <c r="N35" s="518">
        <f>N23-N34</f>
        <v>-239.24024511841344</v>
      </c>
      <c r="O35" s="518">
        <f>O23-O34</f>
        <v>2522.7836130000032</v>
      </c>
      <c r="P35" s="518">
        <f>SUM(M35:O35)</f>
        <v>911.8435220759052</v>
      </c>
    </row>
  </sheetData>
  <mergeCells count="19">
    <mergeCell ref="B2:O2"/>
    <mergeCell ref="D3:F3"/>
    <mergeCell ref="G3:I3"/>
    <mergeCell ref="B3:B4"/>
    <mergeCell ref="C3:C4"/>
    <mergeCell ref="B16:C16"/>
    <mergeCell ref="B17:B21"/>
    <mergeCell ref="J3:L3"/>
    <mergeCell ref="M3:O3"/>
    <mergeCell ref="B1:O1"/>
    <mergeCell ref="C27:O27"/>
    <mergeCell ref="B23:C23"/>
    <mergeCell ref="C24:O24"/>
    <mergeCell ref="C25:O25"/>
    <mergeCell ref="C26:O26"/>
    <mergeCell ref="B5:B9"/>
    <mergeCell ref="B22:C22"/>
    <mergeCell ref="B10:C10"/>
    <mergeCell ref="B11:B15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9:AH352"/>
  <sheetViews>
    <sheetView showGridLines="0" zoomScale="75" zoomScaleNormal="75" workbookViewId="0" topLeftCell="A9">
      <pane ySplit="8" topLeftCell="BM17" activePane="bottomLeft" state="frozen"/>
      <selection pane="topLeft" activeCell="F10" sqref="F10"/>
      <selection pane="bottomLeft" activeCell="C13" sqref="C13"/>
    </sheetView>
  </sheetViews>
  <sheetFormatPr defaultColWidth="9.140625" defaultRowHeight="12.75"/>
  <cols>
    <col min="1" max="1" width="1.57421875" style="0" customWidth="1"/>
    <col min="2" max="2" width="35.7109375" style="0" customWidth="1"/>
    <col min="3" max="5" width="12.7109375" style="0" customWidth="1"/>
    <col min="6" max="6" width="12.7109375" style="15" customWidth="1"/>
    <col min="7" max="7" width="12.7109375" style="0" customWidth="1"/>
    <col min="8" max="8" width="14.7109375" style="0" customWidth="1"/>
    <col min="9" max="9" width="12.7109375" style="0" customWidth="1"/>
    <col min="10" max="10" width="2.140625" style="11" customWidth="1"/>
    <col min="11" max="11" width="14.140625" style="119" customWidth="1"/>
    <col min="12" max="12" width="16.421875" style="119" customWidth="1"/>
    <col min="13" max="13" width="18.8515625" style="119" customWidth="1"/>
    <col min="14" max="14" width="18.140625" style="119" customWidth="1"/>
    <col min="15" max="15" width="14.7109375" style="11" customWidth="1"/>
    <col min="16" max="16" width="11.00390625" style="11" customWidth="1"/>
    <col min="17" max="17" width="9.140625" style="11" customWidth="1"/>
    <col min="18" max="18" width="12.421875" style="23" customWidth="1"/>
    <col min="19" max="19" width="13.8515625" style="11" customWidth="1"/>
    <col min="20" max="20" width="9.00390625" style="11" customWidth="1"/>
    <col min="21" max="21" width="9.140625" style="11" customWidth="1"/>
    <col min="22" max="22" width="13.8515625" style="11" customWidth="1"/>
    <col min="23" max="23" width="12.7109375" style="11" customWidth="1"/>
    <col min="24" max="24" width="12.8515625" style="11" customWidth="1"/>
    <col min="25" max="29" width="12.421875" style="11" customWidth="1"/>
    <col min="30" max="30" width="12.28125" style="11" customWidth="1"/>
    <col min="31" max="31" width="13.00390625" style="11" customWidth="1"/>
    <col min="32" max="32" width="12.7109375" style="11" customWidth="1"/>
    <col min="33" max="34" width="9.140625" style="11" customWidth="1"/>
    <col min="36" max="36" width="13.28125" style="0" bestFit="1" customWidth="1"/>
  </cols>
  <sheetData>
    <row r="9" spans="2:9" ht="12.75">
      <c r="B9" s="556" t="s">
        <v>310</v>
      </c>
      <c r="C9" s="556"/>
      <c r="D9" s="556"/>
      <c r="E9" s="556"/>
      <c r="F9" s="556"/>
      <c r="G9" s="556"/>
      <c r="H9" s="556"/>
      <c r="I9" s="556"/>
    </row>
    <row r="10" spans="2:10" ht="12.75">
      <c r="B10" s="623" t="s">
        <v>242</v>
      </c>
      <c r="C10" s="623"/>
      <c r="D10" s="623"/>
      <c r="E10" s="623"/>
      <c r="F10" s="623"/>
      <c r="G10" s="623"/>
      <c r="H10" s="623"/>
      <c r="I10" s="623"/>
      <c r="J10" s="120"/>
    </row>
    <row r="11" spans="2:13" ht="13.5" thickBot="1">
      <c r="B11" s="4"/>
      <c r="C11" s="7"/>
      <c r="D11" s="8"/>
      <c r="E11" s="147"/>
      <c r="F11" s="146"/>
      <c r="G11" s="20"/>
      <c r="H11" s="20"/>
      <c r="I11" s="145"/>
      <c r="J11" s="121"/>
      <c r="L11" s="122"/>
      <c r="M11" s="123"/>
    </row>
    <row r="12" spans="2:14" ht="9" customHeight="1">
      <c r="B12" s="186"/>
      <c r="C12" s="187"/>
      <c r="D12" s="188"/>
      <c r="E12" s="188"/>
      <c r="F12" s="189"/>
      <c r="G12" s="189"/>
      <c r="H12" s="189"/>
      <c r="I12" s="190"/>
      <c r="J12" s="124"/>
      <c r="L12" s="125"/>
      <c r="M12" s="125"/>
      <c r="N12" s="125"/>
    </row>
    <row r="13" spans="2:29" ht="12.75">
      <c r="B13" s="152"/>
      <c r="C13" s="191" t="s">
        <v>55</v>
      </c>
      <c r="D13" s="192" t="s">
        <v>3</v>
      </c>
      <c r="E13" s="192" t="s">
        <v>5</v>
      </c>
      <c r="F13" s="153" t="s">
        <v>44</v>
      </c>
      <c r="G13" s="154" t="s">
        <v>6</v>
      </c>
      <c r="H13" s="154" t="s">
        <v>55</v>
      </c>
      <c r="I13" s="155" t="s">
        <v>250</v>
      </c>
      <c r="J13" s="126"/>
      <c r="K13" s="122"/>
      <c r="L13" s="122"/>
      <c r="M13" s="122"/>
      <c r="N13" s="127"/>
      <c r="Y13" s="128"/>
      <c r="AC13" s="129"/>
    </row>
    <row r="14" spans="2:29" ht="12.75">
      <c r="B14" s="152"/>
      <c r="C14" s="193" t="s">
        <v>241</v>
      </c>
      <c r="D14" s="194" t="s">
        <v>4</v>
      </c>
      <c r="E14" s="194" t="s">
        <v>70</v>
      </c>
      <c r="F14" s="153" t="s">
        <v>72</v>
      </c>
      <c r="G14" s="154" t="s">
        <v>71</v>
      </c>
      <c r="H14" s="154" t="s">
        <v>70</v>
      </c>
      <c r="I14" s="155" t="s">
        <v>249</v>
      </c>
      <c r="J14" s="130"/>
      <c r="K14" s="122"/>
      <c r="L14" s="122"/>
      <c r="M14" s="122"/>
      <c r="N14" s="131"/>
      <c r="Y14" s="128"/>
      <c r="AC14" s="129"/>
    </row>
    <row r="15" spans="2:29" ht="12.75">
      <c r="B15" s="156" t="s">
        <v>7</v>
      </c>
      <c r="C15" s="193" t="s">
        <v>240</v>
      </c>
      <c r="D15" s="195" t="s">
        <v>8</v>
      </c>
      <c r="E15" s="157" t="s">
        <v>56</v>
      </c>
      <c r="F15" s="153" t="s">
        <v>9</v>
      </c>
      <c r="G15" s="157" t="s">
        <v>56</v>
      </c>
      <c r="H15" s="157" t="s">
        <v>56</v>
      </c>
      <c r="I15" s="158" t="s">
        <v>56</v>
      </c>
      <c r="J15" s="132"/>
      <c r="K15" s="122"/>
      <c r="L15" s="122"/>
      <c r="M15" s="122"/>
      <c r="N15" s="131"/>
      <c r="Y15" s="128"/>
      <c r="AC15" s="129"/>
    </row>
    <row r="16" spans="2:10" ht="13.5" thickBot="1">
      <c r="B16" s="159" t="s">
        <v>10</v>
      </c>
      <c r="C16" s="196" t="s">
        <v>11</v>
      </c>
      <c r="D16" s="197" t="s">
        <v>12</v>
      </c>
      <c r="E16" s="197" t="s">
        <v>12</v>
      </c>
      <c r="F16" s="160" t="s">
        <v>73</v>
      </c>
      <c r="G16" s="161" t="s">
        <v>13</v>
      </c>
      <c r="H16" s="161" t="s">
        <v>13</v>
      </c>
      <c r="I16" s="162" t="s">
        <v>13</v>
      </c>
      <c r="J16" s="133"/>
    </row>
    <row r="17" spans="2:10" ht="13.5" thickBot="1">
      <c r="B17" s="200" t="s">
        <v>14</v>
      </c>
      <c r="C17" s="201"/>
      <c r="D17" s="350"/>
      <c r="E17" s="350"/>
      <c r="F17" s="351"/>
      <c r="G17" s="204"/>
      <c r="H17" s="204"/>
      <c r="I17" s="205"/>
      <c r="J17" s="134"/>
    </row>
    <row r="18" spans="2:10" ht="12.75">
      <c r="B18" s="206" t="s">
        <v>15</v>
      </c>
      <c r="C18" s="207"/>
      <c r="D18" s="352"/>
      <c r="E18" s="352"/>
      <c r="F18" s="353"/>
      <c r="G18" s="210"/>
      <c r="H18" s="210"/>
      <c r="I18" s="211"/>
      <c r="J18" s="134"/>
    </row>
    <row r="19" spans="2:10" ht="12.75">
      <c r="B19" s="212" t="s">
        <v>0</v>
      </c>
      <c r="C19" s="213"/>
      <c r="D19" s="303"/>
      <c r="E19" s="303"/>
      <c r="F19" s="354"/>
      <c r="G19" s="216"/>
      <c r="H19" s="216"/>
      <c r="I19" s="217"/>
      <c r="J19" s="135"/>
    </row>
    <row r="20" spans="2:15" ht="12.75">
      <c r="B20" s="218" t="s">
        <v>239</v>
      </c>
      <c r="C20" s="355">
        <v>8.5</v>
      </c>
      <c r="D20" s="220">
        <v>0</v>
      </c>
      <c r="E20" s="221">
        <v>0</v>
      </c>
      <c r="F20" s="237">
        <f>'Total (Sched)'!M5</f>
        <v>749.6299999999999</v>
      </c>
      <c r="G20" s="238">
        <f>C20*F20</f>
        <v>6371.854999999999</v>
      </c>
      <c r="H20" s="225">
        <f>$C$15*G20</f>
        <v>153115.67564999996</v>
      </c>
      <c r="I20" s="356">
        <v>0</v>
      </c>
      <c r="J20" s="136"/>
      <c r="O20" s="137"/>
    </row>
    <row r="21" spans="2:15" ht="12.75">
      <c r="B21" s="218" t="s">
        <v>17</v>
      </c>
      <c r="C21" s="355">
        <v>8.5</v>
      </c>
      <c r="D21" s="220">
        <v>0</v>
      </c>
      <c r="E21" s="221">
        <v>0</v>
      </c>
      <c r="F21" s="237">
        <f>'Total (Sched)'!M6</f>
        <v>294.52</v>
      </c>
      <c r="G21" s="238">
        <f aca="true" t="shared" si="0" ref="G21:G30">C21*F21</f>
        <v>2503.42</v>
      </c>
      <c r="H21" s="225">
        <f aca="true" t="shared" si="1" ref="H21:H36">$C$15*G21</f>
        <v>60157.18260000001</v>
      </c>
      <c r="I21" s="226">
        <v>0</v>
      </c>
      <c r="J21" s="136"/>
      <c r="O21" s="137"/>
    </row>
    <row r="22" spans="2:15" ht="12.75">
      <c r="B22" s="227" t="s">
        <v>18</v>
      </c>
      <c r="C22" s="357">
        <v>8.5</v>
      </c>
      <c r="D22" s="305">
        <v>0</v>
      </c>
      <c r="E22" s="306">
        <v>0</v>
      </c>
      <c r="F22" s="237">
        <f>'Total (Sched)'!M7</f>
        <v>44.31</v>
      </c>
      <c r="G22" s="238">
        <f t="shared" si="0"/>
        <v>376.635</v>
      </c>
      <c r="H22" s="225">
        <f t="shared" si="1"/>
        <v>9050.53905</v>
      </c>
      <c r="I22" s="226">
        <v>0</v>
      </c>
      <c r="J22" s="135"/>
      <c r="O22" s="137"/>
    </row>
    <row r="23" spans="2:15" ht="12.75">
      <c r="B23" s="231" t="s">
        <v>64</v>
      </c>
      <c r="C23" s="357">
        <v>10</v>
      </c>
      <c r="D23" s="305">
        <v>0</v>
      </c>
      <c r="E23" s="306">
        <v>0</v>
      </c>
      <c r="F23" s="237">
        <f>'Total (Sched)'!M8</f>
        <v>29.639999999999997</v>
      </c>
      <c r="G23" s="238">
        <f t="shared" si="0"/>
        <v>296.4</v>
      </c>
      <c r="H23" s="225">
        <f t="shared" si="1"/>
        <v>7122.492</v>
      </c>
      <c r="I23" s="226">
        <v>0</v>
      </c>
      <c r="O23" s="137"/>
    </row>
    <row r="24" spans="2:15" ht="12.75">
      <c r="B24" s="231" t="s">
        <v>19</v>
      </c>
      <c r="C24" s="357">
        <v>10</v>
      </c>
      <c r="D24" s="305">
        <v>0</v>
      </c>
      <c r="E24" s="315">
        <v>0</v>
      </c>
      <c r="F24" s="237">
        <f>'Total (Sched)'!M9</f>
        <v>8.095107207241762</v>
      </c>
      <c r="G24" s="238">
        <f t="shared" si="0"/>
        <v>80.95107207241762</v>
      </c>
      <c r="H24" s="225">
        <f t="shared" si="1"/>
        <v>1945.2542619001954</v>
      </c>
      <c r="I24" s="226">
        <v>0</v>
      </c>
      <c r="O24" s="137"/>
    </row>
    <row r="25" spans="2:15" ht="12.75">
      <c r="B25" s="212" t="s">
        <v>2</v>
      </c>
      <c r="C25" s="358"/>
      <c r="D25" s="303"/>
      <c r="E25" s="303"/>
      <c r="F25" s="359"/>
      <c r="G25" s="360"/>
      <c r="H25" s="361"/>
      <c r="I25" s="314"/>
      <c r="J25" s="135"/>
      <c r="O25" s="137"/>
    </row>
    <row r="26" spans="2:15" ht="12.75">
      <c r="B26" s="218" t="s">
        <v>239</v>
      </c>
      <c r="C26" s="355">
        <v>8.5</v>
      </c>
      <c r="D26" s="220">
        <v>0</v>
      </c>
      <c r="E26" s="221">
        <v>0</v>
      </c>
      <c r="F26" s="237">
        <f>'Total (Sched)'!M11</f>
        <v>211.38999999999996</v>
      </c>
      <c r="G26" s="238">
        <f t="shared" si="0"/>
        <v>1796.8149999999996</v>
      </c>
      <c r="H26" s="225">
        <f t="shared" si="1"/>
        <v>43177.46444999999</v>
      </c>
      <c r="I26" s="226">
        <v>0</v>
      </c>
      <c r="J26" s="136"/>
      <c r="O26" s="137"/>
    </row>
    <row r="27" spans="2:15" ht="12.75">
      <c r="B27" s="218" t="s">
        <v>17</v>
      </c>
      <c r="C27" s="355">
        <v>8.5</v>
      </c>
      <c r="D27" s="220">
        <v>0</v>
      </c>
      <c r="E27" s="221">
        <v>0</v>
      </c>
      <c r="F27" s="237">
        <f>'Total (Sched)'!M12</f>
        <v>37.05999999999999</v>
      </c>
      <c r="G27" s="238">
        <f t="shared" si="0"/>
        <v>315.0099999999999</v>
      </c>
      <c r="H27" s="225">
        <f t="shared" si="1"/>
        <v>7569.6902999999975</v>
      </c>
      <c r="I27" s="226">
        <v>0</v>
      </c>
      <c r="J27" s="136"/>
      <c r="O27" s="137"/>
    </row>
    <row r="28" spans="2:15" ht="12.75">
      <c r="B28" s="227" t="s">
        <v>18</v>
      </c>
      <c r="C28" s="357">
        <v>8.5</v>
      </c>
      <c r="D28" s="305">
        <v>0</v>
      </c>
      <c r="E28" s="306">
        <v>0</v>
      </c>
      <c r="F28" s="237">
        <f>'Total (Sched)'!M13</f>
        <v>2.0699999999999994</v>
      </c>
      <c r="G28" s="238">
        <f t="shared" si="0"/>
        <v>17.594999999999995</v>
      </c>
      <c r="H28" s="225">
        <f t="shared" si="1"/>
        <v>422.8078499999999</v>
      </c>
      <c r="I28" s="226">
        <v>0</v>
      </c>
      <c r="J28" s="135"/>
      <c r="O28" s="137"/>
    </row>
    <row r="29" spans="2:15" ht="12.75">
      <c r="B29" s="231" t="s">
        <v>64</v>
      </c>
      <c r="C29" s="357">
        <v>10</v>
      </c>
      <c r="D29" s="305">
        <v>0</v>
      </c>
      <c r="E29" s="306">
        <v>0</v>
      </c>
      <c r="F29" s="237">
        <f>'Total (Sched)'!M14</f>
        <v>0.025293237697058032</v>
      </c>
      <c r="G29" s="238">
        <f t="shared" si="0"/>
        <v>0.25293237697058035</v>
      </c>
      <c r="H29" s="225">
        <f t="shared" si="1"/>
        <v>6.077965018603046</v>
      </c>
      <c r="I29" s="226">
        <v>0</v>
      </c>
      <c r="J29" s="135"/>
      <c r="O29" s="137"/>
    </row>
    <row r="30" spans="2:15" ht="12.75">
      <c r="B30" s="231" t="s">
        <v>19</v>
      </c>
      <c r="C30" s="357">
        <v>10</v>
      </c>
      <c r="D30" s="305">
        <v>0</v>
      </c>
      <c r="E30" s="315">
        <v>0</v>
      </c>
      <c r="F30" s="237">
        <f>'Total (Sched)'!M15</f>
        <v>0</v>
      </c>
      <c r="G30" s="238">
        <f t="shared" si="0"/>
        <v>0</v>
      </c>
      <c r="H30" s="225">
        <f t="shared" si="1"/>
        <v>0</v>
      </c>
      <c r="I30" s="226">
        <v>0</v>
      </c>
      <c r="J30" s="135"/>
      <c r="O30" s="137"/>
    </row>
    <row r="31" spans="2:15" ht="12.75">
      <c r="B31" s="212" t="s">
        <v>124</v>
      </c>
      <c r="C31" s="358"/>
      <c r="D31" s="303"/>
      <c r="E31" s="303"/>
      <c r="F31" s="359"/>
      <c r="G31" s="359"/>
      <c r="H31" s="362"/>
      <c r="I31" s="314"/>
      <c r="J31" s="135"/>
      <c r="O31" s="137"/>
    </row>
    <row r="32" spans="2:15" ht="12.75">
      <c r="B32" s="218" t="s">
        <v>239</v>
      </c>
      <c r="C32" s="355">
        <v>8.5</v>
      </c>
      <c r="D32" s="220">
        <v>0</v>
      </c>
      <c r="E32" s="221">
        <v>0</v>
      </c>
      <c r="F32" s="237">
        <f>'Total (Sched)'!M17</f>
        <v>741.89</v>
      </c>
      <c r="G32" s="238">
        <f>C32*F32</f>
        <v>6306.065</v>
      </c>
      <c r="H32" s="225">
        <f t="shared" si="1"/>
        <v>151534.74195</v>
      </c>
      <c r="I32" s="226">
        <v>0</v>
      </c>
      <c r="J32" s="136"/>
      <c r="O32" s="137"/>
    </row>
    <row r="33" spans="2:15" ht="12.75">
      <c r="B33" s="218" t="s">
        <v>17</v>
      </c>
      <c r="C33" s="355">
        <v>8.5</v>
      </c>
      <c r="D33" s="220">
        <v>0</v>
      </c>
      <c r="E33" s="221">
        <v>0</v>
      </c>
      <c r="F33" s="237">
        <f>'Total (Sched)'!M18</f>
        <v>18.17</v>
      </c>
      <c r="G33" s="238">
        <f>C33*F33</f>
        <v>154.44500000000002</v>
      </c>
      <c r="H33" s="225">
        <f t="shared" si="1"/>
        <v>3711.313350000001</v>
      </c>
      <c r="I33" s="226">
        <v>0</v>
      </c>
      <c r="J33" s="136"/>
      <c r="O33" s="137"/>
    </row>
    <row r="34" spans="2:15" ht="12.75">
      <c r="B34" s="227" t="s">
        <v>18</v>
      </c>
      <c r="C34" s="357">
        <v>8.5</v>
      </c>
      <c r="D34" s="305">
        <v>0</v>
      </c>
      <c r="E34" s="306">
        <v>0</v>
      </c>
      <c r="F34" s="237">
        <f>'Total (Sched)'!M19</f>
        <v>2.2299999999999995</v>
      </c>
      <c r="G34" s="238">
        <f>C34*F34</f>
        <v>18.954999999999995</v>
      </c>
      <c r="H34" s="225">
        <f t="shared" si="1"/>
        <v>455.4886499999999</v>
      </c>
      <c r="I34" s="226">
        <v>0</v>
      </c>
      <c r="J34" s="135"/>
      <c r="O34" s="137"/>
    </row>
    <row r="35" spans="2:15" ht="12.75">
      <c r="B35" s="231" t="s">
        <v>64</v>
      </c>
      <c r="C35" s="357">
        <v>10</v>
      </c>
      <c r="D35" s="305">
        <v>0</v>
      </c>
      <c r="E35" s="306">
        <v>0</v>
      </c>
      <c r="F35" s="237">
        <f>'Total (Sched)'!M20</f>
        <v>1.2697537493767026</v>
      </c>
      <c r="G35" s="238">
        <f>C35*F35</f>
        <v>12.697537493767026</v>
      </c>
      <c r="H35" s="225">
        <f t="shared" si="1"/>
        <v>305.12182597522167</v>
      </c>
      <c r="I35" s="226">
        <v>0</v>
      </c>
      <c r="J35" s="135"/>
      <c r="O35" s="137"/>
    </row>
    <row r="36" spans="2:15" ht="13.5" thickBot="1">
      <c r="B36" s="363" t="s">
        <v>19</v>
      </c>
      <c r="C36" s="364">
        <v>10</v>
      </c>
      <c r="D36" s="318">
        <v>0</v>
      </c>
      <c r="E36" s="365">
        <v>0</v>
      </c>
      <c r="F36" s="237">
        <f>'Total (Sched)'!M21</f>
        <v>0</v>
      </c>
      <c r="G36" s="238">
        <f>C36*F36</f>
        <v>0</v>
      </c>
      <c r="H36" s="225">
        <f t="shared" si="1"/>
        <v>0</v>
      </c>
      <c r="I36" s="226">
        <v>0</v>
      </c>
      <c r="J36" s="135"/>
      <c r="O36" s="137"/>
    </row>
    <row r="37" spans="2:15" ht="12.75">
      <c r="B37" s="206" t="s">
        <v>20</v>
      </c>
      <c r="C37" s="366"/>
      <c r="D37" s="352"/>
      <c r="E37" s="352"/>
      <c r="F37" s="367"/>
      <c r="G37" s="368"/>
      <c r="H37" s="369"/>
      <c r="I37" s="370"/>
      <c r="J37" s="134"/>
      <c r="O37" s="137"/>
    </row>
    <row r="38" spans="2:15" ht="12.75">
      <c r="B38" s="371" t="s">
        <v>74</v>
      </c>
      <c r="C38" s="358"/>
      <c r="D38" s="303"/>
      <c r="E38" s="303"/>
      <c r="F38" s="359"/>
      <c r="G38" s="359"/>
      <c r="H38" s="362"/>
      <c r="I38" s="314"/>
      <c r="J38" s="135"/>
      <c r="O38" s="137"/>
    </row>
    <row r="39" spans="2:15" ht="12.75">
      <c r="B39" s="218" t="s">
        <v>239</v>
      </c>
      <c r="C39" s="355">
        <v>3.5</v>
      </c>
      <c r="D39" s="372">
        <v>0</v>
      </c>
      <c r="E39" s="373">
        <v>0</v>
      </c>
      <c r="F39" s="237">
        <f>'Total (Sched)'!N5</f>
        <v>5946.693204105501</v>
      </c>
      <c r="G39" s="238">
        <f>C39*F39</f>
        <v>20813.426214369254</v>
      </c>
      <c r="H39" s="225">
        <f>$C$15*G39</f>
        <v>500146.6319312932</v>
      </c>
      <c r="I39" s="226">
        <v>0</v>
      </c>
      <c r="O39" s="137"/>
    </row>
    <row r="40" spans="2:15" ht="12.75">
      <c r="B40" s="218" t="s">
        <v>17</v>
      </c>
      <c r="C40" s="355">
        <v>3.5</v>
      </c>
      <c r="D40" s="372">
        <v>0</v>
      </c>
      <c r="E40" s="373">
        <v>0</v>
      </c>
      <c r="F40" s="237">
        <f>'Total (Sched)'!N6</f>
        <v>2255.056520827405</v>
      </c>
      <c r="G40" s="238">
        <f>C40*F40</f>
        <v>7892.697822895918</v>
      </c>
      <c r="H40" s="225">
        <f>$C$15*G40</f>
        <v>189661.5286841889</v>
      </c>
      <c r="I40" s="226">
        <v>0</v>
      </c>
      <c r="O40" s="137"/>
    </row>
    <row r="41" spans="2:15" ht="12.75">
      <c r="B41" s="227" t="s">
        <v>18</v>
      </c>
      <c r="C41" s="355">
        <v>3.5</v>
      </c>
      <c r="D41" s="374">
        <v>0</v>
      </c>
      <c r="E41" s="375">
        <v>0</v>
      </c>
      <c r="F41" s="237">
        <f>'Total (Sched)'!N7</f>
        <v>682.318282812119</v>
      </c>
      <c r="G41" s="238">
        <f>C41*F41</f>
        <v>2388.1139898424167</v>
      </c>
      <c r="H41" s="225">
        <f>$C$15*G41</f>
        <v>57386.37917591327</v>
      </c>
      <c r="I41" s="226">
        <v>0</v>
      </c>
      <c r="O41" s="137"/>
    </row>
    <row r="42" spans="2:15" ht="12.75">
      <c r="B42" s="231" t="s">
        <v>64</v>
      </c>
      <c r="C42" s="355">
        <v>3.5</v>
      </c>
      <c r="D42" s="374">
        <v>0</v>
      </c>
      <c r="E42" s="375">
        <v>0</v>
      </c>
      <c r="F42" s="237">
        <f>'Total (Sched)'!N8</f>
        <v>793.1465264</v>
      </c>
      <c r="G42" s="238">
        <f>C42*F42</f>
        <v>2776.0128424</v>
      </c>
      <c r="H42" s="225">
        <f>$C$15*G42</f>
        <v>66707.588602872</v>
      </c>
      <c r="I42" s="226">
        <v>0</v>
      </c>
      <c r="O42" s="137"/>
    </row>
    <row r="43" spans="2:15" ht="12.75">
      <c r="B43" s="231" t="s">
        <v>19</v>
      </c>
      <c r="C43" s="355">
        <v>3.5</v>
      </c>
      <c r="D43" s="374">
        <v>0</v>
      </c>
      <c r="E43" s="376">
        <v>0</v>
      </c>
      <c r="F43" s="237">
        <f>'Total (Sched)'!N9</f>
        <v>88.36871298774324</v>
      </c>
      <c r="G43" s="238">
        <f>C43*F43</f>
        <v>309.2904954571013</v>
      </c>
      <c r="H43" s="225">
        <f>$C$15*G43</f>
        <v>7432.250605834145</v>
      </c>
      <c r="I43" s="226">
        <v>0</v>
      </c>
      <c r="O43" s="137"/>
    </row>
    <row r="44" spans="2:15" ht="12" customHeight="1">
      <c r="B44" s="212" t="s">
        <v>2</v>
      </c>
      <c r="C44" s="358"/>
      <c r="D44" s="377"/>
      <c r="E44" s="377"/>
      <c r="F44" s="359"/>
      <c r="G44" s="360"/>
      <c r="H44" s="361"/>
      <c r="I44" s="314"/>
      <c r="J44" s="135"/>
      <c r="O44" s="137"/>
    </row>
    <row r="45" spans="2:15" ht="12.75">
      <c r="B45" s="218" t="s">
        <v>239</v>
      </c>
      <c r="C45" s="357">
        <v>3.5</v>
      </c>
      <c r="D45" s="372">
        <v>0</v>
      </c>
      <c r="E45" s="373">
        <v>0</v>
      </c>
      <c r="F45" s="237">
        <f>'Total (Sched)'!N11</f>
        <v>2450.879694927372</v>
      </c>
      <c r="G45" s="238">
        <f>C45*F45</f>
        <v>8578.078932245802</v>
      </c>
      <c r="H45" s="225">
        <f>$C$15*G45</f>
        <v>206131.23674186663</v>
      </c>
      <c r="I45" s="226">
        <v>0</v>
      </c>
      <c r="J45" s="136"/>
      <c r="O45" s="137"/>
    </row>
    <row r="46" spans="2:15" ht="12.75">
      <c r="B46" s="218" t="s">
        <v>17</v>
      </c>
      <c r="C46" s="357">
        <v>3.5</v>
      </c>
      <c r="D46" s="372">
        <v>0</v>
      </c>
      <c r="E46" s="373">
        <v>0</v>
      </c>
      <c r="F46" s="237">
        <f>'Total (Sched)'!N12</f>
        <v>364.49842548420577</v>
      </c>
      <c r="G46" s="238">
        <f>C46*F46</f>
        <v>1275.7444891947202</v>
      </c>
      <c r="H46" s="225">
        <f>$C$15*G46</f>
        <v>30656.14007534913</v>
      </c>
      <c r="I46" s="226">
        <v>0</v>
      </c>
      <c r="J46" s="136"/>
      <c r="O46" s="137"/>
    </row>
    <row r="47" spans="2:15" ht="12.75">
      <c r="B47" s="227" t="s">
        <v>18</v>
      </c>
      <c r="C47" s="357">
        <v>3.5</v>
      </c>
      <c r="D47" s="374">
        <v>0</v>
      </c>
      <c r="E47" s="375">
        <v>0</v>
      </c>
      <c r="F47" s="237">
        <f>'Total (Sched)'!N13</f>
        <v>14.00228987777396</v>
      </c>
      <c r="G47" s="238">
        <f>C47*F47</f>
        <v>49.00801457220886</v>
      </c>
      <c r="H47" s="225">
        <f>$C$15*G47</f>
        <v>1177.6625901701789</v>
      </c>
      <c r="I47" s="226">
        <v>0</v>
      </c>
      <c r="J47" s="136"/>
      <c r="O47" s="137"/>
    </row>
    <row r="48" spans="2:15" ht="12.75">
      <c r="B48" s="231" t="s">
        <v>64</v>
      </c>
      <c r="C48" s="357">
        <v>3.5</v>
      </c>
      <c r="D48" s="374">
        <v>0</v>
      </c>
      <c r="E48" s="375">
        <v>0</v>
      </c>
      <c r="F48" s="237">
        <f>'Total (Sched)'!N14</f>
        <v>5.07498392739011</v>
      </c>
      <c r="G48" s="238">
        <f>C48*F48</f>
        <v>17.762443745865387</v>
      </c>
      <c r="H48" s="225">
        <f>$C$15*G48</f>
        <v>426.83152321314526</v>
      </c>
      <c r="I48" s="226">
        <v>0</v>
      </c>
      <c r="J48" s="136"/>
      <c r="O48" s="137"/>
    </row>
    <row r="49" spans="2:34" s="6" customFormat="1" ht="12.75">
      <c r="B49" s="378" t="s">
        <v>19</v>
      </c>
      <c r="C49" s="357">
        <v>3.5</v>
      </c>
      <c r="D49" s="379">
        <v>0</v>
      </c>
      <c r="E49" s="380">
        <v>0</v>
      </c>
      <c r="F49" s="237">
        <f>'Total (Sched)'!N15</f>
        <v>0.12500629391571105</v>
      </c>
      <c r="G49" s="238">
        <f>C49*F49</f>
        <v>0.4375220287049887</v>
      </c>
      <c r="H49" s="225">
        <f>$C$15*G49</f>
        <v>10.513654349780879</v>
      </c>
      <c r="I49" s="226">
        <v>0</v>
      </c>
      <c r="J49" s="136"/>
      <c r="K49" s="119"/>
      <c r="L49" s="119"/>
      <c r="M49" s="119"/>
      <c r="N49" s="119"/>
      <c r="O49" s="137"/>
      <c r="P49" s="138"/>
      <c r="Q49" s="138"/>
      <c r="R49" s="139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</row>
    <row r="50" spans="2:15" ht="12.75">
      <c r="B50" s="212" t="s">
        <v>124</v>
      </c>
      <c r="C50" s="358"/>
      <c r="D50" s="377"/>
      <c r="E50" s="377"/>
      <c r="F50" s="359"/>
      <c r="G50" s="359"/>
      <c r="H50" s="362"/>
      <c r="I50" s="314"/>
      <c r="J50" s="136"/>
      <c r="O50" s="137"/>
    </row>
    <row r="51" spans="2:15" ht="12.75">
      <c r="B51" s="218" t="s">
        <v>239</v>
      </c>
      <c r="C51" s="357">
        <v>3.5</v>
      </c>
      <c r="D51" s="372">
        <v>0</v>
      </c>
      <c r="E51" s="373">
        <v>0</v>
      </c>
      <c r="F51" s="237">
        <f>'Total (Sched)'!N17</f>
        <v>4972.1368649999995</v>
      </c>
      <c r="G51" s="238">
        <f>C51*F51</f>
        <v>17402.479027499998</v>
      </c>
      <c r="H51" s="225">
        <f>$C$15*G51</f>
        <v>418181.57103082497</v>
      </c>
      <c r="I51" s="226">
        <v>0</v>
      </c>
      <c r="J51" s="136"/>
      <c r="O51" s="137"/>
    </row>
    <row r="52" spans="2:15" ht="12.75">
      <c r="B52" s="218" t="s">
        <v>17</v>
      </c>
      <c r="C52" s="357">
        <v>3.5</v>
      </c>
      <c r="D52" s="372">
        <v>0</v>
      </c>
      <c r="E52" s="373">
        <v>0</v>
      </c>
      <c r="F52" s="237">
        <f>'Total (Sched)'!N18</f>
        <v>139.334601</v>
      </c>
      <c r="G52" s="238">
        <f>C52*F52</f>
        <v>487.67110349999996</v>
      </c>
      <c r="H52" s="225">
        <f>$C$15*G52</f>
        <v>11718.736617105</v>
      </c>
      <c r="I52" s="226">
        <v>0</v>
      </c>
      <c r="J52" s="136"/>
      <c r="O52" s="137"/>
    </row>
    <row r="53" spans="2:15" ht="12.75">
      <c r="B53" s="227" t="s">
        <v>18</v>
      </c>
      <c r="C53" s="357">
        <v>3.5</v>
      </c>
      <c r="D53" s="374">
        <v>0</v>
      </c>
      <c r="E53" s="375">
        <v>0</v>
      </c>
      <c r="F53" s="237">
        <f>'Total (Sched)'!N19</f>
        <v>10.54594</v>
      </c>
      <c r="G53" s="238">
        <f>C53*F53</f>
        <v>36.91079</v>
      </c>
      <c r="H53" s="225">
        <f>$C$15*G53</f>
        <v>886.9662837</v>
      </c>
      <c r="I53" s="226">
        <v>0</v>
      </c>
      <c r="J53" s="135"/>
      <c r="O53" s="137"/>
    </row>
    <row r="54" spans="2:15" ht="12.75">
      <c r="B54" s="231" t="s">
        <v>64</v>
      </c>
      <c r="C54" s="357">
        <v>3.5</v>
      </c>
      <c r="D54" s="374">
        <v>0</v>
      </c>
      <c r="E54" s="375">
        <v>0</v>
      </c>
      <c r="F54" s="237">
        <f>'Total (Sched)'!N20</f>
        <v>6.57870123815734</v>
      </c>
      <c r="G54" s="238">
        <f>C54*F54</f>
        <v>23.02545433355069</v>
      </c>
      <c r="H54" s="225">
        <f>$C$15*G54</f>
        <v>553.3016676352231</v>
      </c>
      <c r="I54" s="226">
        <v>0</v>
      </c>
      <c r="J54" s="135"/>
      <c r="O54" s="137"/>
    </row>
    <row r="55" spans="2:15" ht="13.5" thickBot="1">
      <c r="B55" s="316" t="s">
        <v>19</v>
      </c>
      <c r="C55" s="357">
        <v>3.5</v>
      </c>
      <c r="D55" s="381">
        <v>0</v>
      </c>
      <c r="E55" s="382">
        <v>0</v>
      </c>
      <c r="F55" s="237">
        <f>'Total (Sched)'!N21</f>
        <v>0</v>
      </c>
      <c r="G55" s="238">
        <f>C55*F55</f>
        <v>0</v>
      </c>
      <c r="H55" s="225">
        <f>$C$15*G55</f>
        <v>0</v>
      </c>
      <c r="I55" s="226">
        <v>0</v>
      </c>
      <c r="J55" s="135"/>
      <c r="O55" s="137"/>
    </row>
    <row r="56" spans="2:15" ht="12.75">
      <c r="B56" s="206" t="s">
        <v>21</v>
      </c>
      <c r="C56" s="366"/>
      <c r="D56" s="383"/>
      <c r="E56" s="383"/>
      <c r="F56" s="367"/>
      <c r="G56" s="368"/>
      <c r="H56" s="369"/>
      <c r="I56" s="370"/>
      <c r="J56" s="134"/>
      <c r="O56" s="137"/>
    </row>
    <row r="57" spans="2:15" ht="12.75">
      <c r="B57" s="212" t="s">
        <v>0</v>
      </c>
      <c r="C57" s="358"/>
      <c r="D57" s="377"/>
      <c r="E57" s="377"/>
      <c r="F57" s="359"/>
      <c r="G57" s="359"/>
      <c r="H57" s="362"/>
      <c r="I57" s="314"/>
      <c r="J57" s="135"/>
      <c r="O57" s="137"/>
    </row>
    <row r="58" spans="2:15" ht="12.75">
      <c r="B58" s="218" t="s">
        <v>239</v>
      </c>
      <c r="C58" s="355">
        <v>1</v>
      </c>
      <c r="D58" s="372">
        <v>0</v>
      </c>
      <c r="E58" s="373">
        <v>0</v>
      </c>
      <c r="F58" s="237">
        <f>'Total (Sched)'!O5</f>
        <v>10097.8302514</v>
      </c>
      <c r="G58" s="238">
        <f>C58*F58</f>
        <v>10097.8302514</v>
      </c>
      <c r="H58" s="225">
        <f>$C$15*G58</f>
        <v>242650.86094114202</v>
      </c>
      <c r="I58" s="226">
        <v>0</v>
      </c>
      <c r="J58" s="136"/>
      <c r="O58" s="137"/>
    </row>
    <row r="59" spans="2:15" ht="12.75">
      <c r="B59" s="218" t="s">
        <v>17</v>
      </c>
      <c r="C59" s="355">
        <v>1</v>
      </c>
      <c r="D59" s="372">
        <v>0</v>
      </c>
      <c r="E59" s="373">
        <v>0</v>
      </c>
      <c r="F59" s="237">
        <f>'Total (Sched)'!O6</f>
        <v>2538.2724965999996</v>
      </c>
      <c r="G59" s="238">
        <f>C59*F59</f>
        <v>2538.2724965999996</v>
      </c>
      <c r="H59" s="225">
        <f>$C$15*G59</f>
        <v>60994.68809329799</v>
      </c>
      <c r="I59" s="226">
        <v>0</v>
      </c>
      <c r="J59" s="136"/>
      <c r="O59" s="137"/>
    </row>
    <row r="60" spans="2:15" ht="12.75">
      <c r="B60" s="227" t="s">
        <v>18</v>
      </c>
      <c r="C60" s="355">
        <v>1</v>
      </c>
      <c r="D60" s="374">
        <v>0</v>
      </c>
      <c r="E60" s="375">
        <v>0</v>
      </c>
      <c r="F60" s="237">
        <f>'Total (Sched)'!O7</f>
        <v>707.1258819999999</v>
      </c>
      <c r="G60" s="238">
        <f>C60*F60</f>
        <v>707.1258819999999</v>
      </c>
      <c r="H60" s="225">
        <f>$C$15*G60</f>
        <v>16992.23494446</v>
      </c>
      <c r="I60" s="226">
        <v>0</v>
      </c>
      <c r="J60" s="135"/>
      <c r="O60" s="137"/>
    </row>
    <row r="61" spans="2:15" ht="12.75">
      <c r="B61" s="231" t="s">
        <v>64</v>
      </c>
      <c r="C61" s="355">
        <v>1</v>
      </c>
      <c r="D61" s="374">
        <v>0</v>
      </c>
      <c r="E61" s="375">
        <v>0</v>
      </c>
      <c r="F61" s="237">
        <f>'Total (Sched)'!O8</f>
        <v>497.7312976</v>
      </c>
      <c r="G61" s="238">
        <f>C61*F61</f>
        <v>497.7312976</v>
      </c>
      <c r="H61" s="225">
        <f>$C$15*G61</f>
        <v>11960.483081328</v>
      </c>
      <c r="I61" s="226">
        <v>0</v>
      </c>
      <c r="J61" s="135"/>
      <c r="O61" s="137"/>
    </row>
    <row r="62" spans="2:15" ht="12.75">
      <c r="B62" s="231" t="s">
        <v>19</v>
      </c>
      <c r="C62" s="355">
        <v>1</v>
      </c>
      <c r="D62" s="374">
        <v>0</v>
      </c>
      <c r="E62" s="384">
        <v>0</v>
      </c>
      <c r="F62" s="237">
        <f>'Total (Sched)'!O9</f>
        <v>46.2304074</v>
      </c>
      <c r="G62" s="238">
        <f>C62*F62</f>
        <v>46.2304074</v>
      </c>
      <c r="H62" s="225">
        <f>$C$15*G62</f>
        <v>1110.916689822</v>
      </c>
      <c r="I62" s="226">
        <v>0</v>
      </c>
      <c r="J62" s="135"/>
      <c r="O62" s="137"/>
    </row>
    <row r="63" spans="2:15" ht="12.75">
      <c r="B63" s="212" t="s">
        <v>2</v>
      </c>
      <c r="C63" s="358"/>
      <c r="D63" s="377"/>
      <c r="E63" s="377"/>
      <c r="F63" s="359"/>
      <c r="G63" s="360"/>
      <c r="H63" s="361"/>
      <c r="I63" s="314"/>
      <c r="J63" s="135"/>
      <c r="O63" s="137"/>
    </row>
    <row r="64" spans="2:15" ht="12.75">
      <c r="B64" s="218" t="s">
        <v>239</v>
      </c>
      <c r="C64" s="357">
        <v>3.5</v>
      </c>
      <c r="D64" s="372">
        <v>0</v>
      </c>
      <c r="E64" s="373">
        <v>0</v>
      </c>
      <c r="F64" s="237">
        <f>'Total (Sched)'!O11</f>
        <v>4290.575185999999</v>
      </c>
      <c r="G64" s="238">
        <f>C64*F64</f>
        <v>15017.013150999997</v>
      </c>
      <c r="H64" s="225">
        <f>$C$15*G64</f>
        <v>360858.82601852994</v>
      </c>
      <c r="I64" s="226">
        <v>0</v>
      </c>
      <c r="J64" s="136"/>
      <c r="O64" s="137"/>
    </row>
    <row r="65" spans="2:15" ht="12.75">
      <c r="B65" s="218" t="s">
        <v>17</v>
      </c>
      <c r="C65" s="357">
        <v>3.5</v>
      </c>
      <c r="D65" s="372">
        <v>0</v>
      </c>
      <c r="E65" s="373">
        <v>0</v>
      </c>
      <c r="F65" s="237">
        <f>'Total (Sched)'!O12</f>
        <v>570.6182729999999</v>
      </c>
      <c r="G65" s="238">
        <f>C65*F65</f>
        <v>1997.1639554999997</v>
      </c>
      <c r="H65" s="225">
        <f>$C$15*G65</f>
        <v>47991.84985066499</v>
      </c>
      <c r="I65" s="226">
        <v>0</v>
      </c>
      <c r="J65" s="136"/>
      <c r="O65" s="137"/>
    </row>
    <row r="66" spans="2:15" ht="12.75">
      <c r="B66" s="227" t="s">
        <v>18</v>
      </c>
      <c r="C66" s="357">
        <v>3.5</v>
      </c>
      <c r="D66" s="374">
        <v>0</v>
      </c>
      <c r="E66" s="375">
        <v>0</v>
      </c>
      <c r="F66" s="237">
        <f>'Total (Sched)'!O13</f>
        <v>34.205656</v>
      </c>
      <c r="G66" s="238">
        <f>C66*F66</f>
        <v>119.71979599999999</v>
      </c>
      <c r="H66" s="225">
        <f>$C$15*G66</f>
        <v>2876.8666978799997</v>
      </c>
      <c r="I66" s="226">
        <v>0</v>
      </c>
      <c r="J66" s="135"/>
      <c r="O66" s="137"/>
    </row>
    <row r="67" spans="2:15" ht="12.75">
      <c r="B67" s="231" t="s">
        <v>64</v>
      </c>
      <c r="C67" s="357">
        <v>3.5</v>
      </c>
      <c r="D67" s="374">
        <v>0</v>
      </c>
      <c r="E67" s="375">
        <v>0</v>
      </c>
      <c r="F67" s="237">
        <f>'Total (Sched)'!O14</f>
        <v>5.166509</v>
      </c>
      <c r="G67" s="238">
        <f>C67*F67</f>
        <v>18.0827815</v>
      </c>
      <c r="H67" s="225">
        <f>$C$15*G67</f>
        <v>434.52923944500003</v>
      </c>
      <c r="I67" s="226">
        <v>0</v>
      </c>
      <c r="J67" s="135"/>
      <c r="O67" s="137"/>
    </row>
    <row r="68" spans="2:15" ht="12.75">
      <c r="B68" s="231" t="s">
        <v>19</v>
      </c>
      <c r="C68" s="357">
        <v>3.5</v>
      </c>
      <c r="D68" s="374">
        <v>0</v>
      </c>
      <c r="E68" s="384">
        <v>0</v>
      </c>
      <c r="F68" s="237">
        <f>'Total (Sched)'!O15</f>
        <v>1.01653</v>
      </c>
      <c r="G68" s="238">
        <f>C68*F68</f>
        <v>3.557855</v>
      </c>
      <c r="H68" s="225">
        <f>$C$15*G68</f>
        <v>85.49525565</v>
      </c>
      <c r="I68" s="226">
        <v>0</v>
      </c>
      <c r="J68" s="135"/>
      <c r="O68" s="137"/>
    </row>
    <row r="69" spans="2:15" ht="12.75">
      <c r="B69" s="212" t="s">
        <v>124</v>
      </c>
      <c r="C69" s="358"/>
      <c r="D69" s="377"/>
      <c r="E69" s="377"/>
      <c r="F69" s="359"/>
      <c r="G69" s="359"/>
      <c r="H69" s="362"/>
      <c r="I69" s="314"/>
      <c r="J69" s="135"/>
      <c r="O69" s="137"/>
    </row>
    <row r="70" spans="2:15" ht="12.75">
      <c r="B70" s="218" t="s">
        <v>239</v>
      </c>
      <c r="C70" s="357">
        <v>3.5</v>
      </c>
      <c r="D70" s="372">
        <v>0</v>
      </c>
      <c r="E70" s="373">
        <v>0</v>
      </c>
      <c r="F70" s="237">
        <f>'Total (Sched)'!O17</f>
        <v>13371.689035</v>
      </c>
      <c r="G70" s="238">
        <f>C70*F70</f>
        <v>46800.911622499996</v>
      </c>
      <c r="H70" s="225">
        <f>$C$15*G70</f>
        <v>1124625.906288675</v>
      </c>
      <c r="I70" s="226">
        <v>0</v>
      </c>
      <c r="J70" s="136"/>
      <c r="O70" s="137"/>
    </row>
    <row r="71" spans="2:15" ht="12.75">
      <c r="B71" s="218" t="s">
        <v>17</v>
      </c>
      <c r="C71" s="357">
        <v>3.5</v>
      </c>
      <c r="D71" s="372">
        <v>0</v>
      </c>
      <c r="E71" s="373">
        <v>0</v>
      </c>
      <c r="F71" s="237">
        <f>'Total (Sched)'!O18</f>
        <v>315.155059</v>
      </c>
      <c r="G71" s="238">
        <f>C71*F71</f>
        <v>1103.0427065</v>
      </c>
      <c r="H71" s="225">
        <f>$C$15*G71</f>
        <v>26506.116237194998</v>
      </c>
      <c r="I71" s="226">
        <v>0</v>
      </c>
      <c r="J71" s="136"/>
      <c r="O71" s="137"/>
    </row>
    <row r="72" spans="2:15" ht="12.75">
      <c r="B72" s="227" t="s">
        <v>18</v>
      </c>
      <c r="C72" s="357">
        <v>3.5</v>
      </c>
      <c r="D72" s="374">
        <v>0</v>
      </c>
      <c r="E72" s="375">
        <v>0</v>
      </c>
      <c r="F72" s="237">
        <f>'Total (Sched)'!O19</f>
        <v>16.04446</v>
      </c>
      <c r="G72" s="238">
        <f>C72*F72</f>
        <v>56.15561</v>
      </c>
      <c r="H72" s="225">
        <f>$C$15*G72</f>
        <v>1349.4193083000002</v>
      </c>
      <c r="I72" s="226">
        <v>0</v>
      </c>
      <c r="J72" s="135"/>
      <c r="O72" s="137"/>
    </row>
    <row r="73" spans="2:15" ht="12.75">
      <c r="B73" s="231" t="s">
        <v>64</v>
      </c>
      <c r="C73" s="357">
        <v>3.5</v>
      </c>
      <c r="D73" s="374">
        <v>0</v>
      </c>
      <c r="E73" s="375">
        <v>0</v>
      </c>
      <c r="F73" s="237">
        <f>'Total (Sched)'!O20</f>
        <v>0.12257000000000003</v>
      </c>
      <c r="G73" s="238">
        <f>C73*F73</f>
        <v>0.42899500000000007</v>
      </c>
      <c r="H73" s="225">
        <f>$C$15*G73</f>
        <v>10.308749850000002</v>
      </c>
      <c r="I73" s="226">
        <v>0</v>
      </c>
      <c r="J73" s="135"/>
      <c r="O73" s="137"/>
    </row>
    <row r="74" spans="2:15" ht="13.5" thickBot="1">
      <c r="B74" s="316" t="s">
        <v>19</v>
      </c>
      <c r="C74" s="357">
        <v>3.5</v>
      </c>
      <c r="D74" s="381">
        <v>0</v>
      </c>
      <c r="E74" s="385">
        <v>0</v>
      </c>
      <c r="F74" s="237">
        <f>'Total (Sched)'!O21</f>
        <v>0</v>
      </c>
      <c r="G74" s="238">
        <f>C74*F74</f>
        <v>0</v>
      </c>
      <c r="H74" s="225">
        <f>$C$15*G74</f>
        <v>0</v>
      </c>
      <c r="I74" s="226">
        <v>0</v>
      </c>
      <c r="J74" s="135"/>
      <c r="O74" s="137"/>
    </row>
    <row r="75" spans="2:15" ht="12.75">
      <c r="B75" s="240" t="s">
        <v>22</v>
      </c>
      <c r="C75" s="386"/>
      <c r="D75" s="387"/>
      <c r="E75" s="387"/>
      <c r="F75" s="388"/>
      <c r="G75" s="389"/>
      <c r="H75" s="390"/>
      <c r="I75" s="391"/>
      <c r="J75" s="134"/>
      <c r="O75" s="137"/>
    </row>
    <row r="76" spans="2:15" ht="12.75">
      <c r="B76" s="212" t="s">
        <v>23</v>
      </c>
      <c r="C76" s="358"/>
      <c r="D76" s="377"/>
      <c r="E76" s="392"/>
      <c r="F76" s="359"/>
      <c r="G76" s="359"/>
      <c r="H76" s="362"/>
      <c r="I76" s="314"/>
      <c r="J76" s="135"/>
      <c r="O76" s="137"/>
    </row>
    <row r="77" spans="2:15" ht="12.75">
      <c r="B77" s="218" t="s">
        <v>239</v>
      </c>
      <c r="C77" s="393"/>
      <c r="D77" s="394"/>
      <c r="E77" s="395"/>
      <c r="F77" s="396">
        <f aca="true" t="shared" si="2" ref="F77:H81">F20+F39+F58</f>
        <v>16794.1534555055</v>
      </c>
      <c r="G77" s="397">
        <f t="shared" si="2"/>
        <v>37283.11146576925</v>
      </c>
      <c r="H77" s="225">
        <f>H20+H39+H58</f>
        <v>895913.1685224352</v>
      </c>
      <c r="I77" s="226">
        <v>0</v>
      </c>
      <c r="J77" s="136"/>
      <c r="K77" s="140"/>
      <c r="L77" s="141"/>
      <c r="M77" s="141"/>
      <c r="N77" s="141"/>
      <c r="O77" s="137"/>
    </row>
    <row r="78" spans="2:15" ht="12.75">
      <c r="B78" s="218" t="s">
        <v>17</v>
      </c>
      <c r="C78" s="393"/>
      <c r="D78" s="394"/>
      <c r="E78" s="395"/>
      <c r="F78" s="396">
        <f t="shared" si="2"/>
        <v>5087.849017427405</v>
      </c>
      <c r="G78" s="397">
        <f t="shared" si="2"/>
        <v>12934.390319495917</v>
      </c>
      <c r="H78" s="225">
        <f t="shared" si="2"/>
        <v>310813.3993774869</v>
      </c>
      <c r="I78" s="226">
        <v>0</v>
      </c>
      <c r="J78" s="136"/>
      <c r="K78" s="140"/>
      <c r="L78" s="140"/>
      <c r="M78" s="140"/>
      <c r="N78" s="140"/>
      <c r="O78" s="137"/>
    </row>
    <row r="79" spans="2:15" ht="12.75">
      <c r="B79" s="218" t="s">
        <v>18</v>
      </c>
      <c r="C79" s="393"/>
      <c r="D79" s="394"/>
      <c r="E79" s="395"/>
      <c r="F79" s="396">
        <f t="shared" si="2"/>
        <v>1433.7541648121191</v>
      </c>
      <c r="G79" s="397">
        <f t="shared" si="2"/>
        <v>3471.8748718424163</v>
      </c>
      <c r="H79" s="225">
        <f t="shared" si="2"/>
        <v>83429.15317037328</v>
      </c>
      <c r="I79" s="226">
        <v>0</v>
      </c>
      <c r="J79" s="136"/>
      <c r="K79" s="140"/>
      <c r="L79" s="140"/>
      <c r="M79" s="140"/>
      <c r="N79" s="140"/>
      <c r="O79" s="137"/>
    </row>
    <row r="80" spans="2:15" ht="12.75">
      <c r="B80" s="218" t="s">
        <v>64</v>
      </c>
      <c r="C80" s="393"/>
      <c r="D80" s="394"/>
      <c r="E80" s="395"/>
      <c r="F80" s="396">
        <f t="shared" si="2"/>
        <v>1320.517824</v>
      </c>
      <c r="G80" s="397">
        <f t="shared" si="2"/>
        <v>3570.14414</v>
      </c>
      <c r="H80" s="225">
        <f t="shared" si="2"/>
        <v>85790.5636842</v>
      </c>
      <c r="I80" s="226">
        <v>0</v>
      </c>
      <c r="J80" s="136"/>
      <c r="K80" s="140"/>
      <c r="L80" s="140"/>
      <c r="M80" s="140"/>
      <c r="N80" s="140"/>
      <c r="O80" s="137"/>
    </row>
    <row r="81" spans="2:15" ht="13.5" thickBot="1">
      <c r="B81" s="218" t="s">
        <v>19</v>
      </c>
      <c r="C81" s="393"/>
      <c r="D81" s="394"/>
      <c r="E81" s="395"/>
      <c r="F81" s="396">
        <f t="shared" si="2"/>
        <v>142.694227594985</v>
      </c>
      <c r="G81" s="397">
        <f t="shared" si="2"/>
        <v>436.4719749295189</v>
      </c>
      <c r="H81" s="225">
        <f t="shared" si="2"/>
        <v>10488.42155755634</v>
      </c>
      <c r="I81" s="398">
        <v>0</v>
      </c>
      <c r="J81" s="136"/>
      <c r="K81" s="140"/>
      <c r="L81" s="140"/>
      <c r="M81" s="140"/>
      <c r="N81" s="140"/>
      <c r="O81" s="137"/>
    </row>
    <row r="82" spans="2:15" ht="13.5" thickBot="1">
      <c r="B82" s="254" t="s">
        <v>1</v>
      </c>
      <c r="C82" s="399"/>
      <c r="D82" s="400"/>
      <c r="E82" s="401"/>
      <c r="F82" s="402">
        <f>SUM(F77:F81)</f>
        <v>24778.968689340007</v>
      </c>
      <c r="G82" s="403">
        <f>SUM(G77:G81)</f>
        <v>57695.9927720371</v>
      </c>
      <c r="H82" s="404">
        <f>SUM(H77:H81)</f>
        <v>1386434.7063120517</v>
      </c>
      <c r="I82" s="405">
        <v>0</v>
      </c>
      <c r="J82" s="135"/>
      <c r="K82" s="142"/>
      <c r="L82" s="142"/>
      <c r="M82" s="142"/>
      <c r="N82" s="142"/>
      <c r="O82" s="137"/>
    </row>
    <row r="83" spans="2:15" ht="12.75">
      <c r="B83" s="406" t="s">
        <v>24</v>
      </c>
      <c r="C83" s="407"/>
      <c r="D83" s="408"/>
      <c r="E83" s="408"/>
      <c r="F83" s="359"/>
      <c r="G83" s="359"/>
      <c r="H83" s="409"/>
      <c r="I83" s="410"/>
      <c r="J83" s="135"/>
      <c r="K83" s="140"/>
      <c r="L83" s="140"/>
      <c r="M83" s="140"/>
      <c r="N83" s="140"/>
      <c r="O83" s="137"/>
    </row>
    <row r="84" spans="2:15" ht="12.75">
      <c r="B84" s="246" t="s">
        <v>239</v>
      </c>
      <c r="C84" s="411"/>
      <c r="D84" s="412"/>
      <c r="E84" s="413"/>
      <c r="F84" s="396">
        <f aca="true" t="shared" si="3" ref="F84:H88">F26+F45+F64</f>
        <v>6952.8448809273705</v>
      </c>
      <c r="G84" s="397">
        <f t="shared" si="3"/>
        <v>25391.907083245802</v>
      </c>
      <c r="H84" s="225">
        <f>H26+H45+H64</f>
        <v>610167.5272103966</v>
      </c>
      <c r="I84" s="226">
        <v>0</v>
      </c>
      <c r="J84" s="136"/>
      <c r="K84" s="140"/>
      <c r="L84" s="140"/>
      <c r="M84" s="140"/>
      <c r="N84" s="140"/>
      <c r="O84" s="137"/>
    </row>
    <row r="85" spans="2:15" ht="12.75">
      <c r="B85" s="218" t="s">
        <v>17</v>
      </c>
      <c r="C85" s="393"/>
      <c r="D85" s="394"/>
      <c r="E85" s="395"/>
      <c r="F85" s="396">
        <f t="shared" si="3"/>
        <v>972.1766984842056</v>
      </c>
      <c r="G85" s="397">
        <f t="shared" si="3"/>
        <v>3587.9184446947197</v>
      </c>
      <c r="H85" s="225">
        <f t="shared" si="3"/>
        <v>86217.68022601411</v>
      </c>
      <c r="I85" s="226">
        <v>0</v>
      </c>
      <c r="J85" s="136"/>
      <c r="K85" s="140"/>
      <c r="L85" s="140"/>
      <c r="M85" s="140"/>
      <c r="N85" s="140"/>
      <c r="O85" s="137"/>
    </row>
    <row r="86" spans="2:15" ht="12.75">
      <c r="B86" s="218" t="s">
        <v>18</v>
      </c>
      <c r="C86" s="393"/>
      <c r="D86" s="394"/>
      <c r="E86" s="395"/>
      <c r="F86" s="396">
        <f t="shared" si="3"/>
        <v>50.27794587777396</v>
      </c>
      <c r="G86" s="397">
        <f t="shared" si="3"/>
        <v>186.32281057220882</v>
      </c>
      <c r="H86" s="225">
        <f t="shared" si="3"/>
        <v>4477.3371380501785</v>
      </c>
      <c r="I86" s="226">
        <v>0</v>
      </c>
      <c r="J86" s="136"/>
      <c r="K86" s="140"/>
      <c r="L86" s="140"/>
      <c r="M86" s="140"/>
      <c r="N86" s="140"/>
      <c r="O86" s="137"/>
    </row>
    <row r="87" spans="2:15" ht="12.75">
      <c r="B87" s="218" t="s">
        <v>64</v>
      </c>
      <c r="C87" s="393"/>
      <c r="D87" s="394"/>
      <c r="E87" s="395"/>
      <c r="F87" s="396">
        <f t="shared" si="3"/>
        <v>10.266786165087169</v>
      </c>
      <c r="G87" s="397">
        <f t="shared" si="3"/>
        <v>36.09815762283597</v>
      </c>
      <c r="H87" s="225">
        <f t="shared" si="3"/>
        <v>867.4387276767484</v>
      </c>
      <c r="I87" s="226">
        <v>0</v>
      </c>
      <c r="J87" s="136"/>
      <c r="K87" s="140"/>
      <c r="L87" s="140"/>
      <c r="M87" s="140"/>
      <c r="N87" s="140"/>
      <c r="O87" s="137"/>
    </row>
    <row r="88" spans="2:15" ht="13.5" thickBot="1">
      <c r="B88" s="218" t="s">
        <v>19</v>
      </c>
      <c r="C88" s="393"/>
      <c r="D88" s="394"/>
      <c r="E88" s="395"/>
      <c r="F88" s="396">
        <f t="shared" si="3"/>
        <v>1.141536293915711</v>
      </c>
      <c r="G88" s="397">
        <f t="shared" si="3"/>
        <v>3.9953770287049886</v>
      </c>
      <c r="H88" s="225">
        <f t="shared" si="3"/>
        <v>96.00890999978088</v>
      </c>
      <c r="I88" s="226">
        <v>0</v>
      </c>
      <c r="J88" s="136"/>
      <c r="K88" s="140"/>
      <c r="L88" s="140"/>
      <c r="M88" s="140"/>
      <c r="N88" s="140"/>
      <c r="O88" s="137"/>
    </row>
    <row r="89" spans="2:15" ht="13.5" thickBot="1">
      <c r="B89" s="254" t="s">
        <v>1</v>
      </c>
      <c r="C89" s="399"/>
      <c r="D89" s="400"/>
      <c r="E89" s="401"/>
      <c r="F89" s="402">
        <f>SUM(F84:F88)</f>
        <v>7986.707847748353</v>
      </c>
      <c r="G89" s="403">
        <f>SUM(G84:G88)</f>
        <v>29206.241873164272</v>
      </c>
      <c r="H89" s="258">
        <f>SUM(H84:H88)</f>
        <v>701825.9922121374</v>
      </c>
      <c r="I89" s="259">
        <v>0</v>
      </c>
      <c r="J89" s="135"/>
      <c r="K89" s="142"/>
      <c r="L89" s="142"/>
      <c r="M89" s="142"/>
      <c r="N89" s="142"/>
      <c r="O89" s="137"/>
    </row>
    <row r="90" spans="2:15" ht="12.75">
      <c r="B90" s="406" t="s">
        <v>25</v>
      </c>
      <c r="C90" s="407"/>
      <c r="D90" s="408"/>
      <c r="E90" s="408"/>
      <c r="F90" s="359"/>
      <c r="G90" s="359"/>
      <c r="H90" s="362"/>
      <c r="I90" s="314"/>
      <c r="J90" s="135"/>
      <c r="K90" s="140"/>
      <c r="L90" s="140"/>
      <c r="M90" s="140"/>
      <c r="N90" s="140"/>
      <c r="O90" s="137"/>
    </row>
    <row r="91" spans="2:15" ht="12.75">
      <c r="B91" s="246" t="s">
        <v>239</v>
      </c>
      <c r="C91" s="411"/>
      <c r="D91" s="412"/>
      <c r="E91" s="413"/>
      <c r="F91" s="396">
        <f aca="true" t="shared" si="4" ref="F91:H95">F32+F51+F70</f>
        <v>19085.7159</v>
      </c>
      <c r="G91" s="397">
        <f t="shared" si="4"/>
        <v>70509.45564999999</v>
      </c>
      <c r="H91" s="414">
        <f>H32+H51+H70</f>
        <v>1694342.2192695</v>
      </c>
      <c r="I91" s="174">
        <v>0</v>
      </c>
      <c r="J91" s="136"/>
      <c r="K91" s="140"/>
      <c r="L91" s="140"/>
      <c r="M91" s="140"/>
      <c r="N91" s="140"/>
      <c r="O91" s="137"/>
    </row>
    <row r="92" spans="2:15" ht="12.75">
      <c r="B92" s="218" t="s">
        <v>17</v>
      </c>
      <c r="C92" s="393"/>
      <c r="D92" s="394"/>
      <c r="E92" s="395"/>
      <c r="F92" s="396">
        <f t="shared" si="4"/>
        <v>472.65966</v>
      </c>
      <c r="G92" s="397">
        <f t="shared" si="4"/>
        <v>1745.15881</v>
      </c>
      <c r="H92" s="414">
        <f t="shared" si="4"/>
        <v>41936.166204299996</v>
      </c>
      <c r="I92" s="174">
        <v>0</v>
      </c>
      <c r="J92" s="136"/>
      <c r="K92" s="140"/>
      <c r="L92" s="140"/>
      <c r="M92" s="140"/>
      <c r="N92" s="140"/>
      <c r="O92" s="137"/>
    </row>
    <row r="93" spans="2:15" ht="12.75">
      <c r="B93" s="218" t="s">
        <v>18</v>
      </c>
      <c r="C93" s="393"/>
      <c r="D93" s="394"/>
      <c r="E93" s="395"/>
      <c r="F93" s="396">
        <f t="shared" si="4"/>
        <v>28.8204</v>
      </c>
      <c r="G93" s="397">
        <f t="shared" si="4"/>
        <v>112.0214</v>
      </c>
      <c r="H93" s="414">
        <f t="shared" si="4"/>
        <v>2691.874242</v>
      </c>
      <c r="I93" s="174">
        <v>0</v>
      </c>
      <c r="J93" s="136"/>
      <c r="K93" s="140"/>
      <c r="L93" s="140"/>
      <c r="M93" s="140"/>
      <c r="N93" s="140"/>
      <c r="O93" s="137"/>
    </row>
    <row r="94" spans="2:15" ht="12.75">
      <c r="B94" s="218" t="s">
        <v>64</v>
      </c>
      <c r="C94" s="393"/>
      <c r="D94" s="394"/>
      <c r="E94" s="395"/>
      <c r="F94" s="396">
        <f t="shared" si="4"/>
        <v>7.971024987534042</v>
      </c>
      <c r="G94" s="397">
        <f t="shared" si="4"/>
        <v>36.151986827317714</v>
      </c>
      <c r="H94" s="414">
        <f t="shared" si="4"/>
        <v>868.7322434604448</v>
      </c>
      <c r="I94" s="174">
        <v>0</v>
      </c>
      <c r="J94" s="136"/>
      <c r="K94" s="140"/>
      <c r="L94" s="140"/>
      <c r="M94" s="140"/>
      <c r="N94" s="140"/>
      <c r="O94" s="137"/>
    </row>
    <row r="95" spans="2:15" ht="13.5" thickBot="1">
      <c r="B95" s="218" t="s">
        <v>19</v>
      </c>
      <c r="C95" s="393"/>
      <c r="D95" s="394"/>
      <c r="E95" s="395"/>
      <c r="F95" s="396">
        <f t="shared" si="4"/>
        <v>0</v>
      </c>
      <c r="G95" s="397">
        <f t="shared" si="4"/>
        <v>0</v>
      </c>
      <c r="H95" s="414">
        <f t="shared" si="4"/>
        <v>0</v>
      </c>
      <c r="I95" s="174">
        <v>0</v>
      </c>
      <c r="J95" s="136"/>
      <c r="K95" s="140"/>
      <c r="L95" s="140"/>
      <c r="M95" s="140"/>
      <c r="N95" s="140"/>
      <c r="O95" s="137"/>
    </row>
    <row r="96" spans="2:15" ht="13.5" thickBot="1">
      <c r="B96" s="254" t="s">
        <v>1</v>
      </c>
      <c r="C96" s="399"/>
      <c r="D96" s="400"/>
      <c r="E96" s="401"/>
      <c r="F96" s="402">
        <f>SUM(F91:F95)</f>
        <v>19595.166984987536</v>
      </c>
      <c r="G96" s="403">
        <f>SUM(G91:G95)</f>
        <v>72402.7878468273</v>
      </c>
      <c r="H96" s="404">
        <f>SUM(H91:H95)</f>
        <v>1739838.9919592605</v>
      </c>
      <c r="I96" s="259">
        <v>0</v>
      </c>
      <c r="J96" s="135"/>
      <c r="K96" s="142"/>
      <c r="L96" s="142"/>
      <c r="M96" s="142"/>
      <c r="N96" s="142"/>
      <c r="O96" s="137"/>
    </row>
    <row r="97" spans="2:15" ht="13.5" thickBot="1">
      <c r="B97" s="415" t="s">
        <v>1</v>
      </c>
      <c r="C97" s="416"/>
      <c r="D97" s="417"/>
      <c r="E97" s="418"/>
      <c r="F97" s="419">
        <f>F96+F89+F82</f>
        <v>52360.8435220759</v>
      </c>
      <c r="G97" s="420">
        <f>G96+G89+G82</f>
        <v>159305.02249202866</v>
      </c>
      <c r="H97" s="421">
        <f>H82+H89+H96</f>
        <v>3828099.69048345</v>
      </c>
      <c r="I97" s="422">
        <v>0</v>
      </c>
      <c r="J97" s="143"/>
      <c r="K97" s="144"/>
      <c r="L97" s="144"/>
      <c r="M97" s="144"/>
      <c r="N97" s="144"/>
      <c r="O97" s="137"/>
    </row>
    <row r="98" spans="2:9" ht="12.75">
      <c r="B98" s="506" t="s">
        <v>262</v>
      </c>
      <c r="D98" s="148"/>
      <c r="E98" s="148"/>
      <c r="H98" s="149"/>
      <c r="I98" s="149"/>
    </row>
    <row r="99" spans="4:9" ht="12.75">
      <c r="D99" s="148"/>
      <c r="E99" s="148"/>
      <c r="H99" s="149"/>
      <c r="I99" s="149"/>
    </row>
    <row r="100" spans="4:9" ht="12.75">
      <c r="D100" s="148"/>
      <c r="E100" s="148"/>
      <c r="H100" s="149"/>
      <c r="I100" s="149"/>
    </row>
    <row r="101" spans="4:9" ht="12.75">
      <c r="D101" s="148"/>
      <c r="E101" s="148"/>
      <c r="H101" s="149"/>
      <c r="I101" s="149"/>
    </row>
    <row r="102" spans="4:9" ht="12.75">
      <c r="D102" s="148"/>
      <c r="E102" s="148"/>
      <c r="H102" s="149"/>
      <c r="I102" s="149"/>
    </row>
    <row r="103" spans="4:9" ht="12.75">
      <c r="D103" s="148"/>
      <c r="E103" s="148"/>
      <c r="H103" s="149"/>
      <c r="I103" s="149"/>
    </row>
    <row r="104" spans="4:9" ht="12.75">
      <c r="D104" s="148"/>
      <c r="E104" s="148"/>
      <c r="H104" s="149"/>
      <c r="I104" s="149"/>
    </row>
    <row r="105" spans="4:9" ht="12.75">
      <c r="D105" s="148"/>
      <c r="E105" s="148"/>
      <c r="H105" s="149"/>
      <c r="I105" s="149"/>
    </row>
    <row r="106" spans="4:9" ht="12.75">
      <c r="D106" s="148"/>
      <c r="E106" s="148"/>
      <c r="H106" s="149"/>
      <c r="I106" s="149"/>
    </row>
    <row r="107" spans="4:9" ht="12.75">
      <c r="D107" s="148"/>
      <c r="E107" s="148"/>
      <c r="H107" s="149"/>
      <c r="I107" s="149"/>
    </row>
    <row r="108" spans="4:9" ht="12.75">
      <c r="D108" s="148"/>
      <c r="E108" s="148"/>
      <c r="H108" s="149"/>
      <c r="I108" s="149"/>
    </row>
    <row r="109" spans="4:9" ht="12.75">
      <c r="D109" s="148"/>
      <c r="E109" s="148"/>
      <c r="H109" s="149"/>
      <c r="I109" s="149"/>
    </row>
    <row r="110" spans="4:9" ht="12.75">
      <c r="D110" s="148"/>
      <c r="E110" s="148"/>
      <c r="H110" s="149"/>
      <c r="I110" s="149"/>
    </row>
    <row r="111" spans="4:9" ht="12.75">
      <c r="D111" s="148"/>
      <c r="E111" s="148"/>
      <c r="H111" s="149"/>
      <c r="I111" s="149"/>
    </row>
    <row r="112" spans="4:9" ht="12.75">
      <c r="D112" s="148"/>
      <c r="E112" s="148"/>
      <c r="H112" s="149"/>
      <c r="I112" s="149"/>
    </row>
    <row r="113" spans="4:9" ht="12.75">
      <c r="D113" s="148"/>
      <c r="E113" s="148"/>
      <c r="H113" s="149"/>
      <c r="I113" s="149"/>
    </row>
    <row r="114" spans="4:9" ht="12.75">
      <c r="D114" s="148"/>
      <c r="E114" s="148"/>
      <c r="H114" s="149"/>
      <c r="I114" s="149"/>
    </row>
    <row r="115" spans="4:9" ht="12.75">
      <c r="D115" s="148"/>
      <c r="E115" s="148"/>
      <c r="H115" s="149"/>
      <c r="I115" s="149"/>
    </row>
    <row r="116" spans="4:9" ht="12.75">
      <c r="D116" s="148"/>
      <c r="E116" s="148"/>
      <c r="H116" s="149"/>
      <c r="I116" s="149"/>
    </row>
    <row r="117" spans="4:9" ht="12.75">
      <c r="D117" s="148"/>
      <c r="E117" s="148"/>
      <c r="H117" s="149"/>
      <c r="I117" s="149"/>
    </row>
    <row r="118" spans="4:9" ht="12.75">
      <c r="D118" s="148"/>
      <c r="E118" s="148"/>
      <c r="H118" s="149"/>
      <c r="I118" s="149"/>
    </row>
    <row r="119" spans="4:9" ht="12.75">
      <c r="D119" s="148"/>
      <c r="E119" s="148"/>
      <c r="H119" s="149"/>
      <c r="I119" s="149"/>
    </row>
    <row r="120" spans="4:9" ht="12.75">
      <c r="D120" s="148"/>
      <c r="E120" s="148"/>
      <c r="H120" s="149"/>
      <c r="I120" s="149"/>
    </row>
    <row r="121" spans="4:9" ht="12.75">
      <c r="D121" s="148"/>
      <c r="E121" s="148"/>
      <c r="H121" s="149"/>
      <c r="I121" s="149"/>
    </row>
    <row r="122" spans="4:9" ht="12.75">
      <c r="D122" s="148"/>
      <c r="E122" s="148"/>
      <c r="H122" s="149"/>
      <c r="I122" s="149"/>
    </row>
    <row r="123" spans="4:9" ht="12.75">
      <c r="D123" s="148"/>
      <c r="E123" s="148"/>
      <c r="H123" s="149"/>
      <c r="I123" s="149"/>
    </row>
    <row r="124" spans="4:9" ht="12.75">
      <c r="D124" s="148"/>
      <c r="E124" s="148"/>
      <c r="H124" s="149"/>
      <c r="I124" s="149"/>
    </row>
    <row r="125" spans="4:9" ht="12.75">
      <c r="D125" s="148"/>
      <c r="E125" s="148"/>
      <c r="H125" s="149"/>
      <c r="I125" s="149"/>
    </row>
    <row r="126" spans="4:9" ht="12.75">
      <c r="D126" s="148"/>
      <c r="E126" s="148"/>
      <c r="H126" s="149"/>
      <c r="I126" s="149"/>
    </row>
    <row r="127" spans="4:9" ht="12.75">
      <c r="D127" s="148"/>
      <c r="E127" s="148"/>
      <c r="H127" s="149"/>
      <c r="I127" s="149"/>
    </row>
    <row r="128" spans="4:9" ht="12.75">
      <c r="D128" s="148"/>
      <c r="E128" s="148"/>
      <c r="H128" s="149"/>
      <c r="I128" s="149"/>
    </row>
    <row r="129" spans="4:9" ht="12.75">
      <c r="D129" s="148"/>
      <c r="E129" s="148"/>
      <c r="H129" s="149"/>
      <c r="I129" s="149"/>
    </row>
    <row r="130" spans="4:9" ht="12.75">
      <c r="D130" s="148"/>
      <c r="E130" s="148"/>
      <c r="H130" s="149"/>
      <c r="I130" s="149"/>
    </row>
    <row r="131" spans="4:9" ht="12.75">
      <c r="D131" s="148"/>
      <c r="E131" s="148"/>
      <c r="H131" s="149"/>
      <c r="I131" s="149"/>
    </row>
    <row r="132" spans="4:9" ht="12.75">
      <c r="D132" s="148"/>
      <c r="E132" s="148"/>
      <c r="H132" s="149"/>
      <c r="I132" s="149"/>
    </row>
    <row r="133" spans="4:9" ht="12.75">
      <c r="D133" s="148"/>
      <c r="E133" s="148"/>
      <c r="H133" s="149"/>
      <c r="I133" s="149"/>
    </row>
    <row r="134" spans="4:9" ht="12.75">
      <c r="D134" s="148"/>
      <c r="E134" s="148"/>
      <c r="H134" s="149"/>
      <c r="I134" s="149"/>
    </row>
    <row r="135" spans="4:9" ht="12.75">
      <c r="D135" s="148"/>
      <c r="E135" s="148"/>
      <c r="H135" s="149"/>
      <c r="I135" s="149"/>
    </row>
    <row r="136" spans="4:9" ht="12.75">
      <c r="D136" s="148"/>
      <c r="E136" s="148"/>
      <c r="H136" s="149"/>
      <c r="I136" s="149"/>
    </row>
    <row r="137" spans="4:9" ht="12.75">
      <c r="D137" s="148"/>
      <c r="E137" s="148"/>
      <c r="H137" s="149"/>
      <c r="I137" s="149"/>
    </row>
    <row r="138" spans="4:9" ht="12.75">
      <c r="D138" s="148"/>
      <c r="E138" s="148"/>
      <c r="H138" s="149"/>
      <c r="I138" s="149"/>
    </row>
    <row r="139" spans="4:9" ht="12.75">
      <c r="D139" s="148"/>
      <c r="E139" s="148"/>
      <c r="H139" s="149"/>
      <c r="I139" s="149"/>
    </row>
    <row r="140" spans="4:9" ht="12.75">
      <c r="D140" s="148"/>
      <c r="E140" s="148"/>
      <c r="H140" s="149"/>
      <c r="I140" s="149"/>
    </row>
    <row r="141" spans="4:9" ht="12.75">
      <c r="D141" s="148"/>
      <c r="E141" s="148"/>
      <c r="H141" s="149"/>
      <c r="I141" s="149"/>
    </row>
    <row r="142" spans="4:9" ht="12.75">
      <c r="D142" s="148"/>
      <c r="E142" s="148"/>
      <c r="H142" s="149"/>
      <c r="I142" s="149"/>
    </row>
    <row r="143" spans="4:9" ht="12.75">
      <c r="D143" s="148"/>
      <c r="E143" s="148"/>
      <c r="H143" s="149"/>
      <c r="I143" s="149"/>
    </row>
    <row r="144" spans="4:9" ht="12.75">
      <c r="D144" s="148"/>
      <c r="E144" s="148"/>
      <c r="H144" s="149"/>
      <c r="I144" s="149"/>
    </row>
    <row r="145" spans="4:9" ht="12.75">
      <c r="D145" s="148"/>
      <c r="E145" s="148"/>
      <c r="H145" s="149"/>
      <c r="I145" s="149"/>
    </row>
    <row r="146" spans="4:9" ht="12.75">
      <c r="D146" s="148"/>
      <c r="E146" s="148"/>
      <c r="H146" s="149"/>
      <c r="I146" s="149"/>
    </row>
    <row r="147" spans="4:9" ht="12.75">
      <c r="D147" s="148"/>
      <c r="E147" s="148"/>
      <c r="H147" s="149"/>
      <c r="I147" s="149"/>
    </row>
    <row r="148" spans="4:9" ht="12.75">
      <c r="D148" s="148"/>
      <c r="E148" s="148"/>
      <c r="H148" s="149"/>
      <c r="I148" s="149"/>
    </row>
    <row r="149" spans="4:9" ht="12.75">
      <c r="D149" s="148"/>
      <c r="E149" s="148"/>
      <c r="H149" s="149"/>
      <c r="I149" s="149"/>
    </row>
    <row r="150" spans="4:9" ht="12.75">
      <c r="D150" s="148"/>
      <c r="E150" s="148"/>
      <c r="H150" s="149"/>
      <c r="I150" s="149"/>
    </row>
    <row r="151" spans="4:9" ht="12.75">
      <c r="D151" s="148"/>
      <c r="E151" s="148"/>
      <c r="H151" s="149"/>
      <c r="I151" s="149"/>
    </row>
    <row r="152" spans="4:9" ht="12.75">
      <c r="D152" s="148"/>
      <c r="E152" s="148"/>
      <c r="H152" s="149"/>
      <c r="I152" s="149"/>
    </row>
    <row r="153" spans="4:9" ht="12.75">
      <c r="D153" s="148"/>
      <c r="E153" s="148"/>
      <c r="H153" s="149"/>
      <c r="I153" s="149"/>
    </row>
    <row r="154" spans="4:9" ht="12.75">
      <c r="D154" s="148"/>
      <c r="E154" s="148"/>
      <c r="H154" s="149"/>
      <c r="I154" s="149"/>
    </row>
    <row r="155" spans="4:9" ht="12.75">
      <c r="D155" s="148"/>
      <c r="E155" s="148"/>
      <c r="H155" s="149"/>
      <c r="I155" s="149"/>
    </row>
    <row r="156" spans="4:9" ht="12.75">
      <c r="D156" s="148"/>
      <c r="E156" s="148"/>
      <c r="H156" s="149"/>
      <c r="I156" s="149"/>
    </row>
    <row r="157" spans="4:9" ht="12.75">
      <c r="D157" s="148"/>
      <c r="E157" s="148"/>
      <c r="H157" s="149"/>
      <c r="I157" s="149"/>
    </row>
    <row r="158" spans="4:9" ht="12.75">
      <c r="D158" s="148"/>
      <c r="E158" s="148"/>
      <c r="H158" s="149"/>
      <c r="I158" s="149"/>
    </row>
    <row r="159" spans="4:9" ht="12.75">
      <c r="D159" s="148"/>
      <c r="E159" s="148"/>
      <c r="H159" s="149"/>
      <c r="I159" s="149"/>
    </row>
    <row r="160" spans="8:9" ht="12.75">
      <c r="H160" s="149"/>
      <c r="I160" s="149"/>
    </row>
    <row r="161" spans="8:9" ht="12.75">
      <c r="H161" s="149"/>
      <c r="I161" s="149"/>
    </row>
    <row r="162" spans="8:9" ht="12.75">
      <c r="H162" s="149"/>
      <c r="I162" s="149"/>
    </row>
    <row r="163" spans="8:9" ht="12.75">
      <c r="H163" s="149"/>
      <c r="I163" s="149"/>
    </row>
    <row r="164" spans="8:9" ht="12.75">
      <c r="H164" s="149"/>
      <c r="I164" s="149"/>
    </row>
    <row r="165" spans="8:9" ht="12.75">
      <c r="H165" s="149"/>
      <c r="I165" s="149"/>
    </row>
    <row r="166" spans="8:9" ht="12.75">
      <c r="H166" s="149"/>
      <c r="I166" s="149"/>
    </row>
    <row r="167" spans="8:9" ht="12.75">
      <c r="H167" s="149"/>
      <c r="I167" s="149"/>
    </row>
    <row r="168" spans="8:9" ht="12.75">
      <c r="H168" s="149"/>
      <c r="I168" s="149"/>
    </row>
    <row r="169" spans="8:9" ht="12.75">
      <c r="H169" s="149"/>
      <c r="I169" s="149"/>
    </row>
    <row r="170" spans="8:9" ht="12.75">
      <c r="H170" s="149"/>
      <c r="I170" s="149"/>
    </row>
    <row r="171" spans="8:9" ht="12.75">
      <c r="H171" s="149"/>
      <c r="I171" s="149"/>
    </row>
    <row r="172" spans="8:9" ht="12.75">
      <c r="H172" s="149"/>
      <c r="I172" s="149"/>
    </row>
    <row r="173" spans="8:9" ht="12.75">
      <c r="H173" s="149"/>
      <c r="I173" s="149"/>
    </row>
    <row r="174" spans="8:9" ht="12.75">
      <c r="H174" s="149"/>
      <c r="I174" s="149"/>
    </row>
    <row r="175" spans="8:9" ht="12.75">
      <c r="H175" s="149"/>
      <c r="I175" s="149"/>
    </row>
    <row r="176" spans="8:9" ht="12.75">
      <c r="H176" s="149"/>
      <c r="I176" s="149"/>
    </row>
    <row r="177" spans="8:9" ht="12.75">
      <c r="H177" s="149"/>
      <c r="I177" s="149"/>
    </row>
    <row r="178" spans="8:9" ht="12.75">
      <c r="H178" s="149"/>
      <c r="I178" s="149"/>
    </row>
    <row r="179" spans="8:9" ht="12.75">
      <c r="H179" s="149"/>
      <c r="I179" s="149"/>
    </row>
    <row r="180" spans="8:9" ht="12.75">
      <c r="H180" s="149"/>
      <c r="I180" s="149"/>
    </row>
    <row r="181" spans="8:9" ht="12.75">
      <c r="H181" s="149"/>
      <c r="I181" s="149"/>
    </row>
    <row r="182" spans="8:9" ht="12.75">
      <c r="H182" s="149"/>
      <c r="I182" s="149"/>
    </row>
    <row r="183" spans="8:9" ht="12.75">
      <c r="H183" s="149"/>
      <c r="I183" s="149"/>
    </row>
    <row r="184" spans="8:9" ht="12.75">
      <c r="H184" s="149"/>
      <c r="I184" s="149"/>
    </row>
    <row r="185" spans="8:9" ht="12.75">
      <c r="H185" s="149"/>
      <c r="I185" s="149"/>
    </row>
    <row r="186" spans="8:9" ht="12.75">
      <c r="H186" s="149"/>
      <c r="I186" s="149"/>
    </row>
    <row r="187" spans="8:9" ht="12.75">
      <c r="H187" s="149"/>
      <c r="I187" s="149"/>
    </row>
    <row r="188" spans="8:9" ht="12.75">
      <c r="H188" s="149"/>
      <c r="I188" s="149"/>
    </row>
    <row r="189" spans="8:9" ht="12.75">
      <c r="H189" s="149"/>
      <c r="I189" s="149"/>
    </row>
    <row r="190" spans="8:9" ht="12.75">
      <c r="H190" s="149"/>
      <c r="I190" s="149"/>
    </row>
    <row r="191" spans="8:9" ht="12.75">
      <c r="H191" s="149"/>
      <c r="I191" s="149"/>
    </row>
    <row r="192" spans="8:9" ht="12.75">
      <c r="H192" s="149"/>
      <c r="I192" s="149"/>
    </row>
    <row r="193" spans="8:9" ht="12.75">
      <c r="H193" s="149"/>
      <c r="I193" s="149"/>
    </row>
    <row r="194" spans="8:9" ht="12.75">
      <c r="H194" s="149"/>
      <c r="I194" s="149"/>
    </row>
    <row r="195" spans="8:9" ht="12.75">
      <c r="H195" s="149"/>
      <c r="I195" s="149"/>
    </row>
    <row r="196" spans="8:9" ht="12.75">
      <c r="H196" s="149"/>
      <c r="I196" s="149"/>
    </row>
    <row r="197" spans="8:9" ht="12.75">
      <c r="H197" s="149"/>
      <c r="I197" s="149"/>
    </row>
    <row r="198" spans="8:9" ht="12.75">
      <c r="H198" s="149"/>
      <c r="I198" s="149"/>
    </row>
    <row r="199" spans="8:9" ht="12.75">
      <c r="H199" s="149"/>
      <c r="I199" s="149"/>
    </row>
    <row r="200" spans="8:9" ht="12.75">
      <c r="H200" s="149"/>
      <c r="I200" s="149"/>
    </row>
    <row r="201" spans="8:9" ht="12.75">
      <c r="H201" s="149"/>
      <c r="I201" s="149"/>
    </row>
    <row r="202" spans="8:9" ht="12.75">
      <c r="H202" s="149"/>
      <c r="I202" s="149"/>
    </row>
    <row r="203" spans="8:9" ht="12.75">
      <c r="H203" s="149"/>
      <c r="I203" s="149"/>
    </row>
    <row r="204" spans="8:9" ht="12.75">
      <c r="H204" s="149"/>
      <c r="I204" s="149"/>
    </row>
    <row r="205" spans="8:9" ht="12.75">
      <c r="H205" s="149"/>
      <c r="I205" s="149"/>
    </row>
    <row r="206" spans="8:9" ht="12.75">
      <c r="H206" s="149"/>
      <c r="I206" s="149"/>
    </row>
    <row r="207" spans="8:9" ht="12.75">
      <c r="H207" s="149"/>
      <c r="I207" s="149"/>
    </row>
    <row r="208" spans="8:9" ht="12.75">
      <c r="H208" s="149"/>
      <c r="I208" s="149"/>
    </row>
    <row r="209" spans="8:9" ht="12.75">
      <c r="H209" s="149"/>
      <c r="I209" s="149"/>
    </row>
    <row r="210" spans="8:9" ht="12.75">
      <c r="H210" s="149"/>
      <c r="I210" s="149"/>
    </row>
    <row r="211" spans="8:9" ht="12.75">
      <c r="H211" s="149"/>
      <c r="I211" s="149"/>
    </row>
    <row r="212" spans="8:9" ht="12.75">
      <c r="H212" s="149"/>
      <c r="I212" s="149"/>
    </row>
    <row r="213" spans="8:9" ht="12.75">
      <c r="H213" s="149"/>
      <c r="I213" s="149"/>
    </row>
    <row r="214" spans="8:9" ht="12.75">
      <c r="H214" s="149"/>
      <c r="I214" s="149"/>
    </row>
    <row r="215" spans="8:9" ht="12.75">
      <c r="H215" s="149"/>
      <c r="I215" s="149"/>
    </row>
    <row r="216" spans="8:9" ht="12.75">
      <c r="H216" s="149"/>
      <c r="I216" s="149"/>
    </row>
    <row r="217" spans="8:9" ht="12.75">
      <c r="H217" s="149"/>
      <c r="I217" s="149"/>
    </row>
    <row r="218" spans="8:9" ht="12.75">
      <c r="H218" s="149"/>
      <c r="I218" s="149"/>
    </row>
    <row r="219" spans="8:9" ht="12.75">
      <c r="H219" s="149"/>
      <c r="I219" s="149"/>
    </row>
    <row r="220" spans="8:9" ht="12.75">
      <c r="H220" s="149"/>
      <c r="I220" s="149"/>
    </row>
    <row r="221" spans="8:9" ht="12.75">
      <c r="H221" s="149"/>
      <c r="I221" s="149"/>
    </row>
    <row r="222" spans="8:9" ht="12.75">
      <c r="H222" s="149"/>
      <c r="I222" s="149"/>
    </row>
    <row r="223" spans="8:9" ht="12.75">
      <c r="H223" s="149"/>
      <c r="I223" s="149"/>
    </row>
    <row r="224" spans="8:9" ht="12.75">
      <c r="H224" s="149"/>
      <c r="I224" s="149"/>
    </row>
    <row r="225" spans="8:9" ht="12.75">
      <c r="H225" s="149"/>
      <c r="I225" s="149"/>
    </row>
    <row r="226" spans="8:9" ht="12.75">
      <c r="H226" s="149"/>
      <c r="I226" s="149"/>
    </row>
    <row r="227" spans="8:9" ht="12.75">
      <c r="H227" s="149"/>
      <c r="I227" s="149"/>
    </row>
    <row r="228" spans="8:9" ht="12.75">
      <c r="H228" s="149"/>
      <c r="I228" s="149"/>
    </row>
    <row r="229" spans="8:9" ht="12.75">
      <c r="H229" s="149"/>
      <c r="I229" s="149"/>
    </row>
    <row r="230" spans="8:9" ht="12.75">
      <c r="H230" s="149"/>
      <c r="I230" s="149"/>
    </row>
    <row r="231" spans="8:9" ht="12.75">
      <c r="H231" s="149"/>
      <c r="I231" s="149"/>
    </row>
    <row r="232" spans="8:9" ht="12.75">
      <c r="H232" s="149"/>
      <c r="I232" s="149"/>
    </row>
    <row r="233" spans="8:9" ht="12.75">
      <c r="H233" s="149"/>
      <c r="I233" s="149"/>
    </row>
    <row r="234" spans="8:9" ht="12.75">
      <c r="H234" s="149"/>
      <c r="I234" s="149"/>
    </row>
    <row r="235" spans="8:9" ht="12.75">
      <c r="H235" s="149"/>
      <c r="I235" s="149"/>
    </row>
    <row r="236" spans="8:9" ht="12.75">
      <c r="H236" s="149"/>
      <c r="I236" s="149"/>
    </row>
    <row r="237" spans="8:9" ht="12.75">
      <c r="H237" s="149"/>
      <c r="I237" s="149"/>
    </row>
    <row r="238" spans="8:9" ht="12.75">
      <c r="H238" s="149"/>
      <c r="I238" s="149"/>
    </row>
    <row r="239" spans="8:9" ht="12.75">
      <c r="H239" s="149"/>
      <c r="I239" s="149"/>
    </row>
    <row r="240" spans="8:9" ht="12.75">
      <c r="H240" s="149"/>
      <c r="I240" s="149"/>
    </row>
    <row r="241" spans="8:9" ht="12.75">
      <c r="H241" s="149"/>
      <c r="I241" s="149"/>
    </row>
    <row r="242" spans="8:9" ht="12.75">
      <c r="H242" s="149"/>
      <c r="I242" s="149"/>
    </row>
    <row r="243" spans="8:9" ht="12.75">
      <c r="H243" s="149"/>
      <c r="I243" s="149"/>
    </row>
    <row r="244" spans="8:9" ht="12.75">
      <c r="H244" s="149"/>
      <c r="I244" s="149"/>
    </row>
    <row r="245" spans="8:9" ht="12.75">
      <c r="H245" s="149"/>
      <c r="I245" s="149"/>
    </row>
    <row r="246" spans="8:9" ht="12.75">
      <c r="H246" s="149"/>
      <c r="I246" s="149"/>
    </row>
    <row r="247" spans="8:9" ht="12.75">
      <c r="H247" s="149"/>
      <c r="I247" s="149"/>
    </row>
    <row r="248" spans="8:9" ht="12.75">
      <c r="H248" s="149"/>
      <c r="I248" s="149"/>
    </row>
    <row r="249" spans="8:9" ht="12.75">
      <c r="H249" s="149"/>
      <c r="I249" s="149"/>
    </row>
    <row r="250" spans="8:9" ht="12.75">
      <c r="H250" s="149"/>
      <c r="I250" s="149"/>
    </row>
    <row r="251" spans="8:9" ht="12.75">
      <c r="H251" s="149"/>
      <c r="I251" s="149"/>
    </row>
    <row r="252" spans="8:9" ht="12.75">
      <c r="H252" s="149"/>
      <c r="I252" s="149"/>
    </row>
    <row r="253" spans="8:9" ht="12.75">
      <c r="H253" s="149"/>
      <c r="I253" s="149"/>
    </row>
    <row r="254" spans="8:9" ht="12.75">
      <c r="H254" s="149"/>
      <c r="I254" s="149"/>
    </row>
    <row r="255" spans="8:9" ht="12.75">
      <c r="H255" s="149"/>
      <c r="I255" s="149"/>
    </row>
    <row r="256" spans="8:9" ht="12.75">
      <c r="H256" s="149"/>
      <c r="I256" s="149"/>
    </row>
    <row r="257" spans="8:9" ht="12.75">
      <c r="H257" s="149"/>
      <c r="I257" s="149"/>
    </row>
    <row r="258" spans="8:9" ht="12.75">
      <c r="H258" s="149"/>
      <c r="I258" s="149"/>
    </row>
    <row r="259" spans="8:9" ht="12.75">
      <c r="H259" s="149"/>
      <c r="I259" s="149"/>
    </row>
    <row r="260" spans="8:9" ht="12.75">
      <c r="H260" s="149"/>
      <c r="I260" s="149"/>
    </row>
    <row r="261" spans="8:9" ht="12.75">
      <c r="H261" s="149"/>
      <c r="I261" s="149"/>
    </row>
    <row r="262" spans="8:9" ht="12.75">
      <c r="H262" s="149"/>
      <c r="I262" s="149"/>
    </row>
    <row r="263" spans="8:9" ht="12.75">
      <c r="H263" s="149"/>
      <c r="I263" s="149"/>
    </row>
    <row r="264" spans="8:9" ht="12.75">
      <c r="H264" s="149"/>
      <c r="I264" s="149"/>
    </row>
    <row r="265" spans="8:9" ht="12.75">
      <c r="H265" s="149"/>
      <c r="I265" s="149"/>
    </row>
    <row r="266" spans="8:9" ht="12.75">
      <c r="H266" s="149"/>
      <c r="I266" s="149"/>
    </row>
    <row r="267" spans="8:9" ht="12.75">
      <c r="H267" s="149"/>
      <c r="I267" s="149"/>
    </row>
    <row r="268" spans="8:9" ht="12.75">
      <c r="H268" s="149"/>
      <c r="I268" s="149"/>
    </row>
    <row r="269" spans="8:9" ht="12.75">
      <c r="H269" s="149"/>
      <c r="I269" s="149"/>
    </row>
    <row r="270" spans="8:9" ht="12.75">
      <c r="H270" s="149"/>
      <c r="I270" s="149"/>
    </row>
    <row r="271" spans="8:9" ht="12.75">
      <c r="H271" s="149"/>
      <c r="I271" s="149"/>
    </row>
    <row r="272" spans="8:9" ht="12.75">
      <c r="H272" s="149"/>
      <c r="I272" s="149"/>
    </row>
    <row r="273" spans="8:9" ht="12.75">
      <c r="H273" s="149"/>
      <c r="I273" s="149"/>
    </row>
    <row r="274" spans="8:9" ht="12.75">
      <c r="H274" s="149"/>
      <c r="I274" s="149"/>
    </row>
    <row r="275" spans="8:9" ht="12.75">
      <c r="H275" s="149"/>
      <c r="I275" s="149"/>
    </row>
    <row r="276" spans="8:9" ht="12.75">
      <c r="H276" s="149"/>
      <c r="I276" s="149"/>
    </row>
    <row r="277" spans="8:9" ht="12.75">
      <c r="H277" s="149"/>
      <c r="I277" s="149"/>
    </row>
    <row r="278" spans="8:9" ht="12.75">
      <c r="H278" s="149"/>
      <c r="I278" s="149"/>
    </row>
    <row r="279" spans="8:9" ht="12.75">
      <c r="H279" s="149"/>
      <c r="I279" s="149"/>
    </row>
    <row r="280" spans="8:9" ht="12.75">
      <c r="H280" s="149"/>
      <c r="I280" s="149"/>
    </row>
    <row r="281" spans="8:9" ht="12.75">
      <c r="H281" s="149"/>
      <c r="I281" s="149"/>
    </row>
    <row r="282" spans="8:9" ht="12.75">
      <c r="H282" s="149"/>
      <c r="I282" s="149"/>
    </row>
    <row r="283" spans="8:9" ht="12.75">
      <c r="H283" s="149"/>
      <c r="I283" s="149"/>
    </row>
    <row r="284" spans="8:9" ht="12.75">
      <c r="H284" s="149"/>
      <c r="I284" s="149"/>
    </row>
    <row r="285" spans="8:9" ht="12.75">
      <c r="H285" s="149"/>
      <c r="I285" s="149"/>
    </row>
    <row r="286" spans="8:9" ht="12.75">
      <c r="H286" s="149"/>
      <c r="I286" s="149"/>
    </row>
    <row r="287" spans="8:9" ht="12.75">
      <c r="H287" s="149"/>
      <c r="I287" s="149"/>
    </row>
    <row r="288" spans="8:9" ht="12.75">
      <c r="H288" s="149"/>
      <c r="I288" s="149"/>
    </row>
    <row r="289" spans="8:9" ht="12.75">
      <c r="H289" s="149"/>
      <c r="I289" s="149"/>
    </row>
    <row r="290" spans="8:9" ht="12.75">
      <c r="H290" s="149"/>
      <c r="I290" s="149"/>
    </row>
    <row r="291" spans="8:9" ht="12.75">
      <c r="H291" s="149"/>
      <c r="I291" s="149"/>
    </row>
    <row r="292" spans="8:9" ht="12.75">
      <c r="H292" s="149"/>
      <c r="I292" s="149"/>
    </row>
    <row r="293" spans="8:9" ht="12.75">
      <c r="H293" s="149"/>
      <c r="I293" s="149"/>
    </row>
    <row r="294" spans="8:9" ht="12.75">
      <c r="H294" s="149"/>
      <c r="I294" s="149"/>
    </row>
    <row r="295" spans="8:9" ht="12.75">
      <c r="H295" s="149"/>
      <c r="I295" s="149"/>
    </row>
    <row r="296" spans="8:9" ht="12.75">
      <c r="H296" s="149"/>
      <c r="I296" s="149"/>
    </row>
    <row r="297" spans="8:9" ht="12.75">
      <c r="H297" s="149"/>
      <c r="I297" s="149"/>
    </row>
    <row r="298" spans="8:9" ht="12.75">
      <c r="H298" s="149"/>
      <c r="I298" s="149"/>
    </row>
    <row r="299" spans="8:9" ht="12.75">
      <c r="H299" s="149"/>
      <c r="I299" s="149"/>
    </row>
    <row r="300" spans="8:9" ht="12.75">
      <c r="H300" s="149"/>
      <c r="I300" s="149"/>
    </row>
    <row r="301" spans="8:9" ht="12.75">
      <c r="H301" s="149"/>
      <c r="I301" s="149"/>
    </row>
    <row r="302" spans="8:9" ht="12.75">
      <c r="H302" s="149"/>
      <c r="I302" s="149"/>
    </row>
    <row r="303" spans="8:9" ht="12.75">
      <c r="H303" s="149"/>
      <c r="I303" s="149"/>
    </row>
    <row r="304" spans="8:9" ht="12.75">
      <c r="H304" s="149"/>
      <c r="I304" s="149"/>
    </row>
    <row r="305" spans="8:9" ht="12.75">
      <c r="H305" s="149"/>
      <c r="I305" s="149"/>
    </row>
    <row r="306" spans="8:9" ht="12.75">
      <c r="H306" s="149"/>
      <c r="I306" s="149"/>
    </row>
    <row r="307" spans="8:9" ht="12.75">
      <c r="H307" s="149"/>
      <c r="I307" s="149"/>
    </row>
    <row r="308" spans="8:9" ht="12.75">
      <c r="H308" s="149"/>
      <c r="I308" s="149"/>
    </row>
    <row r="309" spans="8:9" ht="12.75">
      <c r="H309" s="149"/>
      <c r="I309" s="149"/>
    </row>
    <row r="310" spans="8:9" ht="12.75">
      <c r="H310" s="149"/>
      <c r="I310" s="149"/>
    </row>
    <row r="311" spans="8:9" ht="12.75">
      <c r="H311" s="149"/>
      <c r="I311" s="149"/>
    </row>
    <row r="312" spans="8:9" ht="12.75">
      <c r="H312" s="149"/>
      <c r="I312" s="149"/>
    </row>
    <row r="313" spans="8:9" ht="12.75">
      <c r="H313" s="149"/>
      <c r="I313" s="149"/>
    </row>
    <row r="314" spans="8:9" ht="12.75">
      <c r="H314" s="149"/>
      <c r="I314" s="149"/>
    </row>
    <row r="315" spans="8:9" ht="12.75">
      <c r="H315" s="149"/>
      <c r="I315" s="149"/>
    </row>
    <row r="316" spans="8:9" ht="12.75">
      <c r="H316" s="149"/>
      <c r="I316" s="149"/>
    </row>
    <row r="317" spans="8:9" ht="12.75">
      <c r="H317" s="149"/>
      <c r="I317" s="149"/>
    </row>
    <row r="318" spans="8:9" ht="12.75">
      <c r="H318" s="149"/>
      <c r="I318" s="149"/>
    </row>
    <row r="319" spans="8:9" ht="12.75">
      <c r="H319" s="149"/>
      <c r="I319" s="149"/>
    </row>
    <row r="320" spans="8:9" ht="12.75">
      <c r="H320" s="149"/>
      <c r="I320" s="149"/>
    </row>
    <row r="321" spans="8:9" ht="12.75">
      <c r="H321" s="149"/>
      <c r="I321" s="149"/>
    </row>
    <row r="322" spans="8:9" ht="12.75">
      <c r="H322" s="149"/>
      <c r="I322" s="149"/>
    </row>
    <row r="323" spans="8:9" ht="12.75">
      <c r="H323" s="149"/>
      <c r="I323" s="149"/>
    </row>
    <row r="324" spans="8:9" ht="12.75">
      <c r="H324" s="149"/>
      <c r="I324" s="149"/>
    </row>
    <row r="325" spans="8:9" ht="12.75">
      <c r="H325" s="149"/>
      <c r="I325" s="149"/>
    </row>
    <row r="326" spans="8:9" ht="12.75">
      <c r="H326" s="149"/>
      <c r="I326" s="149"/>
    </row>
    <row r="327" spans="8:9" ht="12.75">
      <c r="H327" s="149"/>
      <c r="I327" s="149"/>
    </row>
    <row r="328" spans="8:9" ht="12.75">
      <c r="H328" s="149"/>
      <c r="I328" s="149"/>
    </row>
    <row r="329" spans="8:9" ht="12.75">
      <c r="H329" s="149"/>
      <c r="I329" s="149"/>
    </row>
    <row r="330" spans="8:9" ht="12.75">
      <c r="H330" s="149"/>
      <c r="I330" s="149"/>
    </row>
    <row r="331" spans="8:9" ht="12.75">
      <c r="H331" s="149"/>
      <c r="I331" s="149"/>
    </row>
    <row r="332" spans="8:9" ht="12.75">
      <c r="H332" s="149"/>
      <c r="I332" s="149"/>
    </row>
    <row r="333" spans="8:9" ht="12.75">
      <c r="H333" s="149"/>
      <c r="I333" s="149"/>
    </row>
    <row r="334" spans="8:9" ht="12.75">
      <c r="H334" s="149"/>
      <c r="I334" s="149"/>
    </row>
    <row r="335" spans="8:9" ht="12.75">
      <c r="H335" s="149"/>
      <c r="I335" s="149"/>
    </row>
    <row r="336" spans="8:9" ht="12.75">
      <c r="H336" s="149"/>
      <c r="I336" s="149"/>
    </row>
    <row r="337" spans="8:9" ht="12.75">
      <c r="H337" s="149"/>
      <c r="I337" s="149"/>
    </row>
    <row r="338" spans="8:9" ht="12.75">
      <c r="H338" s="149"/>
      <c r="I338" s="149"/>
    </row>
    <row r="339" spans="8:9" ht="12.75">
      <c r="H339" s="149"/>
      <c r="I339" s="149"/>
    </row>
    <row r="340" spans="8:9" ht="12.75">
      <c r="H340" s="149"/>
      <c r="I340" s="149"/>
    </row>
    <row r="341" spans="8:9" ht="12.75">
      <c r="H341" s="149"/>
      <c r="I341" s="149"/>
    </row>
    <row r="342" spans="8:9" ht="12.75">
      <c r="H342" s="149"/>
      <c r="I342" s="149"/>
    </row>
    <row r="343" spans="8:9" ht="12.75">
      <c r="H343" s="149"/>
      <c r="I343" s="149"/>
    </row>
    <row r="344" spans="8:9" ht="12.75">
      <c r="H344" s="149"/>
      <c r="I344" s="149"/>
    </row>
    <row r="345" spans="8:9" ht="12.75">
      <c r="H345" s="149"/>
      <c r="I345" s="149"/>
    </row>
    <row r="346" spans="8:9" ht="12.75">
      <c r="H346" s="149"/>
      <c r="I346" s="149"/>
    </row>
    <row r="347" spans="8:9" ht="12.75">
      <c r="H347" s="149"/>
      <c r="I347" s="149"/>
    </row>
    <row r="348" spans="8:9" ht="12.75">
      <c r="H348" s="149"/>
      <c r="I348" s="149"/>
    </row>
    <row r="349" spans="8:9" ht="12.75">
      <c r="H349" s="149"/>
      <c r="I349" s="149"/>
    </row>
    <row r="350" spans="8:9" ht="12.75">
      <c r="H350" s="149"/>
      <c r="I350" s="149"/>
    </row>
    <row r="351" spans="8:9" ht="12.75">
      <c r="H351" s="149"/>
      <c r="I351" s="149"/>
    </row>
    <row r="352" spans="8:9" ht="12.75">
      <c r="H352" s="149"/>
      <c r="I352" s="149"/>
    </row>
  </sheetData>
  <mergeCells count="2">
    <mergeCell ref="B9:I9"/>
    <mergeCell ref="B10:I10"/>
  </mergeCells>
  <printOptions horizontalCentered="1" verticalCentered="1"/>
  <pageMargins left="0.25" right="0.25" top="0.25" bottom="0.25" header="0" footer="0.5"/>
  <pageSetup fitToHeight="1" fitToWidth="1" horizontalDpi="600" verticalDpi="600" orientation="portrait" scale="62" r:id="rId1"/>
  <rowBreaks count="2" manualBreakCount="2">
    <brk id="49" max="9" man="1"/>
    <brk id="74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9:J241"/>
  <sheetViews>
    <sheetView showGridLines="0" zoomScale="75" zoomScaleNormal="75" workbookViewId="0" topLeftCell="I9">
      <pane ySplit="8" topLeftCell="BM17" activePane="bottomLeft" state="frozen"/>
      <selection pane="topLeft" activeCell="F10" sqref="F10"/>
      <selection pane="bottomLeft" activeCell="L16" sqref="L16"/>
    </sheetView>
  </sheetViews>
  <sheetFormatPr defaultColWidth="9.140625" defaultRowHeight="12.75"/>
  <cols>
    <col min="1" max="1" width="1.8515625" style="0" customWidth="1"/>
    <col min="2" max="2" width="50.57421875" style="0" customWidth="1"/>
    <col min="3" max="3" width="8.8515625" style="0" customWidth="1"/>
    <col min="4" max="4" width="9.7109375" style="0" customWidth="1"/>
    <col min="5" max="5" width="11.00390625" style="0" customWidth="1"/>
    <col min="6" max="6" width="12.140625" style="0" customWidth="1"/>
    <col min="7" max="7" width="10.57421875" style="117" customWidth="1"/>
    <col min="8" max="8" width="10.421875" style="0" customWidth="1"/>
    <col min="9" max="9" width="15.00390625" style="0" customWidth="1"/>
    <col min="10" max="10" width="14.140625" style="0" customWidth="1"/>
    <col min="11" max="11" width="2.7109375" style="0" customWidth="1"/>
  </cols>
  <sheetData>
    <row r="9" spans="2:10" ht="12.75">
      <c r="B9" s="556" t="s">
        <v>312</v>
      </c>
      <c r="C9" s="556"/>
      <c r="D9" s="556"/>
      <c r="E9" s="556"/>
      <c r="F9" s="556"/>
      <c r="G9" s="556"/>
      <c r="H9" s="556"/>
      <c r="I9" s="556"/>
      <c r="J9" s="556"/>
    </row>
    <row r="10" spans="2:10" ht="12.75">
      <c r="B10" s="623" t="s">
        <v>254</v>
      </c>
      <c r="C10" s="623"/>
      <c r="D10" s="623"/>
      <c r="E10" s="623"/>
      <c r="F10" s="623"/>
      <c r="G10" s="623"/>
      <c r="H10" s="623"/>
      <c r="I10" s="623"/>
      <c r="J10" s="623"/>
    </row>
    <row r="11" spans="2:10" ht="13.5" thickBot="1">
      <c r="B11" s="4"/>
      <c r="C11" s="7"/>
      <c r="D11" s="8"/>
      <c r="E11" s="8"/>
      <c r="F11" s="8"/>
      <c r="G11" s="16"/>
      <c r="H11" s="7"/>
      <c r="I11" s="7"/>
      <c r="J11" s="9"/>
    </row>
    <row r="12" spans="2:10" ht="9" customHeight="1">
      <c r="B12" s="186"/>
      <c r="C12" s="187"/>
      <c r="D12" s="188"/>
      <c r="E12" s="188"/>
      <c r="F12" s="188"/>
      <c r="G12" s="189"/>
      <c r="H12" s="189"/>
      <c r="I12" s="189"/>
      <c r="J12" s="190"/>
    </row>
    <row r="13" spans="2:10" ht="12.75">
      <c r="B13" s="152"/>
      <c r="C13" s="191" t="s">
        <v>55</v>
      </c>
      <c r="D13" s="192" t="s">
        <v>3</v>
      </c>
      <c r="E13" s="192" t="s">
        <v>248</v>
      </c>
      <c r="F13" s="192" t="s">
        <v>244</v>
      </c>
      <c r="G13" s="153" t="s">
        <v>44</v>
      </c>
      <c r="H13" s="154" t="s">
        <v>6</v>
      </c>
      <c r="I13" s="154" t="s">
        <v>55</v>
      </c>
      <c r="J13" s="155" t="s">
        <v>250</v>
      </c>
    </row>
    <row r="14" spans="2:10" ht="12.75">
      <c r="B14" s="152"/>
      <c r="C14" s="193" t="s">
        <v>241</v>
      </c>
      <c r="D14" s="194" t="s">
        <v>4</v>
      </c>
      <c r="E14" s="194" t="s">
        <v>70</v>
      </c>
      <c r="F14" s="194" t="s">
        <v>245</v>
      </c>
      <c r="G14" s="153" t="s">
        <v>72</v>
      </c>
      <c r="H14" s="154" t="s">
        <v>71</v>
      </c>
      <c r="I14" s="154" t="s">
        <v>70</v>
      </c>
      <c r="J14" s="155" t="s">
        <v>249</v>
      </c>
    </row>
    <row r="15" spans="2:10" ht="12.75">
      <c r="B15" s="156" t="s">
        <v>7</v>
      </c>
      <c r="C15" s="193" t="s">
        <v>240</v>
      </c>
      <c r="D15" s="195" t="s">
        <v>8</v>
      </c>
      <c r="E15" s="157" t="s">
        <v>56</v>
      </c>
      <c r="F15" s="157" t="s">
        <v>56</v>
      </c>
      <c r="G15" s="153" t="s">
        <v>9</v>
      </c>
      <c r="H15" s="157" t="s">
        <v>56</v>
      </c>
      <c r="I15" s="157" t="s">
        <v>56</v>
      </c>
      <c r="J15" s="158" t="s">
        <v>56</v>
      </c>
    </row>
    <row r="16" spans="2:10" ht="13.5" thickBot="1">
      <c r="B16" s="159" t="s">
        <v>10</v>
      </c>
      <c r="C16" s="196" t="s">
        <v>11</v>
      </c>
      <c r="D16" s="197" t="s">
        <v>12</v>
      </c>
      <c r="E16" s="197" t="s">
        <v>12</v>
      </c>
      <c r="F16" s="197" t="s">
        <v>246</v>
      </c>
      <c r="G16" s="160" t="s">
        <v>73</v>
      </c>
      <c r="H16" s="161" t="s">
        <v>13</v>
      </c>
      <c r="I16" s="161" t="s">
        <v>13</v>
      </c>
      <c r="J16" s="162" t="s">
        <v>13</v>
      </c>
    </row>
    <row r="17" spans="2:10" ht="13.5" thickBot="1">
      <c r="B17" s="260" t="s">
        <v>26</v>
      </c>
      <c r="C17" s="261"/>
      <c r="D17" s="300"/>
      <c r="E17" s="300"/>
      <c r="F17" s="300"/>
      <c r="G17" s="301"/>
      <c r="H17" s="264"/>
      <c r="I17" s="264"/>
      <c r="J17" s="265"/>
    </row>
    <row r="18" spans="2:10" ht="12.75">
      <c r="B18" s="266" t="s">
        <v>27</v>
      </c>
      <c r="C18" s="267"/>
      <c r="D18" s="302"/>
      <c r="E18" s="302"/>
      <c r="F18" s="302"/>
      <c r="G18" s="243"/>
      <c r="H18" s="269"/>
      <c r="I18" s="269"/>
      <c r="J18" s="270"/>
    </row>
    <row r="19" spans="2:10" ht="12.75">
      <c r="B19" s="212" t="s">
        <v>0</v>
      </c>
      <c r="C19" s="213"/>
      <c r="D19" s="303"/>
      <c r="E19" s="303"/>
      <c r="F19" s="303"/>
      <c r="G19" s="215"/>
      <c r="H19" s="216"/>
      <c r="I19" s="216"/>
      <c r="J19" s="217"/>
    </row>
    <row r="20" spans="2:10" ht="12.75" customHeight="1">
      <c r="B20" s="218" t="s">
        <v>243</v>
      </c>
      <c r="C20" s="224">
        <v>12</v>
      </c>
      <c r="D20" s="220">
        <v>0</v>
      </c>
      <c r="E20" s="221">
        <v>0.045</v>
      </c>
      <c r="F20" s="423">
        <f>'Inv. Summary'!E4</f>
        <v>86</v>
      </c>
      <c r="G20" s="223">
        <f>'Total (Sched)'!M5</f>
        <v>749.6299999999999</v>
      </c>
      <c r="H20" s="224">
        <f>C20*G20</f>
        <v>8995.559999999998</v>
      </c>
      <c r="I20" s="225">
        <f>H20*$C$15</f>
        <v>216163.30679999996</v>
      </c>
      <c r="J20" s="226">
        <f>E20*F20*G20</f>
        <v>2901.0680999999995</v>
      </c>
    </row>
    <row r="21" spans="2:10" ht="12.75" customHeight="1">
      <c r="B21" s="218" t="s">
        <v>28</v>
      </c>
      <c r="C21" s="224">
        <v>12</v>
      </c>
      <c r="D21" s="220">
        <v>0</v>
      </c>
      <c r="E21" s="221">
        <v>0</v>
      </c>
      <c r="F21" s="423">
        <f>'Inv. Summary'!E5</f>
        <v>505</v>
      </c>
      <c r="G21" s="223">
        <f>'Total (Sched)'!M6</f>
        <v>294.52</v>
      </c>
      <c r="H21" s="224">
        <f>C21*G21</f>
        <v>3534.24</v>
      </c>
      <c r="I21" s="225">
        <f aca="true" t="shared" si="0" ref="I21:I36">H21*$C$15</f>
        <v>84927.78719999999</v>
      </c>
      <c r="J21" s="226">
        <f aca="true" t="shared" si="1" ref="J21:J36">E21*F21*G21</f>
        <v>0</v>
      </c>
    </row>
    <row r="22" spans="2:10" ht="12.75" customHeight="1">
      <c r="B22" s="227" t="s">
        <v>29</v>
      </c>
      <c r="C22" s="304">
        <v>12</v>
      </c>
      <c r="D22" s="305">
        <v>0</v>
      </c>
      <c r="E22" s="306">
        <v>0</v>
      </c>
      <c r="F22" s="423">
        <f>'Inv. Summary'!E6</f>
        <v>1958</v>
      </c>
      <c r="G22" s="223">
        <f>'Total (Sched)'!M7</f>
        <v>44.31</v>
      </c>
      <c r="H22" s="224">
        <f>C22*G22</f>
        <v>531.72</v>
      </c>
      <c r="I22" s="225">
        <f t="shared" si="0"/>
        <v>12777.231600000001</v>
      </c>
      <c r="J22" s="226">
        <f t="shared" si="1"/>
        <v>0</v>
      </c>
    </row>
    <row r="23" spans="2:10" ht="12.75" customHeight="1">
      <c r="B23" s="231" t="s">
        <v>65</v>
      </c>
      <c r="C23" s="308">
        <v>12</v>
      </c>
      <c r="D23" s="305">
        <v>0</v>
      </c>
      <c r="E23" s="306">
        <v>0</v>
      </c>
      <c r="F23" s="423">
        <f>'Inv. Summary'!E7</f>
        <v>8619</v>
      </c>
      <c r="G23" s="223">
        <f>'Total (Sched)'!M8</f>
        <v>29.639999999999997</v>
      </c>
      <c r="H23" s="224">
        <f>C23*G23</f>
        <v>355.67999999999995</v>
      </c>
      <c r="I23" s="225">
        <f t="shared" si="0"/>
        <v>8546.990399999999</v>
      </c>
      <c r="J23" s="226">
        <f t="shared" si="1"/>
        <v>0</v>
      </c>
    </row>
    <row r="24" spans="2:10" ht="12.75" customHeight="1">
      <c r="B24" s="272" t="s">
        <v>30</v>
      </c>
      <c r="C24" s="309">
        <v>12</v>
      </c>
      <c r="D24" s="310">
        <v>0</v>
      </c>
      <c r="E24" s="310">
        <v>0</v>
      </c>
      <c r="F24" s="423">
        <f>'Inv. Summary'!E8</f>
        <v>110258</v>
      </c>
      <c r="G24" s="223">
        <f>'Total (Sched)'!M9</f>
        <v>8.095107207241762</v>
      </c>
      <c r="H24" s="224">
        <f>C24*G24</f>
        <v>97.14128648690115</v>
      </c>
      <c r="I24" s="225">
        <f t="shared" si="0"/>
        <v>2334.3051142802346</v>
      </c>
      <c r="J24" s="226">
        <f t="shared" si="1"/>
        <v>0</v>
      </c>
    </row>
    <row r="25" spans="2:10" ht="12.75" customHeight="1">
      <c r="B25" s="212" t="s">
        <v>2</v>
      </c>
      <c r="C25" s="235"/>
      <c r="D25" s="312"/>
      <c r="E25" s="312"/>
      <c r="F25" s="312"/>
      <c r="G25" s="215"/>
      <c r="H25" s="313"/>
      <c r="I25" s="313"/>
      <c r="J25" s="314"/>
    </row>
    <row r="26" spans="2:10" ht="12.75" customHeight="1">
      <c r="B26" s="218" t="s">
        <v>243</v>
      </c>
      <c r="C26" s="224">
        <v>12</v>
      </c>
      <c r="D26" s="220">
        <v>0</v>
      </c>
      <c r="E26" s="221">
        <v>0.045</v>
      </c>
      <c r="F26" s="423">
        <f>'Inv. Summary'!E10</f>
        <v>7</v>
      </c>
      <c r="G26" s="223">
        <f>'Total (Sched)'!M11</f>
        <v>211.38999999999996</v>
      </c>
      <c r="H26" s="224">
        <f>C26*G26</f>
        <v>2536.6799999999994</v>
      </c>
      <c r="I26" s="225">
        <f t="shared" si="0"/>
        <v>60956.42039999999</v>
      </c>
      <c r="J26" s="226">
        <f t="shared" si="1"/>
        <v>66.58784999999999</v>
      </c>
    </row>
    <row r="27" spans="2:10" ht="12.75" customHeight="1">
      <c r="B27" s="218" t="s">
        <v>47</v>
      </c>
      <c r="C27" s="224">
        <v>12</v>
      </c>
      <c r="D27" s="220">
        <v>0</v>
      </c>
      <c r="E27" s="221">
        <v>0</v>
      </c>
      <c r="F27" s="423">
        <f>'Inv. Summary'!E11</f>
        <v>31</v>
      </c>
      <c r="G27" s="223">
        <f>'Total (Sched)'!M12</f>
        <v>37.05999999999999</v>
      </c>
      <c r="H27" s="224">
        <f>C27*G27</f>
        <v>444.71999999999986</v>
      </c>
      <c r="I27" s="225">
        <f t="shared" si="0"/>
        <v>10686.621599999997</v>
      </c>
      <c r="J27" s="226">
        <f t="shared" si="1"/>
        <v>0</v>
      </c>
    </row>
    <row r="28" spans="2:10" ht="12.75" customHeight="1">
      <c r="B28" s="227" t="s">
        <v>45</v>
      </c>
      <c r="C28" s="304">
        <v>12</v>
      </c>
      <c r="D28" s="305">
        <v>0</v>
      </c>
      <c r="E28" s="306">
        <v>0</v>
      </c>
      <c r="F28" s="423">
        <f>'Inv. Summary'!E12</f>
        <v>147</v>
      </c>
      <c r="G28" s="223">
        <f>'Total (Sched)'!M13</f>
        <v>2.0699999999999994</v>
      </c>
      <c r="H28" s="224">
        <f>C28*G28</f>
        <v>24.839999999999993</v>
      </c>
      <c r="I28" s="225">
        <f t="shared" si="0"/>
        <v>596.9051999999998</v>
      </c>
      <c r="J28" s="226">
        <f t="shared" si="1"/>
        <v>0</v>
      </c>
    </row>
    <row r="29" spans="2:10" ht="12.75" customHeight="1">
      <c r="B29" s="231" t="s">
        <v>66</v>
      </c>
      <c r="C29" s="308">
        <v>12</v>
      </c>
      <c r="D29" s="305">
        <v>0</v>
      </c>
      <c r="E29" s="306">
        <v>0</v>
      </c>
      <c r="F29" s="423">
        <f>'Inv. Summary'!E13</f>
        <v>152</v>
      </c>
      <c r="G29" s="223">
        <f>'Total (Sched)'!M14</f>
        <v>0.025293237697058032</v>
      </c>
      <c r="H29" s="224">
        <f>C29*G29</f>
        <v>0.3035188523646964</v>
      </c>
      <c r="I29" s="225">
        <f t="shared" si="0"/>
        <v>7.293558022323655</v>
      </c>
      <c r="J29" s="226">
        <f t="shared" si="1"/>
        <v>0</v>
      </c>
    </row>
    <row r="30" spans="2:10" ht="12.75" customHeight="1">
      <c r="B30" s="231" t="s">
        <v>46</v>
      </c>
      <c r="C30" s="308">
        <v>12</v>
      </c>
      <c r="D30" s="305">
        <v>0</v>
      </c>
      <c r="E30" s="315">
        <v>0</v>
      </c>
      <c r="F30" s="423">
        <f>'Inv. Summary'!E14</f>
        <v>32</v>
      </c>
      <c r="G30" s="223">
        <f>'Total (Sched)'!M15</f>
        <v>0</v>
      </c>
      <c r="H30" s="224">
        <f>C30*G30</f>
        <v>0</v>
      </c>
      <c r="I30" s="225">
        <f t="shared" si="0"/>
        <v>0</v>
      </c>
      <c r="J30" s="226">
        <f t="shared" si="1"/>
        <v>0</v>
      </c>
    </row>
    <row r="31" spans="2:10" ht="12.75" customHeight="1">
      <c r="B31" s="212" t="s">
        <v>124</v>
      </c>
      <c r="C31" s="235"/>
      <c r="D31" s="312"/>
      <c r="E31" s="312"/>
      <c r="F31" s="312"/>
      <c r="G31" s="215"/>
      <c r="H31" s="235"/>
      <c r="I31" s="235"/>
      <c r="J31" s="314"/>
    </row>
    <row r="32" spans="2:10" ht="12.75" customHeight="1">
      <c r="B32" s="218" t="s">
        <v>243</v>
      </c>
      <c r="C32" s="224">
        <v>12</v>
      </c>
      <c r="D32" s="220">
        <v>0</v>
      </c>
      <c r="E32" s="221">
        <v>0.045</v>
      </c>
      <c r="F32" s="503">
        <f>'Inv. Summary'!E16</f>
        <v>7</v>
      </c>
      <c r="G32" s="223">
        <f>'Total (Sched)'!M17</f>
        <v>741.89</v>
      </c>
      <c r="H32" s="224">
        <f>C32*G32</f>
        <v>8902.68</v>
      </c>
      <c r="I32" s="225">
        <f t="shared" si="0"/>
        <v>213931.4004</v>
      </c>
      <c r="J32" s="226">
        <f t="shared" si="1"/>
        <v>233.69535</v>
      </c>
    </row>
    <row r="33" spans="2:10" ht="12.75" customHeight="1">
      <c r="B33" s="218" t="s">
        <v>47</v>
      </c>
      <c r="C33" s="224">
        <v>12</v>
      </c>
      <c r="D33" s="220">
        <v>0</v>
      </c>
      <c r="E33" s="221">
        <v>0</v>
      </c>
      <c r="F33" s="503">
        <f>'Inv. Summary'!E17</f>
        <v>32</v>
      </c>
      <c r="G33" s="223">
        <f>'Total (Sched)'!M18</f>
        <v>18.17</v>
      </c>
      <c r="H33" s="224">
        <f>C33*G33</f>
        <v>218.04000000000002</v>
      </c>
      <c r="I33" s="225">
        <f t="shared" si="0"/>
        <v>5239.501200000001</v>
      </c>
      <c r="J33" s="226">
        <f t="shared" si="1"/>
        <v>0</v>
      </c>
    </row>
    <row r="34" spans="2:10" ht="12.75" customHeight="1">
      <c r="B34" s="227" t="s">
        <v>45</v>
      </c>
      <c r="C34" s="304">
        <v>12</v>
      </c>
      <c r="D34" s="305">
        <v>0</v>
      </c>
      <c r="E34" s="306">
        <v>0</v>
      </c>
      <c r="F34" s="503">
        <f>'Inv. Summary'!E18</f>
        <v>38</v>
      </c>
      <c r="G34" s="223">
        <f>'Total (Sched)'!M19</f>
        <v>2.2299999999999995</v>
      </c>
      <c r="H34" s="224">
        <f>C34*G34</f>
        <v>26.759999999999994</v>
      </c>
      <c r="I34" s="225">
        <f t="shared" si="0"/>
        <v>643.0427999999999</v>
      </c>
      <c r="J34" s="226">
        <f t="shared" si="1"/>
        <v>0</v>
      </c>
    </row>
    <row r="35" spans="2:10" ht="12.75" customHeight="1">
      <c r="B35" s="231" t="s">
        <v>66</v>
      </c>
      <c r="C35" s="308">
        <v>12</v>
      </c>
      <c r="D35" s="305">
        <v>0</v>
      </c>
      <c r="E35" s="306">
        <v>0</v>
      </c>
      <c r="F35" s="503">
        <f>'Inv. Summary'!E19</f>
        <v>7</v>
      </c>
      <c r="G35" s="223">
        <f>'Total (Sched)'!M20</f>
        <v>1.2697537493767026</v>
      </c>
      <c r="H35" s="224">
        <f>C35*G35</f>
        <v>15.237044992520431</v>
      </c>
      <c r="I35" s="225">
        <f t="shared" si="0"/>
        <v>366.146191170266</v>
      </c>
      <c r="J35" s="226">
        <f t="shared" si="1"/>
        <v>0</v>
      </c>
    </row>
    <row r="36" spans="2:10" ht="12.75" customHeight="1" thickBot="1">
      <c r="B36" s="316" t="s">
        <v>46</v>
      </c>
      <c r="C36" s="317">
        <v>12</v>
      </c>
      <c r="D36" s="318">
        <v>0</v>
      </c>
      <c r="E36" s="318">
        <v>0</v>
      </c>
      <c r="F36" s="503">
        <f>'Inv. Summary'!E20</f>
        <v>59</v>
      </c>
      <c r="G36" s="223">
        <f>'Total (Sched)'!M21</f>
        <v>0</v>
      </c>
      <c r="H36" s="319">
        <f>C36*G36</f>
        <v>0</v>
      </c>
      <c r="I36" s="320">
        <f t="shared" si="0"/>
        <v>0</v>
      </c>
      <c r="J36" s="230">
        <f t="shared" si="1"/>
        <v>0</v>
      </c>
    </row>
    <row r="37" spans="2:10" ht="12.75" customHeight="1">
      <c r="B37" s="260" t="s">
        <v>31</v>
      </c>
      <c r="C37" s="274"/>
      <c r="D37" s="321"/>
      <c r="E37" s="321"/>
      <c r="F37" s="321"/>
      <c r="G37" s="209"/>
      <c r="H37" s="274"/>
      <c r="I37" s="274"/>
      <c r="J37" s="322"/>
    </row>
    <row r="38" spans="2:10" ht="12.75" customHeight="1">
      <c r="B38" s="212" t="s">
        <v>0</v>
      </c>
      <c r="C38" s="235"/>
      <c r="D38" s="312"/>
      <c r="E38" s="312"/>
      <c r="F38" s="312"/>
      <c r="G38" s="215"/>
      <c r="H38" s="235"/>
      <c r="I38" s="235"/>
      <c r="J38" s="314"/>
    </row>
    <row r="39" spans="2:10" ht="12.75" customHeight="1">
      <c r="B39" s="218" t="s">
        <v>243</v>
      </c>
      <c r="C39" s="224">
        <v>9</v>
      </c>
      <c r="D39" s="220">
        <v>0</v>
      </c>
      <c r="E39" s="221">
        <v>0.045</v>
      </c>
      <c r="F39" s="271">
        <f>F20</f>
        <v>86</v>
      </c>
      <c r="G39" s="223">
        <f>'Total (Sched)'!N5</f>
        <v>5946.693204105501</v>
      </c>
      <c r="H39" s="224">
        <f>C39*G39</f>
        <v>53520.2388369495</v>
      </c>
      <c r="I39" s="225">
        <f aca="true" t="shared" si="2" ref="I39:I55">H39*$C$15</f>
        <v>1286091.3392518966</v>
      </c>
      <c r="J39" s="226">
        <f aca="true" t="shared" si="3" ref="J39:J55">E39*F39*G39</f>
        <v>23013.702699888287</v>
      </c>
    </row>
    <row r="40" spans="2:10" ht="12.75" customHeight="1">
      <c r="B40" s="218" t="s">
        <v>50</v>
      </c>
      <c r="C40" s="224">
        <v>30</v>
      </c>
      <c r="D40" s="220">
        <v>0</v>
      </c>
      <c r="E40" s="221">
        <f>0.045+(0.34/2)</f>
        <v>0.21500000000000002</v>
      </c>
      <c r="F40" s="271">
        <f aca="true" t="shared" si="4" ref="F40:F55">F21</f>
        <v>505</v>
      </c>
      <c r="G40" s="223">
        <f>'Total (Sched)'!N6</f>
        <v>2255.056520827405</v>
      </c>
      <c r="H40" s="224">
        <f>C40*G40</f>
        <v>67651.69562482215</v>
      </c>
      <c r="I40" s="225">
        <f t="shared" si="2"/>
        <v>1625670.2458644765</v>
      </c>
      <c r="J40" s="226">
        <f t="shared" si="3"/>
        <v>244842.76174883556</v>
      </c>
    </row>
    <row r="41" spans="2:10" ht="12.75" customHeight="1">
      <c r="B41" s="227" t="s">
        <v>51</v>
      </c>
      <c r="C41" s="304">
        <v>30</v>
      </c>
      <c r="D41" s="305">
        <v>0</v>
      </c>
      <c r="E41" s="221">
        <f>0.045+(0.34/2)</f>
        <v>0.21500000000000002</v>
      </c>
      <c r="F41" s="307">
        <f t="shared" si="4"/>
        <v>1958</v>
      </c>
      <c r="G41" s="223">
        <f>'Total (Sched)'!N7</f>
        <v>682.318282812119</v>
      </c>
      <c r="H41" s="224">
        <f>C41*G41</f>
        <v>20469.54848436357</v>
      </c>
      <c r="I41" s="225">
        <f t="shared" si="2"/>
        <v>491883.25007925666</v>
      </c>
      <c r="J41" s="226">
        <f t="shared" si="3"/>
        <v>287235.5275154178</v>
      </c>
    </row>
    <row r="42" spans="2:10" ht="12.75" customHeight="1">
      <c r="B42" s="231" t="s">
        <v>67</v>
      </c>
      <c r="C42" s="308">
        <v>30</v>
      </c>
      <c r="D42" s="305">
        <v>0</v>
      </c>
      <c r="E42" s="221">
        <f>0.02+(0.34/2)</f>
        <v>0.19</v>
      </c>
      <c r="F42" s="307">
        <f t="shared" si="4"/>
        <v>8619</v>
      </c>
      <c r="G42" s="223">
        <f>'Total (Sched)'!N8</f>
        <v>793.1465264</v>
      </c>
      <c r="H42" s="224">
        <f>C42*G42</f>
        <v>23794.395792</v>
      </c>
      <c r="I42" s="225">
        <f t="shared" si="2"/>
        <v>571779.33088176</v>
      </c>
      <c r="J42" s="226">
        <f t="shared" si="3"/>
        <v>1298864.683097904</v>
      </c>
    </row>
    <row r="43" spans="2:10" ht="12.75" customHeight="1">
      <c r="B43" s="272" t="s">
        <v>52</v>
      </c>
      <c r="C43" s="309">
        <v>30</v>
      </c>
      <c r="D43" s="310">
        <v>0</v>
      </c>
      <c r="E43" s="221">
        <f>0.02+(0.34/2)</f>
        <v>0.19</v>
      </c>
      <c r="F43" s="311">
        <f t="shared" si="4"/>
        <v>110258</v>
      </c>
      <c r="G43" s="223">
        <f>'Total (Sched)'!N9</f>
        <v>88.36871298774324</v>
      </c>
      <c r="H43" s="224">
        <f>C43*G43</f>
        <v>2651.061389632297</v>
      </c>
      <c r="I43" s="225">
        <f t="shared" si="2"/>
        <v>63705.005192864104</v>
      </c>
      <c r="J43" s="226">
        <f t="shared" si="3"/>
        <v>1851237.9357544929</v>
      </c>
    </row>
    <row r="44" spans="2:10" ht="12.75" customHeight="1">
      <c r="B44" s="212" t="s">
        <v>2</v>
      </c>
      <c r="C44" s="235"/>
      <c r="D44" s="312"/>
      <c r="E44" s="312"/>
      <c r="F44" s="312"/>
      <c r="G44" s="215"/>
      <c r="H44" s="313"/>
      <c r="I44" s="313"/>
      <c r="J44" s="314"/>
    </row>
    <row r="45" spans="2:10" ht="12.75" customHeight="1">
      <c r="B45" s="218" t="s">
        <v>243</v>
      </c>
      <c r="C45" s="224">
        <v>9</v>
      </c>
      <c r="D45" s="220">
        <v>0</v>
      </c>
      <c r="E45" s="221">
        <v>0.045</v>
      </c>
      <c r="F45" s="423">
        <f t="shared" si="4"/>
        <v>7</v>
      </c>
      <c r="G45" s="223">
        <f>'Total (Sched)'!N11</f>
        <v>2450.879694927372</v>
      </c>
      <c r="H45" s="224">
        <f>C45*G45</f>
        <v>22057.917254346346</v>
      </c>
      <c r="I45" s="225">
        <f t="shared" si="2"/>
        <v>530051.7516219427</v>
      </c>
      <c r="J45" s="226">
        <f t="shared" si="3"/>
        <v>772.0271039021221</v>
      </c>
    </row>
    <row r="46" spans="2:10" ht="12.75" customHeight="1">
      <c r="B46" s="218" t="s">
        <v>57</v>
      </c>
      <c r="C46" s="224">
        <v>9</v>
      </c>
      <c r="D46" s="220">
        <v>0</v>
      </c>
      <c r="E46" s="221">
        <v>0.045</v>
      </c>
      <c r="F46" s="423">
        <f t="shared" si="4"/>
        <v>31</v>
      </c>
      <c r="G46" s="223">
        <f>'Total (Sched)'!N12</f>
        <v>364.49842548420577</v>
      </c>
      <c r="H46" s="224">
        <f>C46*G46</f>
        <v>3280.485829357852</v>
      </c>
      <c r="I46" s="225">
        <f t="shared" si="2"/>
        <v>78830.07447946919</v>
      </c>
      <c r="J46" s="226">
        <f t="shared" si="3"/>
        <v>508.47530355046706</v>
      </c>
    </row>
    <row r="47" spans="2:10" ht="12.75" customHeight="1">
      <c r="B47" s="227" t="s">
        <v>58</v>
      </c>
      <c r="C47" s="304">
        <v>9</v>
      </c>
      <c r="D47" s="305">
        <v>0</v>
      </c>
      <c r="E47" s="221">
        <v>0.045</v>
      </c>
      <c r="F47" s="423">
        <f t="shared" si="4"/>
        <v>147</v>
      </c>
      <c r="G47" s="223">
        <f>'Total (Sched)'!N13</f>
        <v>14.00228987777396</v>
      </c>
      <c r="H47" s="224">
        <f>C47*G47</f>
        <v>126.02060889996564</v>
      </c>
      <c r="I47" s="225">
        <f t="shared" si="2"/>
        <v>3028.275231866174</v>
      </c>
      <c r="J47" s="226">
        <f t="shared" si="3"/>
        <v>92.62514754147473</v>
      </c>
    </row>
    <row r="48" spans="2:10" ht="12.75" customHeight="1">
      <c r="B48" s="231" t="s">
        <v>68</v>
      </c>
      <c r="C48" s="308">
        <v>9</v>
      </c>
      <c r="D48" s="305">
        <v>0</v>
      </c>
      <c r="E48" s="306">
        <v>0.02</v>
      </c>
      <c r="F48" s="423">
        <f t="shared" si="4"/>
        <v>152</v>
      </c>
      <c r="G48" s="223">
        <f>'Total (Sched)'!N14</f>
        <v>5.07498392739011</v>
      </c>
      <c r="H48" s="224">
        <f>C48*G48</f>
        <v>45.67485534651099</v>
      </c>
      <c r="I48" s="225">
        <f t="shared" si="2"/>
        <v>1097.566773976659</v>
      </c>
      <c r="J48" s="226">
        <f t="shared" si="3"/>
        <v>15.427951139265934</v>
      </c>
    </row>
    <row r="49" spans="2:10" ht="12.75" customHeight="1">
      <c r="B49" s="231" t="s">
        <v>59</v>
      </c>
      <c r="C49" s="308">
        <v>9</v>
      </c>
      <c r="D49" s="305">
        <v>0</v>
      </c>
      <c r="E49" s="315">
        <v>0.02</v>
      </c>
      <c r="F49" s="423">
        <f t="shared" si="4"/>
        <v>32</v>
      </c>
      <c r="G49" s="223">
        <f>'Total (Sched)'!N15</f>
        <v>0.12500629391571105</v>
      </c>
      <c r="H49" s="224">
        <f>C49*G49</f>
        <v>1.1250566452413995</v>
      </c>
      <c r="I49" s="225">
        <f t="shared" si="2"/>
        <v>27.035111185150832</v>
      </c>
      <c r="J49" s="226">
        <f t="shared" si="3"/>
        <v>0.08000402810605507</v>
      </c>
    </row>
    <row r="50" spans="2:10" ht="12.75" customHeight="1">
      <c r="B50" s="212" t="s">
        <v>124</v>
      </c>
      <c r="C50" s="235"/>
      <c r="D50" s="312"/>
      <c r="E50" s="312"/>
      <c r="F50" s="312"/>
      <c r="G50" s="215"/>
      <c r="H50" s="235"/>
      <c r="I50" s="235"/>
      <c r="J50" s="314"/>
    </row>
    <row r="51" spans="2:10" ht="12.75" customHeight="1">
      <c r="B51" s="218" t="s">
        <v>243</v>
      </c>
      <c r="C51" s="224">
        <v>9</v>
      </c>
      <c r="D51" s="220">
        <v>0</v>
      </c>
      <c r="E51" s="221">
        <v>0.045</v>
      </c>
      <c r="F51" s="503">
        <f t="shared" si="4"/>
        <v>7</v>
      </c>
      <c r="G51" s="223">
        <f>'Total (Sched)'!N17</f>
        <v>4972.1368649999995</v>
      </c>
      <c r="H51" s="224">
        <f>C51*G51</f>
        <v>44749.231784999996</v>
      </c>
      <c r="I51" s="225">
        <f t="shared" si="2"/>
        <v>1075324.03979355</v>
      </c>
      <c r="J51" s="226">
        <f t="shared" si="3"/>
        <v>1566.2231124749999</v>
      </c>
    </row>
    <row r="52" spans="2:10" ht="12.75" customHeight="1">
      <c r="B52" s="218" t="s">
        <v>57</v>
      </c>
      <c r="C52" s="224">
        <v>9</v>
      </c>
      <c r="D52" s="220">
        <v>0</v>
      </c>
      <c r="E52" s="221">
        <v>0.045</v>
      </c>
      <c r="F52" s="503">
        <f t="shared" si="4"/>
        <v>32</v>
      </c>
      <c r="G52" s="223">
        <f>'Total (Sched)'!N18</f>
        <v>139.334601</v>
      </c>
      <c r="H52" s="224">
        <f>C52*G52</f>
        <v>1254.011409</v>
      </c>
      <c r="I52" s="225">
        <f t="shared" si="2"/>
        <v>30133.89415827</v>
      </c>
      <c r="J52" s="226">
        <f t="shared" si="3"/>
        <v>200.64182544</v>
      </c>
    </row>
    <row r="53" spans="2:10" ht="12.75" customHeight="1">
      <c r="B53" s="227" t="s">
        <v>58</v>
      </c>
      <c r="C53" s="304">
        <v>9</v>
      </c>
      <c r="D53" s="305">
        <v>0</v>
      </c>
      <c r="E53" s="221">
        <v>0.045</v>
      </c>
      <c r="F53" s="503">
        <f t="shared" si="4"/>
        <v>38</v>
      </c>
      <c r="G53" s="223">
        <f>'Total (Sched)'!N19</f>
        <v>10.54594</v>
      </c>
      <c r="H53" s="224">
        <f>C53*G53</f>
        <v>94.91346</v>
      </c>
      <c r="I53" s="225">
        <f t="shared" si="2"/>
        <v>2280.7704438</v>
      </c>
      <c r="J53" s="226">
        <f t="shared" si="3"/>
        <v>18.0335574</v>
      </c>
    </row>
    <row r="54" spans="2:10" ht="12.75" customHeight="1">
      <c r="B54" s="231" t="s">
        <v>68</v>
      </c>
      <c r="C54" s="308">
        <v>9</v>
      </c>
      <c r="D54" s="305">
        <v>0</v>
      </c>
      <c r="E54" s="306">
        <v>0.02</v>
      </c>
      <c r="F54" s="503">
        <f t="shared" si="4"/>
        <v>7</v>
      </c>
      <c r="G54" s="223">
        <f>'Total (Sched)'!N20</f>
        <v>6.57870123815734</v>
      </c>
      <c r="H54" s="224">
        <f>C54*G54</f>
        <v>59.208311143416054</v>
      </c>
      <c r="I54" s="225">
        <f t="shared" si="2"/>
        <v>1422.775716776288</v>
      </c>
      <c r="J54" s="226">
        <f t="shared" si="3"/>
        <v>0.9210181733420276</v>
      </c>
    </row>
    <row r="55" spans="2:10" ht="12.75" customHeight="1" thickBot="1">
      <c r="B55" s="231" t="s">
        <v>59</v>
      </c>
      <c r="C55" s="309">
        <v>9</v>
      </c>
      <c r="D55" s="310">
        <v>0</v>
      </c>
      <c r="E55" s="306">
        <v>0.02</v>
      </c>
      <c r="F55" s="504">
        <f t="shared" si="4"/>
        <v>59</v>
      </c>
      <c r="G55" s="223">
        <f>'Total (Sched)'!N21</f>
        <v>0</v>
      </c>
      <c r="H55" s="224">
        <f>C55*G55</f>
        <v>0</v>
      </c>
      <c r="I55" s="225">
        <f t="shared" si="2"/>
        <v>0</v>
      </c>
      <c r="J55" s="226">
        <f t="shared" si="3"/>
        <v>0</v>
      </c>
    </row>
    <row r="56" spans="2:10" ht="12.75" customHeight="1">
      <c r="B56" s="266" t="s">
        <v>32</v>
      </c>
      <c r="C56" s="323"/>
      <c r="D56" s="324"/>
      <c r="E56" s="324"/>
      <c r="F56" s="324"/>
      <c r="G56" s="209"/>
      <c r="H56" s="323"/>
      <c r="I56" s="323"/>
      <c r="J56" s="322"/>
    </row>
    <row r="57" spans="2:10" ht="12.75" customHeight="1">
      <c r="B57" s="212" t="s">
        <v>0</v>
      </c>
      <c r="C57" s="235"/>
      <c r="D57" s="312"/>
      <c r="E57" s="312"/>
      <c r="F57" s="312"/>
      <c r="G57" s="215"/>
      <c r="H57" s="235"/>
      <c r="I57" s="235"/>
      <c r="J57" s="314"/>
    </row>
    <row r="58" spans="2:10" ht="12.75" customHeight="1">
      <c r="B58" s="218" t="s">
        <v>247</v>
      </c>
      <c r="C58" s="224">
        <v>9</v>
      </c>
      <c r="D58" s="220">
        <v>0</v>
      </c>
      <c r="E58" s="221">
        <v>0.045</v>
      </c>
      <c r="F58" s="271">
        <f>F39</f>
        <v>86</v>
      </c>
      <c r="G58" s="223">
        <f>'Total (Sched)'!O5</f>
        <v>10097.8302514</v>
      </c>
      <c r="H58" s="224">
        <f>C58*G58</f>
        <v>90880.4722626</v>
      </c>
      <c r="I58" s="225">
        <f aca="true" t="shared" si="5" ref="I58:I74">H58*$C$15</f>
        <v>2183857.748470278</v>
      </c>
      <c r="J58" s="226">
        <f aca="true" t="shared" si="6" ref="J58:J68">E58*F58*G58</f>
        <v>39078.603072918</v>
      </c>
    </row>
    <row r="59" spans="2:10" ht="12.75" customHeight="1">
      <c r="B59" s="218" t="s">
        <v>53</v>
      </c>
      <c r="C59" s="224">
        <v>5</v>
      </c>
      <c r="D59" s="220">
        <v>0</v>
      </c>
      <c r="E59" s="221">
        <f>(0.045*0.5)+(0.34*0.25)</f>
        <v>0.10750000000000001</v>
      </c>
      <c r="F59" s="271">
        <f aca="true" t="shared" si="7" ref="F59:F74">F40</f>
        <v>505</v>
      </c>
      <c r="G59" s="223">
        <f>'Total (Sched)'!O6</f>
        <v>2538.2724965999996</v>
      </c>
      <c r="H59" s="224">
        <f>C59*G59</f>
        <v>12691.362482999997</v>
      </c>
      <c r="I59" s="225">
        <f t="shared" si="5"/>
        <v>304973.44046648993</v>
      </c>
      <c r="J59" s="226">
        <f t="shared" si="6"/>
        <v>137796.4681591725</v>
      </c>
    </row>
    <row r="60" spans="2:10" ht="12.75" customHeight="1">
      <c r="B60" s="227" t="s">
        <v>54</v>
      </c>
      <c r="C60" s="304">
        <f>10/2</f>
        <v>5</v>
      </c>
      <c r="D60" s="305">
        <v>0</v>
      </c>
      <c r="E60" s="221">
        <f>(0.045*0.5)+(0.34*0.25)</f>
        <v>0.10750000000000001</v>
      </c>
      <c r="F60" s="307">
        <f t="shared" si="7"/>
        <v>1958</v>
      </c>
      <c r="G60" s="223">
        <f>'Total (Sched)'!O7</f>
        <v>707.1258819999999</v>
      </c>
      <c r="H60" s="224">
        <f>C60*G60</f>
        <v>3535.6294099999996</v>
      </c>
      <c r="I60" s="225">
        <f t="shared" si="5"/>
        <v>84961.1747223</v>
      </c>
      <c r="J60" s="226">
        <f t="shared" si="6"/>
        <v>148839.39127277</v>
      </c>
    </row>
    <row r="61" spans="2:10" ht="12.75" customHeight="1">
      <c r="B61" s="231" t="s">
        <v>69</v>
      </c>
      <c r="C61" s="308">
        <v>0</v>
      </c>
      <c r="D61" s="305">
        <v>0</v>
      </c>
      <c r="E61" s="306">
        <v>0</v>
      </c>
      <c r="F61" s="307">
        <f t="shared" si="7"/>
        <v>8619</v>
      </c>
      <c r="G61" s="223">
        <f>'Total (Sched)'!O8</f>
        <v>497.7312976</v>
      </c>
      <c r="H61" s="224">
        <f>C61*G61</f>
        <v>0</v>
      </c>
      <c r="I61" s="225">
        <f t="shared" si="5"/>
        <v>0</v>
      </c>
      <c r="J61" s="226">
        <f t="shared" si="6"/>
        <v>0</v>
      </c>
    </row>
    <row r="62" spans="2:10" ht="12.75" customHeight="1">
      <c r="B62" s="272" t="s">
        <v>33</v>
      </c>
      <c r="C62" s="309">
        <v>0</v>
      </c>
      <c r="D62" s="310">
        <v>0</v>
      </c>
      <c r="E62" s="306">
        <v>0</v>
      </c>
      <c r="F62" s="311">
        <f t="shared" si="7"/>
        <v>110258</v>
      </c>
      <c r="G62" s="223">
        <f>'Total (Sched)'!O9</f>
        <v>46.2304074</v>
      </c>
      <c r="H62" s="224">
        <f>C62*G62</f>
        <v>0</v>
      </c>
      <c r="I62" s="225">
        <f t="shared" si="5"/>
        <v>0</v>
      </c>
      <c r="J62" s="226">
        <f t="shared" si="6"/>
        <v>0</v>
      </c>
    </row>
    <row r="63" spans="2:10" ht="12.75" customHeight="1">
      <c r="B63" s="212" t="s">
        <v>2</v>
      </c>
      <c r="C63" s="235"/>
      <c r="D63" s="312"/>
      <c r="E63" s="312"/>
      <c r="F63" s="312"/>
      <c r="G63" s="215"/>
      <c r="H63" s="313"/>
      <c r="I63" s="313"/>
      <c r="J63" s="314"/>
    </row>
    <row r="64" spans="2:10" ht="12.75" customHeight="1">
      <c r="B64" s="218" t="s">
        <v>243</v>
      </c>
      <c r="C64" s="224">
        <v>9</v>
      </c>
      <c r="D64" s="220">
        <v>0</v>
      </c>
      <c r="E64" s="221">
        <v>0.045</v>
      </c>
      <c r="F64" s="423">
        <f t="shared" si="7"/>
        <v>7</v>
      </c>
      <c r="G64" s="223">
        <f>'Total (Sched)'!O11</f>
        <v>4290.575185999999</v>
      </c>
      <c r="H64" s="224">
        <f>C64*G64</f>
        <v>38615.176673999995</v>
      </c>
      <c r="I64" s="225">
        <f t="shared" si="5"/>
        <v>927922.6954762199</v>
      </c>
      <c r="J64" s="226">
        <f t="shared" si="6"/>
        <v>1351.5311835899997</v>
      </c>
    </row>
    <row r="65" spans="2:10" ht="12.75" customHeight="1">
      <c r="B65" s="218" t="s">
        <v>57</v>
      </c>
      <c r="C65" s="224">
        <v>9</v>
      </c>
      <c r="D65" s="220">
        <v>0</v>
      </c>
      <c r="E65" s="221">
        <v>0.045</v>
      </c>
      <c r="F65" s="423">
        <f t="shared" si="7"/>
        <v>31</v>
      </c>
      <c r="G65" s="223">
        <f>'Total (Sched)'!O12</f>
        <v>570.6182729999999</v>
      </c>
      <c r="H65" s="224">
        <f>C65*G65</f>
        <v>5135.5644569999995</v>
      </c>
      <c r="I65" s="225">
        <f t="shared" si="5"/>
        <v>123407.61390170999</v>
      </c>
      <c r="J65" s="226">
        <f t="shared" si="6"/>
        <v>796.0124908349999</v>
      </c>
    </row>
    <row r="66" spans="2:10" ht="12.75" customHeight="1">
      <c r="B66" s="227" t="s">
        <v>58</v>
      </c>
      <c r="C66" s="304">
        <v>9</v>
      </c>
      <c r="D66" s="305">
        <v>0</v>
      </c>
      <c r="E66" s="221">
        <v>0.045</v>
      </c>
      <c r="F66" s="423">
        <f t="shared" si="7"/>
        <v>147</v>
      </c>
      <c r="G66" s="223">
        <f>'Total (Sched)'!O13</f>
        <v>34.205656</v>
      </c>
      <c r="H66" s="224">
        <f>C66*G66</f>
        <v>307.85090399999996</v>
      </c>
      <c r="I66" s="225">
        <f t="shared" si="5"/>
        <v>7397.657223119999</v>
      </c>
      <c r="J66" s="226">
        <f t="shared" si="6"/>
        <v>226.27041443999997</v>
      </c>
    </row>
    <row r="67" spans="2:10" ht="12.75" customHeight="1">
      <c r="B67" s="231" t="s">
        <v>68</v>
      </c>
      <c r="C67" s="308">
        <v>9</v>
      </c>
      <c r="D67" s="305">
        <v>0</v>
      </c>
      <c r="E67" s="306">
        <v>0.02</v>
      </c>
      <c r="F67" s="423">
        <f t="shared" si="7"/>
        <v>152</v>
      </c>
      <c r="G67" s="223">
        <f>'Total (Sched)'!O14</f>
        <v>5.166509</v>
      </c>
      <c r="H67" s="224">
        <f>C67*G67</f>
        <v>46.498580999999994</v>
      </c>
      <c r="I67" s="225">
        <f t="shared" si="5"/>
        <v>1117.36090143</v>
      </c>
      <c r="J67" s="226">
        <f t="shared" si="6"/>
        <v>15.70618736</v>
      </c>
    </row>
    <row r="68" spans="2:10" ht="12.75" customHeight="1">
      <c r="B68" s="231" t="s">
        <v>59</v>
      </c>
      <c r="C68" s="308">
        <v>9</v>
      </c>
      <c r="D68" s="305">
        <v>0</v>
      </c>
      <c r="E68" s="306">
        <v>0.02</v>
      </c>
      <c r="F68" s="423">
        <f t="shared" si="7"/>
        <v>32</v>
      </c>
      <c r="G68" s="223">
        <f>'Total (Sched)'!O15</f>
        <v>1.01653</v>
      </c>
      <c r="H68" s="224">
        <f>C68*G68</f>
        <v>9.148769999999999</v>
      </c>
      <c r="I68" s="225">
        <f t="shared" si="5"/>
        <v>219.8449431</v>
      </c>
      <c r="J68" s="226">
        <f t="shared" si="6"/>
        <v>0.6505792</v>
      </c>
    </row>
    <row r="69" spans="2:10" ht="12.75" customHeight="1">
      <c r="B69" s="212" t="s">
        <v>124</v>
      </c>
      <c r="C69" s="235"/>
      <c r="D69" s="312"/>
      <c r="E69" s="312"/>
      <c r="F69" s="312"/>
      <c r="G69" s="215"/>
      <c r="H69" s="235"/>
      <c r="I69" s="235"/>
      <c r="J69" s="314"/>
    </row>
    <row r="70" spans="2:10" ht="12.75" customHeight="1">
      <c r="B70" s="218" t="s">
        <v>243</v>
      </c>
      <c r="C70" s="224">
        <v>9</v>
      </c>
      <c r="D70" s="220">
        <v>0</v>
      </c>
      <c r="E70" s="221">
        <v>0.045</v>
      </c>
      <c r="F70" s="503">
        <f t="shared" si="7"/>
        <v>7</v>
      </c>
      <c r="G70" s="223">
        <f>'Total (Sched)'!O17</f>
        <v>13371.689035</v>
      </c>
      <c r="H70" s="224">
        <f>C70*G70</f>
        <v>120345.201315</v>
      </c>
      <c r="I70" s="225">
        <f t="shared" si="5"/>
        <v>2891895.18759945</v>
      </c>
      <c r="J70" s="226">
        <f>E70*F70*G70</f>
        <v>4212.082046025</v>
      </c>
    </row>
    <row r="71" spans="2:10" ht="12.75" customHeight="1">
      <c r="B71" s="218" t="s">
        <v>57</v>
      </c>
      <c r="C71" s="224">
        <v>9</v>
      </c>
      <c r="D71" s="220">
        <v>0</v>
      </c>
      <c r="E71" s="221">
        <v>0.045</v>
      </c>
      <c r="F71" s="503">
        <f t="shared" si="7"/>
        <v>32</v>
      </c>
      <c r="G71" s="223">
        <f>'Total (Sched)'!O18</f>
        <v>315.155059</v>
      </c>
      <c r="H71" s="224">
        <f>C71*G71</f>
        <v>2836.395531</v>
      </c>
      <c r="I71" s="225">
        <f t="shared" si="5"/>
        <v>68158.58460993001</v>
      </c>
      <c r="J71" s="226">
        <f>E71*F71*G71</f>
        <v>453.82328495999997</v>
      </c>
    </row>
    <row r="72" spans="2:10" ht="12.75" customHeight="1">
      <c r="B72" s="227" t="s">
        <v>58</v>
      </c>
      <c r="C72" s="304">
        <v>9</v>
      </c>
      <c r="D72" s="305">
        <v>0</v>
      </c>
      <c r="E72" s="221">
        <v>0.045</v>
      </c>
      <c r="F72" s="503">
        <f t="shared" si="7"/>
        <v>38</v>
      </c>
      <c r="G72" s="223">
        <f>'Total (Sched)'!O19</f>
        <v>16.04446</v>
      </c>
      <c r="H72" s="224">
        <f>C72*G72</f>
        <v>144.40014000000002</v>
      </c>
      <c r="I72" s="225">
        <f t="shared" si="5"/>
        <v>3469.9353642000005</v>
      </c>
      <c r="J72" s="226">
        <f>E72*F72*G72</f>
        <v>27.4360266</v>
      </c>
    </row>
    <row r="73" spans="2:10" ht="12.75" customHeight="1">
      <c r="B73" s="231" t="s">
        <v>68</v>
      </c>
      <c r="C73" s="308">
        <v>9</v>
      </c>
      <c r="D73" s="305">
        <v>0</v>
      </c>
      <c r="E73" s="306">
        <v>0.02</v>
      </c>
      <c r="F73" s="503">
        <f t="shared" si="7"/>
        <v>7</v>
      </c>
      <c r="G73" s="223">
        <f>'Total (Sched)'!O20</f>
        <v>0.12257000000000003</v>
      </c>
      <c r="H73" s="224">
        <f>C73*G73</f>
        <v>1.1031300000000002</v>
      </c>
      <c r="I73" s="225">
        <f t="shared" si="5"/>
        <v>26.508213900000005</v>
      </c>
      <c r="J73" s="226">
        <f>E73*F73*G73</f>
        <v>0.017159800000000006</v>
      </c>
    </row>
    <row r="74" spans="2:10" ht="12.75" customHeight="1" thickBot="1">
      <c r="B74" s="231" t="s">
        <v>59</v>
      </c>
      <c r="C74" s="317">
        <v>9</v>
      </c>
      <c r="D74" s="318">
        <v>0</v>
      </c>
      <c r="E74" s="306">
        <v>0.02</v>
      </c>
      <c r="F74" s="504">
        <f t="shared" si="7"/>
        <v>59</v>
      </c>
      <c r="G74" s="223">
        <f>'Total (Sched)'!O21</f>
        <v>0</v>
      </c>
      <c r="H74" s="224">
        <f>C74*G74</f>
        <v>0</v>
      </c>
      <c r="I74" s="225">
        <f t="shared" si="5"/>
        <v>0</v>
      </c>
      <c r="J74" s="226">
        <f>E74*F74*G74</f>
        <v>0</v>
      </c>
    </row>
    <row r="75" spans="2:10" ht="12.75" customHeight="1">
      <c r="B75" s="276" t="s">
        <v>34</v>
      </c>
      <c r="C75" s="277"/>
      <c r="D75" s="278"/>
      <c r="E75" s="278"/>
      <c r="F75" s="278"/>
      <c r="G75" s="279"/>
      <c r="H75" s="280"/>
      <c r="I75" s="280"/>
      <c r="J75" s="325"/>
    </row>
    <row r="76" spans="2:10" ht="12.75" customHeight="1">
      <c r="B76" s="167" t="s">
        <v>23</v>
      </c>
      <c r="C76" s="282"/>
      <c r="D76" s="283"/>
      <c r="E76" s="283"/>
      <c r="F76" s="326"/>
      <c r="G76" s="327"/>
      <c r="H76" s="328"/>
      <c r="I76" s="328"/>
      <c r="J76" s="329"/>
    </row>
    <row r="77" spans="2:10" ht="12.75" customHeight="1">
      <c r="B77" s="171" t="s">
        <v>239</v>
      </c>
      <c r="C77" s="247"/>
      <c r="D77" s="286"/>
      <c r="E77" s="286"/>
      <c r="F77" s="248"/>
      <c r="G77" s="287">
        <f aca="true" t="shared" si="8" ref="G77:J81">G20+G39+G58</f>
        <v>16794.1534555055</v>
      </c>
      <c r="H77" s="172">
        <f t="shared" si="8"/>
        <v>153396.27109954949</v>
      </c>
      <c r="I77" s="173">
        <f t="shared" si="8"/>
        <v>3686112.3945221743</v>
      </c>
      <c r="J77" s="330">
        <f t="shared" si="8"/>
        <v>64993.37387280629</v>
      </c>
    </row>
    <row r="78" spans="2:10" ht="12.75" customHeight="1">
      <c r="B78" s="171" t="s">
        <v>17</v>
      </c>
      <c r="C78" s="247"/>
      <c r="D78" s="286"/>
      <c r="E78" s="286"/>
      <c r="F78" s="248"/>
      <c r="G78" s="287">
        <f t="shared" si="8"/>
        <v>5087.849017427405</v>
      </c>
      <c r="H78" s="172">
        <f t="shared" si="8"/>
        <v>83877.29810782216</v>
      </c>
      <c r="I78" s="173">
        <f>I21+I40+I59</f>
        <v>2015571.4735309663</v>
      </c>
      <c r="J78" s="330">
        <f t="shared" si="8"/>
        <v>382639.22990800807</v>
      </c>
    </row>
    <row r="79" spans="2:10" ht="12.75" customHeight="1">
      <c r="B79" s="171" t="s">
        <v>18</v>
      </c>
      <c r="C79" s="247"/>
      <c r="D79" s="286"/>
      <c r="E79" s="286"/>
      <c r="F79" s="248"/>
      <c r="G79" s="287">
        <f t="shared" si="8"/>
        <v>1433.7541648121191</v>
      </c>
      <c r="H79" s="172">
        <f t="shared" si="8"/>
        <v>24536.897894363574</v>
      </c>
      <c r="I79" s="173">
        <f>I22+I41+I60</f>
        <v>589621.6564015567</v>
      </c>
      <c r="J79" s="330">
        <f t="shared" si="8"/>
        <v>436074.9187881878</v>
      </c>
    </row>
    <row r="80" spans="2:10" ht="12.75" customHeight="1">
      <c r="B80" s="171" t="s">
        <v>64</v>
      </c>
      <c r="C80" s="247"/>
      <c r="D80" s="286"/>
      <c r="E80" s="286"/>
      <c r="F80" s="248"/>
      <c r="G80" s="287">
        <f t="shared" si="8"/>
        <v>1320.517824</v>
      </c>
      <c r="H80" s="172">
        <f t="shared" si="8"/>
        <v>24150.075792</v>
      </c>
      <c r="I80" s="173">
        <f>I23+I42+I61</f>
        <v>580326.32128176</v>
      </c>
      <c r="J80" s="330">
        <f t="shared" si="8"/>
        <v>1298864.683097904</v>
      </c>
    </row>
    <row r="81" spans="2:10" ht="12.75" customHeight="1" thickBot="1">
      <c r="B81" s="171" t="s">
        <v>19</v>
      </c>
      <c r="C81" s="247"/>
      <c r="D81" s="286"/>
      <c r="E81" s="286"/>
      <c r="F81" s="248"/>
      <c r="G81" s="287">
        <f t="shared" si="8"/>
        <v>142.694227594985</v>
      </c>
      <c r="H81" s="172">
        <f t="shared" si="8"/>
        <v>2748.2026761191983</v>
      </c>
      <c r="I81" s="173">
        <f>I24+I43+I62</f>
        <v>66039.31030714433</v>
      </c>
      <c r="J81" s="330">
        <f t="shared" si="8"/>
        <v>1851237.9357544929</v>
      </c>
    </row>
    <row r="82" spans="2:10" ht="12.75" customHeight="1" thickBot="1">
      <c r="B82" s="175" t="s">
        <v>1</v>
      </c>
      <c r="C82" s="290"/>
      <c r="D82" s="291"/>
      <c r="E82" s="291"/>
      <c r="F82" s="292"/>
      <c r="G82" s="331">
        <f>SUM(G77:G81)</f>
        <v>24778.968689340007</v>
      </c>
      <c r="H82" s="176">
        <f>SUM(H77:H81)</f>
        <v>288708.74556985445</v>
      </c>
      <c r="I82" s="258">
        <f>SUM(I77:I81)</f>
        <v>6937671.156043601</v>
      </c>
      <c r="J82" s="178">
        <f>SUM(J77:J81)</f>
        <v>4033810.141421399</v>
      </c>
    </row>
    <row r="83" spans="2:10" ht="12.75" customHeight="1">
      <c r="B83" s="332" t="s">
        <v>24</v>
      </c>
      <c r="C83" s="333"/>
      <c r="D83" s="334"/>
      <c r="E83" s="334"/>
      <c r="F83" s="334"/>
      <c r="G83" s="327"/>
      <c r="H83" s="328"/>
      <c r="I83" s="335"/>
      <c r="J83" s="329"/>
    </row>
    <row r="84" spans="2:10" ht="12.75" customHeight="1">
      <c r="B84" s="284" t="s">
        <v>239</v>
      </c>
      <c r="C84" s="285"/>
      <c r="D84" s="336"/>
      <c r="E84" s="336"/>
      <c r="F84" s="337"/>
      <c r="G84" s="287">
        <f aca="true" t="shared" si="9" ref="G84:J88">G26+G45+G64</f>
        <v>6952.8448809273705</v>
      </c>
      <c r="H84" s="172">
        <f t="shared" si="9"/>
        <v>63209.773928346345</v>
      </c>
      <c r="I84" s="173">
        <f t="shared" si="9"/>
        <v>1518930.8674981627</v>
      </c>
      <c r="J84" s="330">
        <f t="shared" si="9"/>
        <v>2190.146137492122</v>
      </c>
    </row>
    <row r="85" spans="2:10" ht="12.75" customHeight="1">
      <c r="B85" s="171" t="s">
        <v>17</v>
      </c>
      <c r="C85" s="247"/>
      <c r="D85" s="286"/>
      <c r="E85" s="286"/>
      <c r="F85" s="248"/>
      <c r="G85" s="287">
        <f t="shared" si="9"/>
        <v>972.1766984842056</v>
      </c>
      <c r="H85" s="172">
        <f t="shared" si="9"/>
        <v>8860.77028635785</v>
      </c>
      <c r="I85" s="173">
        <f>I27+I46+I65</f>
        <v>212924.3099811792</v>
      </c>
      <c r="J85" s="330">
        <f t="shared" si="9"/>
        <v>1304.487794385467</v>
      </c>
    </row>
    <row r="86" spans="2:10" ht="12.75" customHeight="1">
      <c r="B86" s="171" t="s">
        <v>18</v>
      </c>
      <c r="C86" s="247"/>
      <c r="D86" s="286"/>
      <c r="E86" s="286"/>
      <c r="F86" s="248"/>
      <c r="G86" s="287">
        <f t="shared" si="9"/>
        <v>50.27794587777396</v>
      </c>
      <c r="H86" s="172">
        <f t="shared" si="9"/>
        <v>458.71151289996556</v>
      </c>
      <c r="I86" s="173">
        <f>I28+I47+I66</f>
        <v>11022.837654986173</v>
      </c>
      <c r="J86" s="330">
        <f t="shared" si="9"/>
        <v>318.8955619814747</v>
      </c>
    </row>
    <row r="87" spans="2:10" ht="12.75" customHeight="1">
      <c r="B87" s="171" t="s">
        <v>64</v>
      </c>
      <c r="C87" s="247"/>
      <c r="D87" s="286"/>
      <c r="E87" s="286"/>
      <c r="F87" s="248"/>
      <c r="G87" s="287">
        <f t="shared" si="9"/>
        <v>10.266786165087169</v>
      </c>
      <c r="H87" s="172">
        <f t="shared" si="9"/>
        <v>92.47695519887569</v>
      </c>
      <c r="I87" s="173">
        <f>I29+I48+I67</f>
        <v>2222.2212334289825</v>
      </c>
      <c r="J87" s="330">
        <f t="shared" si="9"/>
        <v>31.134138499265934</v>
      </c>
    </row>
    <row r="88" spans="2:10" ht="12.75" customHeight="1" thickBot="1">
      <c r="B88" s="171" t="s">
        <v>19</v>
      </c>
      <c r="C88" s="247"/>
      <c r="D88" s="286"/>
      <c r="E88" s="286"/>
      <c r="F88" s="248"/>
      <c r="G88" s="287">
        <f t="shared" si="9"/>
        <v>1.141536293915711</v>
      </c>
      <c r="H88" s="172">
        <f t="shared" si="9"/>
        <v>10.273826645241398</v>
      </c>
      <c r="I88" s="173">
        <f>I30+I49+I68</f>
        <v>246.88005428515083</v>
      </c>
      <c r="J88" s="330">
        <v>0</v>
      </c>
    </row>
    <row r="89" spans="2:10" s="11" customFormat="1" ht="12.75" customHeight="1" thickBot="1">
      <c r="B89" s="338" t="s">
        <v>1</v>
      </c>
      <c r="C89" s="339"/>
      <c r="D89" s="340"/>
      <c r="E89" s="340"/>
      <c r="F89" s="341"/>
      <c r="G89" s="342">
        <f>SUM(G84:G88)</f>
        <v>7986.707847748353</v>
      </c>
      <c r="H89" s="343">
        <f>SUM(H84:H88)</f>
        <v>72632.00650944827</v>
      </c>
      <c r="I89" s="344">
        <f>SUM(I84:I88)</f>
        <v>1745347.116422042</v>
      </c>
      <c r="J89" s="345">
        <f>SUM(J84:J88)</f>
        <v>3844.66363235833</v>
      </c>
    </row>
    <row r="90" spans="2:10" s="10" customFormat="1" ht="12.75" customHeight="1">
      <c r="B90" s="332" t="s">
        <v>49</v>
      </c>
      <c r="C90" s="333"/>
      <c r="D90" s="334"/>
      <c r="E90" s="334"/>
      <c r="F90" s="334"/>
      <c r="G90" s="327"/>
      <c r="H90" s="328"/>
      <c r="I90" s="335"/>
      <c r="J90" s="329"/>
    </row>
    <row r="91" spans="2:10" ht="12.75" customHeight="1">
      <c r="B91" s="284" t="s">
        <v>239</v>
      </c>
      <c r="C91" s="285"/>
      <c r="D91" s="336"/>
      <c r="E91" s="336"/>
      <c r="F91" s="337"/>
      <c r="G91" s="287">
        <f aca="true" t="shared" si="10" ref="G91:J95">G32+G51+G70</f>
        <v>19085.7159</v>
      </c>
      <c r="H91" s="172">
        <f t="shared" si="10"/>
        <v>173997.1131</v>
      </c>
      <c r="I91" s="173">
        <f t="shared" si="10"/>
        <v>4181150.627793</v>
      </c>
      <c r="J91" s="174">
        <f t="shared" si="10"/>
        <v>6012.000508499999</v>
      </c>
    </row>
    <row r="92" spans="2:10" ht="12.75" customHeight="1">
      <c r="B92" s="171" t="s">
        <v>17</v>
      </c>
      <c r="C92" s="247"/>
      <c r="D92" s="286"/>
      <c r="E92" s="286"/>
      <c r="F92" s="248"/>
      <c r="G92" s="287">
        <f t="shared" si="10"/>
        <v>472.65966</v>
      </c>
      <c r="H92" s="172">
        <f t="shared" si="10"/>
        <v>4308.44694</v>
      </c>
      <c r="I92" s="173">
        <f>I33+I52+I71</f>
        <v>103531.9799682</v>
      </c>
      <c r="J92" s="174">
        <f t="shared" si="10"/>
        <v>654.4651104</v>
      </c>
    </row>
    <row r="93" spans="2:10" ht="12.75" customHeight="1">
      <c r="B93" s="171" t="s">
        <v>18</v>
      </c>
      <c r="C93" s="247"/>
      <c r="D93" s="286"/>
      <c r="E93" s="286"/>
      <c r="F93" s="248"/>
      <c r="G93" s="287">
        <f t="shared" si="10"/>
        <v>28.8204</v>
      </c>
      <c r="H93" s="172">
        <f t="shared" si="10"/>
        <v>266.0736</v>
      </c>
      <c r="I93" s="173">
        <f>I34+I53+I72</f>
        <v>6393.748608000001</v>
      </c>
      <c r="J93" s="174">
        <f t="shared" si="10"/>
        <v>45.469584</v>
      </c>
    </row>
    <row r="94" spans="2:10" ht="12.75" customHeight="1">
      <c r="B94" s="171" t="s">
        <v>64</v>
      </c>
      <c r="C94" s="247"/>
      <c r="D94" s="286"/>
      <c r="E94" s="286"/>
      <c r="F94" s="248"/>
      <c r="G94" s="287">
        <f t="shared" si="10"/>
        <v>7.971024987534042</v>
      </c>
      <c r="H94" s="172">
        <f t="shared" si="10"/>
        <v>75.54848613593649</v>
      </c>
      <c r="I94" s="173">
        <f>I35+I54+I73</f>
        <v>1815.430121846554</v>
      </c>
      <c r="J94" s="174">
        <f t="shared" si="10"/>
        <v>0.9381779733420277</v>
      </c>
    </row>
    <row r="95" spans="2:10" ht="12.75" customHeight="1" thickBot="1">
      <c r="B95" s="171" t="s">
        <v>19</v>
      </c>
      <c r="C95" s="247"/>
      <c r="D95" s="286"/>
      <c r="E95" s="286"/>
      <c r="F95" s="248"/>
      <c r="G95" s="287">
        <f t="shared" si="10"/>
        <v>0</v>
      </c>
      <c r="H95" s="172">
        <f t="shared" si="10"/>
        <v>0</v>
      </c>
      <c r="I95" s="173">
        <f>I36+I55+I74</f>
        <v>0</v>
      </c>
      <c r="J95" s="174">
        <v>0</v>
      </c>
    </row>
    <row r="96" spans="2:10" s="11" customFormat="1" ht="12.75" customHeight="1" thickBot="1">
      <c r="B96" s="338" t="s">
        <v>1</v>
      </c>
      <c r="C96" s="339"/>
      <c r="D96" s="340"/>
      <c r="E96" s="340"/>
      <c r="F96" s="341"/>
      <c r="G96" s="342">
        <f>SUM(G91:G95)</f>
        <v>19595.166984987536</v>
      </c>
      <c r="H96" s="343">
        <f>SUM(H91:H95)</f>
        <v>178647.18212613591</v>
      </c>
      <c r="I96" s="344">
        <f>SUM(I91:I95)</f>
        <v>4292891.786491047</v>
      </c>
      <c r="J96" s="345">
        <f>SUM(J91:J95)</f>
        <v>6712.873380873342</v>
      </c>
    </row>
    <row r="97" spans="2:10" ht="12.75" customHeight="1" thickBot="1">
      <c r="B97" s="182" t="s">
        <v>1</v>
      </c>
      <c r="C97" s="346"/>
      <c r="D97" s="347"/>
      <c r="E97" s="347"/>
      <c r="F97" s="348"/>
      <c r="G97" s="349">
        <f>G96+G89+G82</f>
        <v>52360.8435220759</v>
      </c>
      <c r="H97" s="183">
        <f>H96+H89+H82</f>
        <v>539987.9342054387</v>
      </c>
      <c r="I97" s="184">
        <f>I96+I89+I82</f>
        <v>12975910.05895669</v>
      </c>
      <c r="J97" s="185">
        <f>J96+J89+J82</f>
        <v>4044367.678434631</v>
      </c>
    </row>
    <row r="98" spans="2:10" ht="15" customHeight="1">
      <c r="B98" s="505" t="str">
        <f>'Prep Burden'!B98</f>
        <v>Note:  Detail may not add to totals due to independent rounding.</v>
      </c>
      <c r="D98" s="24"/>
      <c r="E98" s="24"/>
      <c r="F98" s="24"/>
      <c r="J98" s="149"/>
    </row>
    <row r="99" spans="4:10" ht="12.75" customHeight="1">
      <c r="D99" s="24"/>
      <c r="E99" s="24"/>
      <c r="F99" s="24"/>
      <c r="J99" s="149"/>
    </row>
    <row r="100" spans="4:10" ht="12.75" customHeight="1">
      <c r="D100" s="24"/>
      <c r="E100" s="24"/>
      <c r="F100" s="24"/>
      <c r="J100" s="149"/>
    </row>
    <row r="101" spans="4:10" ht="12.75" customHeight="1">
      <c r="D101" s="24"/>
      <c r="E101" s="24"/>
      <c r="F101" s="24"/>
      <c r="J101" s="149"/>
    </row>
    <row r="102" spans="4:10" ht="12.75" customHeight="1">
      <c r="D102" s="24"/>
      <c r="E102" s="24"/>
      <c r="F102" s="24"/>
      <c r="J102" s="149"/>
    </row>
    <row r="103" spans="4:10" ht="12.75" customHeight="1">
      <c r="D103" s="24"/>
      <c r="E103" s="24"/>
      <c r="F103" s="24"/>
      <c r="J103" s="149"/>
    </row>
    <row r="104" spans="4:10" ht="12.75" customHeight="1">
      <c r="D104" s="24"/>
      <c r="E104" s="24"/>
      <c r="F104" s="24"/>
      <c r="J104" s="149"/>
    </row>
    <row r="105" spans="4:10" ht="12.75" customHeight="1">
      <c r="D105" s="24"/>
      <c r="E105" s="24"/>
      <c r="F105" s="24"/>
      <c r="J105" s="149"/>
    </row>
    <row r="106" spans="4:10" ht="12.75" customHeight="1">
      <c r="D106" s="24"/>
      <c r="E106" s="24"/>
      <c r="F106" s="24"/>
      <c r="J106" s="149"/>
    </row>
    <row r="107" spans="4:10" ht="12.75" customHeight="1">
      <c r="D107" s="24"/>
      <c r="E107" s="24"/>
      <c r="F107" s="24"/>
      <c r="J107" s="149"/>
    </row>
    <row r="108" spans="4:10" ht="12.75" customHeight="1">
      <c r="D108" s="24"/>
      <c r="E108" s="24"/>
      <c r="F108" s="24"/>
      <c r="J108" s="149"/>
    </row>
    <row r="109" spans="4:10" ht="12.75" customHeight="1">
      <c r="D109" s="24"/>
      <c r="E109" s="24"/>
      <c r="F109" s="24"/>
      <c r="J109" s="149"/>
    </row>
    <row r="110" spans="4:10" ht="12.75" customHeight="1">
      <c r="D110" s="24"/>
      <c r="E110" s="24"/>
      <c r="F110" s="24"/>
      <c r="J110" s="149"/>
    </row>
    <row r="111" spans="4:10" ht="12.75" customHeight="1">
      <c r="D111" s="24"/>
      <c r="E111" s="24"/>
      <c r="F111" s="24"/>
      <c r="J111" s="149"/>
    </row>
    <row r="112" spans="4:10" ht="12.75" customHeight="1">
      <c r="D112" s="24"/>
      <c r="E112" s="24"/>
      <c r="F112" s="24"/>
      <c r="J112" s="149"/>
    </row>
    <row r="113" spans="4:10" ht="12.75" customHeight="1">
      <c r="D113" s="24"/>
      <c r="E113" s="24"/>
      <c r="F113" s="24"/>
      <c r="J113" s="149"/>
    </row>
    <row r="114" spans="4:10" ht="12.75" customHeight="1">
      <c r="D114" s="24"/>
      <c r="E114" s="24"/>
      <c r="F114" s="24"/>
      <c r="J114" s="149"/>
    </row>
    <row r="115" spans="4:10" ht="12.75" customHeight="1">
      <c r="D115" s="24"/>
      <c r="E115" s="24"/>
      <c r="F115" s="24"/>
      <c r="J115" s="149"/>
    </row>
    <row r="116" spans="4:10" ht="12.75" customHeight="1">
      <c r="D116" s="24"/>
      <c r="E116" s="24"/>
      <c r="F116" s="24"/>
      <c r="J116" s="149"/>
    </row>
    <row r="117" spans="4:10" ht="12.75" customHeight="1">
      <c r="D117" s="24"/>
      <c r="E117" s="24"/>
      <c r="F117" s="24"/>
      <c r="J117" s="149"/>
    </row>
    <row r="118" spans="4:10" ht="12.75" customHeight="1">
      <c r="D118" s="24"/>
      <c r="E118" s="24"/>
      <c r="F118" s="24"/>
      <c r="J118" s="149"/>
    </row>
    <row r="119" spans="4:10" ht="12.75" customHeight="1">
      <c r="D119" s="24"/>
      <c r="E119" s="24"/>
      <c r="F119" s="24"/>
      <c r="J119" s="149"/>
    </row>
    <row r="120" spans="4:10" ht="12.75" customHeight="1">
      <c r="D120" s="24"/>
      <c r="E120" s="24"/>
      <c r="F120" s="24"/>
      <c r="J120" s="149"/>
    </row>
    <row r="121" spans="4:10" ht="12.75" customHeight="1">
      <c r="D121" s="24"/>
      <c r="E121" s="24"/>
      <c r="F121" s="24"/>
      <c r="J121" s="149"/>
    </row>
    <row r="122" spans="4:10" ht="12.75" customHeight="1">
      <c r="D122" s="24"/>
      <c r="E122" s="24"/>
      <c r="F122" s="24"/>
      <c r="J122" s="149"/>
    </row>
    <row r="123" spans="4:10" ht="12.75" customHeight="1">
      <c r="D123" s="24"/>
      <c r="E123" s="24"/>
      <c r="F123" s="24"/>
      <c r="J123" s="149"/>
    </row>
    <row r="124" spans="4:10" ht="12.75" customHeight="1">
      <c r="D124" s="24"/>
      <c r="E124" s="24"/>
      <c r="F124" s="24"/>
      <c r="J124" s="149"/>
    </row>
    <row r="125" spans="4:10" ht="12.75" customHeight="1">
      <c r="D125" s="24"/>
      <c r="E125" s="24"/>
      <c r="F125" s="24"/>
      <c r="J125" s="149"/>
    </row>
    <row r="126" spans="4:10" ht="12.75" customHeight="1">
      <c r="D126" s="24"/>
      <c r="E126" s="24"/>
      <c r="F126" s="24"/>
      <c r="J126" s="149"/>
    </row>
    <row r="127" spans="4:10" ht="12.75" customHeight="1">
      <c r="D127" s="24"/>
      <c r="E127" s="24"/>
      <c r="F127" s="24"/>
      <c r="J127" s="149"/>
    </row>
    <row r="128" spans="4:10" ht="12.75" customHeight="1">
      <c r="D128" s="24"/>
      <c r="E128" s="24"/>
      <c r="F128" s="24"/>
      <c r="J128" s="149"/>
    </row>
    <row r="129" spans="4:10" ht="12.75" customHeight="1">
      <c r="D129" s="24"/>
      <c r="E129" s="24"/>
      <c r="F129" s="24"/>
      <c r="J129" s="149"/>
    </row>
    <row r="130" spans="4:10" ht="12.75" customHeight="1">
      <c r="D130" s="24"/>
      <c r="E130" s="24"/>
      <c r="F130" s="24"/>
      <c r="J130" s="149"/>
    </row>
    <row r="131" spans="4:10" ht="12.75" customHeight="1">
      <c r="D131" s="24"/>
      <c r="E131" s="24"/>
      <c r="F131" s="24"/>
      <c r="J131" s="149"/>
    </row>
    <row r="132" spans="4:10" ht="12.75" customHeight="1">
      <c r="D132" s="24"/>
      <c r="E132" s="24"/>
      <c r="F132" s="24"/>
      <c r="J132" s="149"/>
    </row>
    <row r="133" spans="4:10" ht="12.75" customHeight="1">
      <c r="D133" s="24"/>
      <c r="E133" s="24"/>
      <c r="F133" s="24"/>
      <c r="J133" s="149"/>
    </row>
    <row r="134" spans="4:10" ht="12.75" customHeight="1">
      <c r="D134" s="24"/>
      <c r="E134" s="24"/>
      <c r="F134" s="24"/>
      <c r="J134" s="149"/>
    </row>
    <row r="135" spans="4:10" ht="12.75" customHeight="1">
      <c r="D135" s="24"/>
      <c r="E135" s="24"/>
      <c r="F135" s="24"/>
      <c r="J135" s="149"/>
    </row>
    <row r="136" spans="4:10" ht="12.75" customHeight="1">
      <c r="D136" s="24"/>
      <c r="E136" s="24"/>
      <c r="F136" s="24"/>
      <c r="J136" s="149"/>
    </row>
    <row r="137" spans="4:10" ht="12.75" customHeight="1">
      <c r="D137" s="24"/>
      <c r="E137" s="24"/>
      <c r="F137" s="24"/>
      <c r="J137" s="149"/>
    </row>
    <row r="138" spans="4:10" ht="12.75" customHeight="1">
      <c r="D138" s="24"/>
      <c r="E138" s="24"/>
      <c r="F138" s="24"/>
      <c r="J138" s="149"/>
    </row>
    <row r="139" spans="4:10" ht="12.75" customHeight="1">
      <c r="D139" s="24"/>
      <c r="E139" s="24"/>
      <c r="F139" s="24"/>
      <c r="J139" s="149"/>
    </row>
    <row r="140" spans="4:10" ht="12.75" customHeight="1">
      <c r="D140" s="24"/>
      <c r="E140" s="24"/>
      <c r="F140" s="24"/>
      <c r="J140" s="149"/>
    </row>
    <row r="141" spans="4:10" ht="12.75" customHeight="1">
      <c r="D141" s="24"/>
      <c r="E141" s="24"/>
      <c r="F141" s="24"/>
      <c r="J141" s="149"/>
    </row>
    <row r="142" spans="4:10" ht="12.75" customHeight="1">
      <c r="D142" s="24"/>
      <c r="E142" s="24"/>
      <c r="F142" s="24"/>
      <c r="J142" s="149"/>
    </row>
    <row r="143" spans="4:10" ht="12.75" customHeight="1">
      <c r="D143" s="24"/>
      <c r="E143" s="24"/>
      <c r="F143" s="24"/>
      <c r="J143" s="149"/>
    </row>
    <row r="144" spans="4:10" ht="12.75" customHeight="1">
      <c r="D144" s="24"/>
      <c r="E144" s="24"/>
      <c r="F144" s="24"/>
      <c r="J144" s="149"/>
    </row>
    <row r="145" spans="4:10" ht="12.75" customHeight="1">
      <c r="D145" s="24"/>
      <c r="E145" s="24"/>
      <c r="F145" s="24"/>
      <c r="J145" s="149"/>
    </row>
    <row r="146" spans="4:10" ht="12.75" customHeight="1">
      <c r="D146" s="24"/>
      <c r="E146" s="24"/>
      <c r="F146" s="24"/>
      <c r="J146" s="149"/>
    </row>
    <row r="147" spans="4:10" ht="12.75" customHeight="1">
      <c r="D147" s="24"/>
      <c r="E147" s="24"/>
      <c r="F147" s="24"/>
      <c r="J147" s="149"/>
    </row>
    <row r="148" spans="4:10" ht="12.75" customHeight="1">
      <c r="D148" s="24"/>
      <c r="E148" s="24"/>
      <c r="F148" s="24"/>
      <c r="J148" s="149"/>
    </row>
    <row r="149" spans="4:10" ht="12.75" customHeight="1">
      <c r="D149" s="24"/>
      <c r="E149" s="24"/>
      <c r="F149" s="24"/>
      <c r="J149" s="149"/>
    </row>
    <row r="150" spans="4:10" ht="12.75" customHeight="1">
      <c r="D150" s="24"/>
      <c r="E150" s="24"/>
      <c r="F150" s="24"/>
      <c r="J150" s="149"/>
    </row>
    <row r="151" spans="4:10" ht="12.75" customHeight="1">
      <c r="D151" s="24"/>
      <c r="E151" s="24"/>
      <c r="F151" s="24"/>
      <c r="J151" s="149"/>
    </row>
    <row r="152" spans="4:10" ht="12.75" customHeight="1">
      <c r="D152" s="24"/>
      <c r="E152" s="24"/>
      <c r="F152" s="24"/>
      <c r="J152" s="149"/>
    </row>
    <row r="153" spans="4:10" ht="12.75" customHeight="1">
      <c r="D153" s="24"/>
      <c r="E153" s="24"/>
      <c r="F153" s="24"/>
      <c r="J153" s="149"/>
    </row>
    <row r="154" spans="4:10" ht="12.75" customHeight="1">
      <c r="D154" s="24"/>
      <c r="E154" s="24"/>
      <c r="F154" s="24"/>
      <c r="J154" s="149"/>
    </row>
    <row r="155" spans="4:10" ht="12.75" customHeight="1">
      <c r="D155" s="24"/>
      <c r="E155" s="24"/>
      <c r="F155" s="24"/>
      <c r="J155" s="149"/>
    </row>
    <row r="156" spans="4:10" ht="12.75" customHeight="1">
      <c r="D156" s="24"/>
      <c r="E156" s="24"/>
      <c r="F156" s="24"/>
      <c r="J156" s="149"/>
    </row>
    <row r="157" spans="4:10" ht="12.75" customHeight="1">
      <c r="D157" s="24"/>
      <c r="E157" s="24"/>
      <c r="F157" s="24"/>
      <c r="J157" s="149"/>
    </row>
    <row r="158" spans="4:10" ht="12.75" customHeight="1">
      <c r="D158" s="24"/>
      <c r="E158" s="24"/>
      <c r="F158" s="24"/>
      <c r="J158" s="149"/>
    </row>
    <row r="159" spans="4:10" ht="12.75" customHeight="1">
      <c r="D159" s="24"/>
      <c r="E159" s="24"/>
      <c r="F159" s="24"/>
      <c r="J159" s="149"/>
    </row>
    <row r="160" spans="4:10" ht="12.75" customHeight="1">
      <c r="D160" s="24"/>
      <c r="E160" s="24"/>
      <c r="F160" s="24"/>
      <c r="J160" s="149"/>
    </row>
    <row r="161" spans="4:10" ht="12.75" customHeight="1">
      <c r="D161" s="24"/>
      <c r="E161" s="24"/>
      <c r="F161" s="24"/>
      <c r="J161" s="149"/>
    </row>
    <row r="162" spans="4:10" ht="12.75" customHeight="1">
      <c r="D162" s="24"/>
      <c r="E162" s="24"/>
      <c r="F162" s="24"/>
      <c r="J162" s="149"/>
    </row>
    <row r="163" spans="4:10" ht="12.75" customHeight="1">
      <c r="D163" s="24"/>
      <c r="E163" s="24"/>
      <c r="F163" s="24"/>
      <c r="J163" s="149"/>
    </row>
    <row r="164" spans="4:10" ht="12.75" customHeight="1">
      <c r="D164" s="24"/>
      <c r="E164" s="24"/>
      <c r="F164" s="24"/>
      <c r="J164" s="149"/>
    </row>
    <row r="165" spans="4:10" ht="12.75" customHeight="1">
      <c r="D165" s="24"/>
      <c r="E165" s="24"/>
      <c r="F165" s="24"/>
      <c r="J165" s="149"/>
    </row>
    <row r="166" spans="4:10" ht="12.75" customHeight="1">
      <c r="D166" s="24"/>
      <c r="E166" s="24"/>
      <c r="F166" s="24"/>
      <c r="J166" s="149"/>
    </row>
    <row r="167" spans="4:10" ht="12.75" customHeight="1">
      <c r="D167" s="24"/>
      <c r="E167" s="24"/>
      <c r="F167" s="24"/>
      <c r="J167" s="149"/>
    </row>
    <row r="168" spans="4:10" ht="12.75" customHeight="1">
      <c r="D168" s="24"/>
      <c r="E168" s="24"/>
      <c r="F168" s="24"/>
      <c r="J168" s="149"/>
    </row>
    <row r="169" spans="4:10" ht="12.75" customHeight="1">
      <c r="D169" s="24"/>
      <c r="E169" s="24"/>
      <c r="F169" s="24"/>
      <c r="J169" s="149"/>
    </row>
    <row r="170" spans="4:10" ht="12.75" customHeight="1">
      <c r="D170" s="24"/>
      <c r="E170" s="24"/>
      <c r="F170" s="24"/>
      <c r="J170" s="149"/>
    </row>
    <row r="171" spans="4:10" ht="12.75" customHeight="1">
      <c r="D171" s="24"/>
      <c r="E171" s="24"/>
      <c r="F171" s="24"/>
      <c r="J171" s="149"/>
    </row>
    <row r="172" spans="4:10" ht="12.75" customHeight="1">
      <c r="D172" s="24"/>
      <c r="E172" s="24"/>
      <c r="F172" s="24"/>
      <c r="J172" s="149"/>
    </row>
    <row r="173" spans="4:10" ht="12.75" customHeight="1">
      <c r="D173" s="24"/>
      <c r="E173" s="24"/>
      <c r="F173" s="24"/>
      <c r="J173" s="149"/>
    </row>
    <row r="174" spans="4:10" ht="12.75" customHeight="1">
      <c r="D174" s="24"/>
      <c r="E174" s="24"/>
      <c r="F174" s="24"/>
      <c r="J174" s="149"/>
    </row>
    <row r="175" spans="4:10" ht="12.75" customHeight="1">
      <c r="D175" s="24"/>
      <c r="E175" s="24"/>
      <c r="F175" s="24"/>
      <c r="J175" s="149"/>
    </row>
    <row r="176" spans="4:10" ht="12.75" customHeight="1">
      <c r="D176" s="24"/>
      <c r="E176" s="24"/>
      <c r="F176" s="24"/>
      <c r="J176" s="149"/>
    </row>
    <row r="177" spans="4:10" ht="12.75" customHeight="1">
      <c r="D177" s="24"/>
      <c r="E177" s="24"/>
      <c r="F177" s="24"/>
      <c r="J177" s="149"/>
    </row>
    <row r="178" spans="4:10" ht="12.75" customHeight="1">
      <c r="D178" s="24"/>
      <c r="E178" s="24"/>
      <c r="F178" s="24"/>
      <c r="J178" s="149"/>
    </row>
    <row r="179" spans="4:10" ht="12.75" customHeight="1">
      <c r="D179" s="24"/>
      <c r="E179" s="24"/>
      <c r="F179" s="24"/>
      <c r="J179" s="149"/>
    </row>
    <row r="180" ht="12.75" customHeight="1">
      <c r="J180" s="149"/>
    </row>
    <row r="181" ht="12.75" customHeight="1">
      <c r="J181" s="149"/>
    </row>
    <row r="182" ht="12.75" customHeight="1">
      <c r="J182" s="149"/>
    </row>
    <row r="183" ht="12.75" customHeight="1">
      <c r="J183" s="149"/>
    </row>
    <row r="184" ht="12.75" customHeight="1">
      <c r="J184" s="149"/>
    </row>
    <row r="185" ht="12.75" customHeight="1">
      <c r="J185" s="149"/>
    </row>
    <row r="186" ht="12.75" customHeight="1">
      <c r="J186" s="149"/>
    </row>
    <row r="187" ht="12.75" customHeight="1">
      <c r="J187" s="149"/>
    </row>
    <row r="188" ht="12.75" customHeight="1">
      <c r="J188" s="149"/>
    </row>
    <row r="189" ht="12.75" customHeight="1">
      <c r="J189" s="149"/>
    </row>
    <row r="190" ht="12.75" customHeight="1">
      <c r="J190" s="149"/>
    </row>
    <row r="191" ht="12.75" customHeight="1">
      <c r="J191" s="149"/>
    </row>
    <row r="192" ht="12.75" customHeight="1">
      <c r="J192" s="149"/>
    </row>
    <row r="193" ht="12.75" customHeight="1">
      <c r="J193" s="149"/>
    </row>
    <row r="194" ht="12.75" customHeight="1">
      <c r="J194" s="149"/>
    </row>
    <row r="195" ht="12.75" customHeight="1">
      <c r="J195" s="149"/>
    </row>
    <row r="196" ht="12.75" customHeight="1">
      <c r="J196" s="149"/>
    </row>
    <row r="197" ht="12.75" customHeight="1">
      <c r="J197" s="149"/>
    </row>
    <row r="198" ht="12.75" customHeight="1">
      <c r="J198" s="149"/>
    </row>
    <row r="199" ht="12.75" customHeight="1">
      <c r="J199" s="149"/>
    </row>
    <row r="200" ht="12.75" customHeight="1">
      <c r="J200" s="149"/>
    </row>
    <row r="201" ht="12.75" customHeight="1">
      <c r="J201" s="149"/>
    </row>
    <row r="202" ht="12.75" customHeight="1">
      <c r="J202" s="149"/>
    </row>
    <row r="203" ht="12.75" customHeight="1">
      <c r="J203" s="149"/>
    </row>
    <row r="204" ht="12.75" customHeight="1">
      <c r="J204" s="149"/>
    </row>
    <row r="205" ht="12.75" customHeight="1">
      <c r="J205" s="149"/>
    </row>
    <row r="206" ht="12.75" customHeight="1">
      <c r="J206" s="149"/>
    </row>
    <row r="207" ht="12.75" customHeight="1">
      <c r="J207" s="149"/>
    </row>
    <row r="208" ht="12.75" customHeight="1">
      <c r="J208" s="149"/>
    </row>
    <row r="209" ht="12.75" customHeight="1">
      <c r="J209" s="149"/>
    </row>
    <row r="210" ht="12.75" customHeight="1">
      <c r="J210" s="149"/>
    </row>
    <row r="211" ht="12.75" customHeight="1">
      <c r="J211" s="149"/>
    </row>
    <row r="212" ht="12.75" customHeight="1">
      <c r="J212" s="149"/>
    </row>
    <row r="213" ht="12.75" customHeight="1">
      <c r="J213" s="149"/>
    </row>
    <row r="214" ht="12.75" customHeight="1">
      <c r="J214" s="149"/>
    </row>
    <row r="215" ht="12.75" customHeight="1">
      <c r="J215" s="149"/>
    </row>
    <row r="216" ht="12.75" customHeight="1">
      <c r="J216" s="149"/>
    </row>
    <row r="217" ht="12.75" customHeight="1">
      <c r="J217" s="149"/>
    </row>
    <row r="218" ht="12.75" customHeight="1">
      <c r="J218" s="149"/>
    </row>
    <row r="219" ht="12.75" customHeight="1">
      <c r="J219" s="149"/>
    </row>
    <row r="220" ht="12.75" customHeight="1">
      <c r="J220" s="149"/>
    </row>
    <row r="221" ht="12.75" customHeight="1">
      <c r="J221" s="149"/>
    </row>
    <row r="222" ht="12.75" customHeight="1">
      <c r="J222" s="149"/>
    </row>
    <row r="223" ht="12.75" customHeight="1">
      <c r="J223" s="149"/>
    </row>
    <row r="224" ht="12.75" customHeight="1">
      <c r="J224" s="149"/>
    </row>
    <row r="225" ht="12.75" customHeight="1">
      <c r="J225" s="149"/>
    </row>
    <row r="226" ht="12.75" customHeight="1">
      <c r="J226" s="149"/>
    </row>
    <row r="227" ht="12.75" customHeight="1">
      <c r="J227" s="149"/>
    </row>
    <row r="228" ht="12.75" customHeight="1">
      <c r="J228" s="149"/>
    </row>
    <row r="229" ht="12.75" customHeight="1">
      <c r="J229" s="149"/>
    </row>
    <row r="230" ht="12.75" customHeight="1">
      <c r="J230" s="149"/>
    </row>
    <row r="231" ht="12.75" customHeight="1">
      <c r="J231" s="149"/>
    </row>
    <row r="232" ht="12.75" customHeight="1">
      <c r="J232" s="149"/>
    </row>
    <row r="233" ht="12.75" customHeight="1">
      <c r="J233" s="149"/>
    </row>
    <row r="234" ht="12.75" customHeight="1">
      <c r="J234" s="149"/>
    </row>
    <row r="235" ht="12.75" customHeight="1">
      <c r="J235" s="149"/>
    </row>
    <row r="236" ht="12.75" customHeight="1">
      <c r="J236" s="149"/>
    </row>
    <row r="237" ht="12.75" customHeight="1">
      <c r="J237" s="149"/>
    </row>
    <row r="238" ht="12.75" customHeight="1">
      <c r="J238" s="149"/>
    </row>
    <row r="239" ht="12.75" customHeight="1">
      <c r="J239" s="149"/>
    </row>
    <row r="240" ht="12.75">
      <c r="J240" s="149"/>
    </row>
    <row r="241" ht="12.75">
      <c r="J241" s="149"/>
    </row>
  </sheetData>
  <mergeCells count="2">
    <mergeCell ref="B9:J9"/>
    <mergeCell ref="B10:J10"/>
  </mergeCells>
  <printOptions horizontalCentered="1" verticalCentered="1"/>
  <pageMargins left="0.25" right="0.25" top="0.25" bottom="0.25" header="0" footer="0.5"/>
  <pageSetup fitToHeight="1" fitToWidth="1" horizontalDpi="600" verticalDpi="600" orientation="portrait" scale="61" r:id="rId1"/>
  <rowBreaks count="3" manualBreakCount="3">
    <brk id="16" max="10" man="1"/>
    <brk id="43" max="10" man="1"/>
    <brk id="7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9:J219"/>
  <sheetViews>
    <sheetView showGridLines="0" zoomScale="75" zoomScaleNormal="75" workbookViewId="0" topLeftCell="D9">
      <pane ySplit="8" topLeftCell="BM17" activePane="bottomLeft" state="frozen"/>
      <selection pane="topLeft" activeCell="F10" sqref="F10"/>
      <selection pane="bottomLeft" activeCell="M23" sqref="M23"/>
    </sheetView>
  </sheetViews>
  <sheetFormatPr defaultColWidth="9.140625" defaultRowHeight="12.75"/>
  <cols>
    <col min="1" max="1" width="1.57421875" style="0" customWidth="1"/>
    <col min="2" max="2" width="44.8515625" style="0" customWidth="1"/>
    <col min="3" max="3" width="12.421875" style="0" customWidth="1"/>
    <col min="4" max="4" width="11.8515625" style="0" customWidth="1"/>
    <col min="5" max="5" width="11.00390625" style="0" customWidth="1"/>
    <col min="6" max="6" width="12.140625" style="0" customWidth="1"/>
    <col min="7" max="7" width="10.57421875" style="117" customWidth="1"/>
    <col min="8" max="8" width="11.7109375" style="0" customWidth="1"/>
    <col min="9" max="9" width="12.7109375" style="0" customWidth="1"/>
    <col min="10" max="10" width="16.421875" style="0" customWidth="1"/>
    <col min="11" max="11" width="1.8515625" style="0" customWidth="1"/>
  </cols>
  <sheetData>
    <row r="9" spans="2:10" ht="12.75">
      <c r="B9" s="556" t="s">
        <v>311</v>
      </c>
      <c r="C9" s="556"/>
      <c r="D9" s="556"/>
      <c r="E9" s="556"/>
      <c r="F9" s="556"/>
      <c r="G9" s="556"/>
      <c r="H9" s="556"/>
      <c r="I9" s="556"/>
      <c r="J9" s="556"/>
    </row>
    <row r="10" spans="2:10" ht="12.75">
      <c r="B10" s="623" t="s">
        <v>251</v>
      </c>
      <c r="C10" s="623"/>
      <c r="D10" s="623"/>
      <c r="E10" s="623"/>
      <c r="F10" s="623"/>
      <c r="G10" s="623"/>
      <c r="H10" s="623"/>
      <c r="I10" s="623"/>
      <c r="J10" s="623"/>
    </row>
    <row r="11" spans="2:10" ht="13.5" thickBot="1">
      <c r="B11" s="4"/>
      <c r="C11" s="7"/>
      <c r="D11" s="8"/>
      <c r="E11" s="8"/>
      <c r="F11" s="8"/>
      <c r="G11" s="16"/>
      <c r="H11" s="7"/>
      <c r="I11" s="7"/>
      <c r="J11" s="9"/>
    </row>
    <row r="12" spans="2:10" ht="9" customHeight="1">
      <c r="B12" s="186"/>
      <c r="C12" s="187"/>
      <c r="D12" s="188"/>
      <c r="E12" s="188"/>
      <c r="F12" s="188"/>
      <c r="G12" s="189"/>
      <c r="H12" s="189"/>
      <c r="I12" s="189"/>
      <c r="J12" s="190"/>
    </row>
    <row r="13" spans="2:10" ht="12.75">
      <c r="B13" s="152"/>
      <c r="C13" s="191" t="s">
        <v>55</v>
      </c>
      <c r="D13" s="192" t="s">
        <v>3</v>
      </c>
      <c r="E13" s="192" t="s">
        <v>248</v>
      </c>
      <c r="F13" s="192" t="s">
        <v>244</v>
      </c>
      <c r="G13" s="153" t="s">
        <v>44</v>
      </c>
      <c r="H13" s="154" t="s">
        <v>6</v>
      </c>
      <c r="I13" s="154" t="s">
        <v>55</v>
      </c>
      <c r="J13" s="155" t="s">
        <v>250</v>
      </c>
    </row>
    <row r="14" spans="2:10" ht="12.75">
      <c r="B14" s="152"/>
      <c r="C14" s="193" t="s">
        <v>241</v>
      </c>
      <c r="D14" s="194" t="s">
        <v>4</v>
      </c>
      <c r="E14" s="194" t="s">
        <v>70</v>
      </c>
      <c r="F14" s="194" t="s">
        <v>245</v>
      </c>
      <c r="G14" s="153" t="s">
        <v>72</v>
      </c>
      <c r="H14" s="154" t="s">
        <v>71</v>
      </c>
      <c r="I14" s="154" t="s">
        <v>70</v>
      </c>
      <c r="J14" s="155" t="s">
        <v>249</v>
      </c>
    </row>
    <row r="15" spans="2:10" ht="12.75">
      <c r="B15" s="156" t="s">
        <v>7</v>
      </c>
      <c r="C15" s="193" t="s">
        <v>240</v>
      </c>
      <c r="D15" s="195" t="s">
        <v>8</v>
      </c>
      <c r="E15" s="157" t="s">
        <v>56</v>
      </c>
      <c r="F15" s="157" t="s">
        <v>56</v>
      </c>
      <c r="G15" s="153" t="s">
        <v>9</v>
      </c>
      <c r="H15" s="157" t="s">
        <v>56</v>
      </c>
      <c r="I15" s="157" t="s">
        <v>56</v>
      </c>
      <c r="J15" s="158" t="s">
        <v>56</v>
      </c>
    </row>
    <row r="16" spans="2:10" ht="13.5" thickBot="1">
      <c r="B16" s="159" t="s">
        <v>10</v>
      </c>
      <c r="C16" s="196" t="s">
        <v>11</v>
      </c>
      <c r="D16" s="197" t="s">
        <v>12</v>
      </c>
      <c r="E16" s="197" t="s">
        <v>12</v>
      </c>
      <c r="F16" s="197" t="s">
        <v>246</v>
      </c>
      <c r="G16" s="160" t="s">
        <v>73</v>
      </c>
      <c r="H16" s="161" t="s">
        <v>13</v>
      </c>
      <c r="I16" s="161" t="s">
        <v>13</v>
      </c>
      <c r="J16" s="162" t="s">
        <v>13</v>
      </c>
    </row>
    <row r="17" spans="2:10" ht="13.5" thickBot="1">
      <c r="B17" s="163" t="s">
        <v>35</v>
      </c>
      <c r="C17" s="198"/>
      <c r="D17" s="199"/>
      <c r="E17" s="199"/>
      <c r="F17" s="199"/>
      <c r="G17" s="164"/>
      <c r="H17" s="165"/>
      <c r="I17" s="165"/>
      <c r="J17" s="166"/>
    </row>
    <row r="18" spans="2:10" ht="13.5" thickBot="1">
      <c r="B18" s="200" t="s">
        <v>36</v>
      </c>
      <c r="C18" s="201"/>
      <c r="D18" s="202"/>
      <c r="E18" s="202"/>
      <c r="F18" s="202"/>
      <c r="G18" s="203"/>
      <c r="H18" s="204"/>
      <c r="I18" s="204"/>
      <c r="J18" s="205"/>
    </row>
    <row r="19" spans="2:10" ht="12.75">
      <c r="B19" s="206" t="s">
        <v>15</v>
      </c>
      <c r="C19" s="207"/>
      <c r="D19" s="208"/>
      <c r="E19" s="208"/>
      <c r="F19" s="208"/>
      <c r="G19" s="209"/>
      <c r="H19" s="210"/>
      <c r="I19" s="210"/>
      <c r="J19" s="211"/>
    </row>
    <row r="20" spans="2:10" ht="12.75">
      <c r="B20" s="212" t="s">
        <v>37</v>
      </c>
      <c r="C20" s="213"/>
      <c r="D20" s="214"/>
      <c r="E20" s="214"/>
      <c r="F20" s="214"/>
      <c r="G20" s="215"/>
      <c r="H20" s="216"/>
      <c r="I20" s="216"/>
      <c r="J20" s="217"/>
    </row>
    <row r="21" spans="2:10" ht="12.75">
      <c r="B21" s="218" t="s">
        <v>239</v>
      </c>
      <c r="C21" s="219">
        <v>0.3333333333333333</v>
      </c>
      <c r="D21" s="220">
        <v>0</v>
      </c>
      <c r="E21" s="221">
        <v>0</v>
      </c>
      <c r="F21" s="222" t="s">
        <v>149</v>
      </c>
      <c r="G21" s="223">
        <f>('Existing Tier 1'!G4+'Existing Tier 1'!I4+'Existing Tier 1'!J4)</f>
        <v>266</v>
      </c>
      <c r="H21" s="224">
        <f>C21*G21</f>
        <v>88.66666666666666</v>
      </c>
      <c r="I21" s="225">
        <f>H21*$C$15</f>
        <v>2130.66</v>
      </c>
      <c r="J21" s="226">
        <v>0</v>
      </c>
    </row>
    <row r="22" spans="2:10" ht="12.75">
      <c r="B22" s="218" t="s">
        <v>17</v>
      </c>
      <c r="C22" s="219">
        <v>0.3333333333333333</v>
      </c>
      <c r="D22" s="220">
        <v>0</v>
      </c>
      <c r="E22" s="221">
        <v>0</v>
      </c>
      <c r="F22" s="222" t="s">
        <v>149</v>
      </c>
      <c r="G22" s="223">
        <f>('Existing Tier 1'!G5+'Existing Tier 1'!I5+'Existing Tier 1'!J5)</f>
        <v>139</v>
      </c>
      <c r="H22" s="224">
        <f>C22*G22</f>
        <v>46.33333333333333</v>
      </c>
      <c r="I22" s="225">
        <f>H22*$C$15</f>
        <v>1113.3899999999999</v>
      </c>
      <c r="J22" s="226">
        <v>0</v>
      </c>
    </row>
    <row r="23" spans="2:10" ht="12.75">
      <c r="B23" s="227" t="s">
        <v>18</v>
      </c>
      <c r="C23" s="219">
        <v>0.3333333333333333</v>
      </c>
      <c r="D23" s="228">
        <v>0</v>
      </c>
      <c r="E23" s="229">
        <v>0</v>
      </c>
      <c r="F23" s="222" t="s">
        <v>149</v>
      </c>
      <c r="G23" s="223">
        <f>('Existing Tier 1'!G6+'Existing Tier 1'!I6+'Existing Tier 1'!J6)</f>
        <v>13</v>
      </c>
      <c r="H23" s="224">
        <f>C23*G23</f>
        <v>4.333333333333333</v>
      </c>
      <c r="I23" s="225">
        <f>H23*$C$15</f>
        <v>104.13</v>
      </c>
      <c r="J23" s="230">
        <v>0</v>
      </c>
    </row>
    <row r="24" spans="2:10" ht="12.75">
      <c r="B24" s="231" t="s">
        <v>64</v>
      </c>
      <c r="C24" s="219">
        <v>0.3333333333333333</v>
      </c>
      <c r="D24" s="228">
        <v>0</v>
      </c>
      <c r="E24" s="229">
        <v>0</v>
      </c>
      <c r="F24" s="222" t="s">
        <v>149</v>
      </c>
      <c r="G24" s="223">
        <f>('Existing Tier 1'!G7+'Existing Tier 1'!I7+'Existing Tier 1'!J7)</f>
        <v>8</v>
      </c>
      <c r="H24" s="224">
        <f>C24*G24</f>
        <v>2.6666666666666665</v>
      </c>
      <c r="I24" s="225">
        <f>H24*$C$15</f>
        <v>64.08</v>
      </c>
      <c r="J24" s="230">
        <v>0</v>
      </c>
    </row>
    <row r="25" spans="2:10" ht="13.5" thickBot="1">
      <c r="B25" s="231" t="s">
        <v>19</v>
      </c>
      <c r="C25" s="219">
        <v>0.3333333333333333</v>
      </c>
      <c r="D25" s="228">
        <v>0</v>
      </c>
      <c r="E25" s="232">
        <v>0</v>
      </c>
      <c r="F25" s="222" t="s">
        <v>149</v>
      </c>
      <c r="G25" s="223">
        <f>('Existing Tier 1'!G8+'Existing Tier 1'!I8+'Existing Tier 1'!J8)</f>
        <v>1</v>
      </c>
      <c r="H25" s="224">
        <f>C25*G25</f>
        <v>0.3333333333333333</v>
      </c>
      <c r="I25" s="225">
        <f>H25*$C$15</f>
        <v>8.01</v>
      </c>
      <c r="J25" s="230">
        <v>0</v>
      </c>
    </row>
    <row r="26" spans="2:10" ht="12.75">
      <c r="B26" s="206" t="s">
        <v>20</v>
      </c>
      <c r="C26" s="233"/>
      <c r="D26" s="208"/>
      <c r="E26" s="208"/>
      <c r="F26" s="234"/>
      <c r="G26" s="209"/>
      <c r="H26" s="233"/>
      <c r="I26" s="233"/>
      <c r="J26" s="211"/>
    </row>
    <row r="27" spans="2:10" ht="12.75">
      <c r="B27" s="212" t="s">
        <v>38</v>
      </c>
      <c r="C27" s="235"/>
      <c r="D27" s="214"/>
      <c r="E27" s="214"/>
      <c r="F27" s="236"/>
      <c r="G27" s="215"/>
      <c r="H27" s="235"/>
      <c r="I27" s="235"/>
      <c r="J27" s="217"/>
    </row>
    <row r="28" spans="2:10" ht="12.75">
      <c r="B28" s="218" t="s">
        <v>239</v>
      </c>
      <c r="C28" s="219">
        <v>0.3333333333333333</v>
      </c>
      <c r="D28" s="220">
        <v>0</v>
      </c>
      <c r="E28" s="221">
        <v>0</v>
      </c>
      <c r="F28" s="222" t="str">
        <f>F21</f>
        <v>N/A</v>
      </c>
      <c r="G28" s="237">
        <f>('Existing Tier 1'!D4-'Existing Tier 1'!E4)*0.1</f>
        <v>211.8</v>
      </c>
      <c r="H28" s="238">
        <f aca="true" t="shared" si="0" ref="H28:H38">C28*G28</f>
        <v>70.6</v>
      </c>
      <c r="I28" s="225">
        <f>H28*$C$15</f>
        <v>1696.518</v>
      </c>
      <c r="J28" s="226">
        <v>0</v>
      </c>
    </row>
    <row r="29" spans="2:10" ht="12.75">
      <c r="B29" s="218" t="s">
        <v>17</v>
      </c>
      <c r="C29" s="219">
        <v>0.3333333333333333</v>
      </c>
      <c r="D29" s="220">
        <v>0</v>
      </c>
      <c r="E29" s="221">
        <v>0</v>
      </c>
      <c r="F29" s="222" t="str">
        <f>F22</f>
        <v>N/A</v>
      </c>
      <c r="G29" s="237">
        <v>0</v>
      </c>
      <c r="H29" s="238">
        <f t="shared" si="0"/>
        <v>0</v>
      </c>
      <c r="I29" s="225">
        <v>0</v>
      </c>
      <c r="J29" s="226">
        <v>0</v>
      </c>
    </row>
    <row r="30" spans="2:10" ht="12.75">
      <c r="B30" s="227" t="s">
        <v>18</v>
      </c>
      <c r="C30" s="219">
        <v>0.3333333333333333</v>
      </c>
      <c r="D30" s="228">
        <v>0</v>
      </c>
      <c r="E30" s="229">
        <v>0</v>
      </c>
      <c r="F30" s="222" t="str">
        <f>F23</f>
        <v>N/A</v>
      </c>
      <c r="G30" s="237">
        <v>0</v>
      </c>
      <c r="H30" s="238">
        <f t="shared" si="0"/>
        <v>0</v>
      </c>
      <c r="I30" s="225">
        <v>0</v>
      </c>
      <c r="J30" s="230">
        <v>0</v>
      </c>
    </row>
    <row r="31" spans="2:10" ht="12.75">
      <c r="B31" s="231" t="s">
        <v>64</v>
      </c>
      <c r="C31" s="219">
        <v>0.333333333333333</v>
      </c>
      <c r="D31" s="228">
        <v>0</v>
      </c>
      <c r="E31" s="229">
        <v>0</v>
      </c>
      <c r="F31" s="222" t="str">
        <f>F24</f>
        <v>N/A</v>
      </c>
      <c r="G31" s="237">
        <v>0</v>
      </c>
      <c r="H31" s="238">
        <f t="shared" si="0"/>
        <v>0</v>
      </c>
      <c r="I31" s="225">
        <v>0</v>
      </c>
      <c r="J31" s="230">
        <v>0</v>
      </c>
    </row>
    <row r="32" spans="2:10" ht="12.75">
      <c r="B32" s="231" t="s">
        <v>19</v>
      </c>
      <c r="C32" s="219">
        <v>0.333333333333333</v>
      </c>
      <c r="D32" s="228">
        <v>0</v>
      </c>
      <c r="E32" s="239">
        <v>0</v>
      </c>
      <c r="F32" s="222" t="str">
        <f>F25</f>
        <v>N/A</v>
      </c>
      <c r="G32" s="237">
        <v>0</v>
      </c>
      <c r="H32" s="238">
        <f t="shared" si="0"/>
        <v>0</v>
      </c>
      <c r="I32" s="225">
        <v>0</v>
      </c>
      <c r="J32" s="230">
        <v>0</v>
      </c>
    </row>
    <row r="33" spans="2:10" ht="15.75">
      <c r="B33" s="212" t="s">
        <v>39</v>
      </c>
      <c r="C33" s="235"/>
      <c r="D33" s="214"/>
      <c r="E33" s="214"/>
      <c r="F33" s="236"/>
      <c r="G33" s="215"/>
      <c r="H33" s="235"/>
      <c r="I33" s="235"/>
      <c r="J33" s="217"/>
    </row>
    <row r="34" spans="2:10" ht="12.75">
      <c r="B34" s="218" t="s">
        <v>239</v>
      </c>
      <c r="C34" s="219">
        <v>0.3333333333333333</v>
      </c>
      <c r="D34" s="220">
        <v>0</v>
      </c>
      <c r="E34" s="221">
        <v>0</v>
      </c>
      <c r="F34" s="222" t="str">
        <f>F28</f>
        <v>N/A</v>
      </c>
      <c r="G34" s="223">
        <f>'Existing Tier 2'!G5+'Stage 1'!H5+'Stage 1'!J5+'Stage 1'!L5+'Stage 1'!N5+'Stage 1'!E5+'Stage 1'!Q5+Rads!E5+Rads!F5-('Existing Tier 1'!D4-'Existing Tier 1'!E4)</f>
        <v>944.8180463314984</v>
      </c>
      <c r="H34" s="238">
        <f t="shared" si="0"/>
        <v>314.9393487771661</v>
      </c>
      <c r="I34" s="225">
        <f>H34*$C$15</f>
        <v>7567.992551115302</v>
      </c>
      <c r="J34" s="226">
        <v>0</v>
      </c>
    </row>
    <row r="35" spans="2:10" ht="12.75">
      <c r="B35" s="218" t="s">
        <v>17</v>
      </c>
      <c r="C35" s="219">
        <v>0.3333333333333333</v>
      </c>
      <c r="D35" s="220">
        <v>0</v>
      </c>
      <c r="E35" s="221">
        <v>0</v>
      </c>
      <c r="F35" s="222" t="str">
        <f>F29</f>
        <v>N/A</v>
      </c>
      <c r="G35" s="223">
        <f>'Existing Tier 2'!G6+'Stage 1'!H6+'Stage 1'!J6+'Stage 1'!L6+'Stage 1'!N6+'Stage 1'!E6+'Stage 1'!Q6+Rads!E6+Rads!F6-('Existing Tier 1'!D5-'Existing Tier 1'!E5)</f>
        <v>584.1829977006666</v>
      </c>
      <c r="H35" s="238">
        <f t="shared" si="0"/>
        <v>194.7276659002222</v>
      </c>
      <c r="I35" s="225">
        <f>H35*$C$15</f>
        <v>4679.30581158234</v>
      </c>
      <c r="J35" s="226">
        <v>0</v>
      </c>
    </row>
    <row r="36" spans="2:10" ht="12.75">
      <c r="B36" s="227" t="s">
        <v>18</v>
      </c>
      <c r="C36" s="219">
        <v>0.3333333333333333</v>
      </c>
      <c r="D36" s="228">
        <v>0</v>
      </c>
      <c r="E36" s="229">
        <v>0</v>
      </c>
      <c r="F36" s="222" t="str">
        <f>F30</f>
        <v>N/A</v>
      </c>
      <c r="G36" s="223">
        <f>'Existing Tier 2'!G7+'Stage 1'!H7+'Stage 1'!J7+'Stage 1'!L7+'Stage 1'!N7+'Stage 1'!E7+'Stage 1'!Q7+Rads!E7+Rads!F7-('Existing Tier 1'!D6-'Existing Tier 1'!E6)</f>
        <v>167.90636004237354</v>
      </c>
      <c r="H36" s="238">
        <f t="shared" si="0"/>
        <v>55.968786680791176</v>
      </c>
      <c r="I36" s="225">
        <f>H36*$C$15</f>
        <v>1344.929943939412</v>
      </c>
      <c r="J36" s="230">
        <v>0</v>
      </c>
    </row>
    <row r="37" spans="2:10" ht="12.75">
      <c r="B37" s="231" t="s">
        <v>64</v>
      </c>
      <c r="C37" s="219">
        <v>0.333333333333333</v>
      </c>
      <c r="D37" s="228">
        <v>0</v>
      </c>
      <c r="E37" s="229">
        <v>0</v>
      </c>
      <c r="F37" s="222" t="str">
        <f>F31</f>
        <v>N/A</v>
      </c>
      <c r="G37" s="223">
        <f>'Existing Tier 2'!G8+'Stage 1'!E8+'Stage 1'!G8+'Stage 1'!I8+'Stage 1'!K8+'Stage 1'!M8+'Stage 1'!P8+Rads!E8+Rads!F8-('Existing Tier 1'!D7-'Existing Tier 1'!E7)</f>
        <v>149.5</v>
      </c>
      <c r="H37" s="238">
        <f t="shared" si="0"/>
        <v>49.83333333333328</v>
      </c>
      <c r="I37" s="225">
        <f>H37*$C$15</f>
        <v>1197.4949999999988</v>
      </c>
      <c r="J37" s="230">
        <v>0</v>
      </c>
    </row>
    <row r="38" spans="2:10" ht="13.5" thickBot="1">
      <c r="B38" s="231" t="s">
        <v>19</v>
      </c>
      <c r="C38" s="219">
        <v>0.333333333333333</v>
      </c>
      <c r="D38" s="228">
        <v>0</v>
      </c>
      <c r="E38" s="239">
        <v>0</v>
      </c>
      <c r="F38" s="222" t="str">
        <f>F32</f>
        <v>N/A</v>
      </c>
      <c r="G38" s="223">
        <f>'Existing Tier 2'!G9+'Stage 1'!E9+'Stage 1'!G9+'Stage 1'!I9+'Stage 1'!K9+'Stage 1'!M9+'Stage 1'!P9+Rads!E9+Rads!F9-('Existing Tier 1'!D8-'Existing Tier 1'!E8)</f>
        <v>14.412862464392667</v>
      </c>
      <c r="H38" s="238">
        <f t="shared" si="0"/>
        <v>4.804287488130884</v>
      </c>
      <c r="I38" s="225">
        <f>H38*$C$15</f>
        <v>115.44702833978513</v>
      </c>
      <c r="J38" s="230">
        <v>0</v>
      </c>
    </row>
    <row r="39" spans="2:10" ht="12.75">
      <c r="B39" s="240" t="s">
        <v>40</v>
      </c>
      <c r="C39" s="241"/>
      <c r="D39" s="242"/>
      <c r="E39" s="242"/>
      <c r="F39" s="242"/>
      <c r="G39" s="243"/>
      <c r="H39" s="244"/>
      <c r="I39" s="244"/>
      <c r="J39" s="245"/>
    </row>
    <row r="40" spans="2:10" ht="12.75">
      <c r="B40" s="212" t="s">
        <v>23</v>
      </c>
      <c r="C40" s="213"/>
      <c r="D40" s="214"/>
      <c r="E40" s="214"/>
      <c r="F40" s="214"/>
      <c r="G40" s="215"/>
      <c r="H40" s="235"/>
      <c r="I40" s="235"/>
      <c r="J40" s="217"/>
    </row>
    <row r="41" spans="2:10" ht="12.75">
      <c r="B41" s="246" t="s">
        <v>239</v>
      </c>
      <c r="C41" s="247"/>
      <c r="D41" s="247"/>
      <c r="E41" s="247"/>
      <c r="F41" s="248"/>
      <c r="G41" s="249">
        <f aca="true" t="shared" si="1" ref="G41:J45">G21+G28+G34</f>
        <v>1422.6180463314984</v>
      </c>
      <c r="H41" s="172">
        <f t="shared" si="1"/>
        <v>474.20601544383277</v>
      </c>
      <c r="I41" s="173">
        <f t="shared" si="1"/>
        <v>11395.170551115301</v>
      </c>
      <c r="J41" s="226">
        <f t="shared" si="1"/>
        <v>0</v>
      </c>
    </row>
    <row r="42" spans="2:10" ht="12.75">
      <c r="B42" s="218" t="s">
        <v>17</v>
      </c>
      <c r="C42" s="247"/>
      <c r="D42" s="247"/>
      <c r="E42" s="247"/>
      <c r="F42" s="248"/>
      <c r="G42" s="249">
        <f t="shared" si="1"/>
        <v>723.1829977006666</v>
      </c>
      <c r="H42" s="172">
        <f aca="true" t="shared" si="2" ref="H42:I45">H22+H29+H35</f>
        <v>241.06099923355555</v>
      </c>
      <c r="I42" s="173">
        <f t="shared" si="2"/>
        <v>5792.69581158234</v>
      </c>
      <c r="J42" s="226">
        <f t="shared" si="1"/>
        <v>0</v>
      </c>
    </row>
    <row r="43" spans="2:10" ht="12.75">
      <c r="B43" s="218" t="s">
        <v>18</v>
      </c>
      <c r="C43" s="247"/>
      <c r="D43" s="247"/>
      <c r="E43" s="247"/>
      <c r="F43" s="250"/>
      <c r="G43" s="249">
        <f t="shared" si="1"/>
        <v>180.90636004237354</v>
      </c>
      <c r="H43" s="172">
        <f t="shared" si="2"/>
        <v>60.30212001412451</v>
      </c>
      <c r="I43" s="173">
        <f t="shared" si="2"/>
        <v>1449.0599439394118</v>
      </c>
      <c r="J43" s="226">
        <f t="shared" si="1"/>
        <v>0</v>
      </c>
    </row>
    <row r="44" spans="2:10" ht="12.75">
      <c r="B44" s="218" t="s">
        <v>64</v>
      </c>
      <c r="C44" s="247"/>
      <c r="D44" s="247"/>
      <c r="E44" s="247"/>
      <c r="F44" s="250"/>
      <c r="G44" s="249">
        <f t="shared" si="1"/>
        <v>157.5</v>
      </c>
      <c r="H44" s="172">
        <f t="shared" si="2"/>
        <v>52.49999999999994</v>
      </c>
      <c r="I44" s="173">
        <f t="shared" si="2"/>
        <v>1261.5749999999987</v>
      </c>
      <c r="J44" s="226">
        <f t="shared" si="1"/>
        <v>0</v>
      </c>
    </row>
    <row r="45" spans="2:10" ht="13.5" thickBot="1">
      <c r="B45" s="218" t="s">
        <v>19</v>
      </c>
      <c r="C45" s="251"/>
      <c r="D45" s="251"/>
      <c r="E45" s="251"/>
      <c r="F45" s="252"/>
      <c r="G45" s="253">
        <f t="shared" si="1"/>
        <v>15.412862464392667</v>
      </c>
      <c r="H45" s="172">
        <f t="shared" si="2"/>
        <v>5.137620821464217</v>
      </c>
      <c r="I45" s="173">
        <f t="shared" si="2"/>
        <v>123.45702833978514</v>
      </c>
      <c r="J45" s="226">
        <f t="shared" si="1"/>
        <v>0</v>
      </c>
    </row>
    <row r="46" spans="2:10" ht="13.5" thickBot="1">
      <c r="B46" s="254" t="s">
        <v>1</v>
      </c>
      <c r="C46" s="255"/>
      <c r="D46" s="255"/>
      <c r="E46" s="255"/>
      <c r="F46" s="256"/>
      <c r="G46" s="257">
        <f>SUM(G41:G45)</f>
        <v>2499.620266538931</v>
      </c>
      <c r="H46" s="176">
        <f>SUM(H41:H45)</f>
        <v>833.206755512977</v>
      </c>
      <c r="I46" s="258">
        <f>SUM(I41:I45)</f>
        <v>20021.958334976836</v>
      </c>
      <c r="J46" s="259">
        <f>SUM(J41:J45)</f>
        <v>0</v>
      </c>
    </row>
    <row r="47" spans="2:10" ht="13.5" thickBot="1">
      <c r="B47" s="260" t="s">
        <v>41</v>
      </c>
      <c r="C47" s="261"/>
      <c r="D47" s="262"/>
      <c r="E47" s="262"/>
      <c r="F47" s="262"/>
      <c r="G47" s="263"/>
      <c r="H47" s="264"/>
      <c r="I47" s="264"/>
      <c r="J47" s="265"/>
    </row>
    <row r="48" spans="2:10" ht="12.75">
      <c r="B48" s="266" t="s">
        <v>27</v>
      </c>
      <c r="C48" s="267"/>
      <c r="D48" s="268"/>
      <c r="E48" s="268"/>
      <c r="F48" s="268"/>
      <c r="G48" s="243"/>
      <c r="H48" s="269"/>
      <c r="I48" s="269"/>
      <c r="J48" s="270"/>
    </row>
    <row r="49" spans="2:10" ht="12.75">
      <c r="B49" s="212" t="s">
        <v>37</v>
      </c>
      <c r="C49" s="213"/>
      <c r="D49" s="214"/>
      <c r="E49" s="214"/>
      <c r="F49" s="214"/>
      <c r="G49" s="215"/>
      <c r="H49" s="216"/>
      <c r="I49" s="216"/>
      <c r="J49" s="217"/>
    </row>
    <row r="50" spans="2:10" ht="12.75">
      <c r="B50" s="218" t="s">
        <v>243</v>
      </c>
      <c r="C50" s="224">
        <f>'Dist Burden'!C20</f>
        <v>12</v>
      </c>
      <c r="D50" s="220">
        <v>0</v>
      </c>
      <c r="E50" s="221">
        <f>'Dist Burden'!E20</f>
        <v>0.045</v>
      </c>
      <c r="F50" s="271">
        <f>'Dist Burden'!F20</f>
        <v>86</v>
      </c>
      <c r="G50" s="223">
        <f>+G21</f>
        <v>266</v>
      </c>
      <c r="H50" s="224">
        <f>C50*G50</f>
        <v>3192</v>
      </c>
      <c r="I50" s="225">
        <f>H50*$C$15</f>
        <v>76703.76000000001</v>
      </c>
      <c r="J50" s="226">
        <f>E50*F50*G50</f>
        <v>1029.4199999999998</v>
      </c>
    </row>
    <row r="51" spans="2:10" ht="12.75">
      <c r="B51" s="218" t="s">
        <v>28</v>
      </c>
      <c r="C51" s="224">
        <f>'Dist Burden'!C21</f>
        <v>12</v>
      </c>
      <c r="D51" s="220">
        <v>0</v>
      </c>
      <c r="E51" s="221">
        <f>'Dist Burden'!E21</f>
        <v>0</v>
      </c>
      <c r="F51" s="271">
        <f>'Dist Burden'!F21</f>
        <v>505</v>
      </c>
      <c r="G51" s="223">
        <f>+G22</f>
        <v>139</v>
      </c>
      <c r="H51" s="224">
        <f>C51*G51</f>
        <v>1668</v>
      </c>
      <c r="I51" s="225">
        <f>H51*$C$15</f>
        <v>40082.04</v>
      </c>
      <c r="J51" s="226">
        <f>E51*F51*G51</f>
        <v>0</v>
      </c>
    </row>
    <row r="52" spans="2:10" ht="12.75">
      <c r="B52" s="227" t="s">
        <v>29</v>
      </c>
      <c r="C52" s="224">
        <f>'Dist Burden'!C22</f>
        <v>12</v>
      </c>
      <c r="D52" s="228">
        <v>0</v>
      </c>
      <c r="E52" s="221">
        <f>'Dist Burden'!E22</f>
        <v>0</v>
      </c>
      <c r="F52" s="271">
        <f>'Dist Burden'!F22</f>
        <v>1958</v>
      </c>
      <c r="G52" s="223">
        <f>+G23</f>
        <v>13</v>
      </c>
      <c r="H52" s="224">
        <f>C52*G52</f>
        <v>156</v>
      </c>
      <c r="I52" s="225">
        <f>H52*$C$15</f>
        <v>3748.6800000000003</v>
      </c>
      <c r="J52" s="226">
        <f>E52*F52*G52</f>
        <v>0</v>
      </c>
    </row>
    <row r="53" spans="2:10" ht="12.75">
      <c r="B53" s="231" t="s">
        <v>65</v>
      </c>
      <c r="C53" s="224">
        <f>'Dist Burden'!C23</f>
        <v>12</v>
      </c>
      <c r="D53" s="228">
        <v>0</v>
      </c>
      <c r="E53" s="221">
        <f>'Dist Burden'!E23</f>
        <v>0</v>
      </c>
      <c r="F53" s="271">
        <f>'Dist Burden'!F23</f>
        <v>8619</v>
      </c>
      <c r="G53" s="223">
        <f>+G24</f>
        <v>8</v>
      </c>
      <c r="H53" s="224">
        <f>C53*G53</f>
        <v>96</v>
      </c>
      <c r="I53" s="225">
        <f>H53*$C$15</f>
        <v>2306.88</v>
      </c>
      <c r="J53" s="226">
        <f>E53*F53*G53</f>
        <v>0</v>
      </c>
    </row>
    <row r="54" spans="2:10" ht="12.75">
      <c r="B54" s="272" t="s">
        <v>30</v>
      </c>
      <c r="C54" s="224">
        <f>'Dist Burden'!C24</f>
        <v>12</v>
      </c>
      <c r="D54" s="273">
        <v>0</v>
      </c>
      <c r="E54" s="221">
        <f>'Dist Burden'!E24</f>
        <v>0</v>
      </c>
      <c r="F54" s="271">
        <f>'Dist Burden'!F24</f>
        <v>110258</v>
      </c>
      <c r="G54" s="223">
        <f>+G25</f>
        <v>1</v>
      </c>
      <c r="H54" s="224">
        <f>C54*G54</f>
        <v>12</v>
      </c>
      <c r="I54" s="225">
        <f>H54*$C$15</f>
        <v>288.36</v>
      </c>
      <c r="J54" s="226">
        <f>E54*F54*G54</f>
        <v>0</v>
      </c>
    </row>
    <row r="55" spans="2:10" ht="12.75">
      <c r="B55" s="260" t="s">
        <v>31</v>
      </c>
      <c r="C55" s="274"/>
      <c r="D55" s="262"/>
      <c r="E55" s="262"/>
      <c r="F55" s="262"/>
      <c r="G55" s="275"/>
      <c r="H55" s="274"/>
      <c r="I55" s="274"/>
      <c r="J55" s="265"/>
    </row>
    <row r="56" spans="2:10" ht="12.75">
      <c r="B56" s="212" t="s">
        <v>38</v>
      </c>
      <c r="C56" s="235"/>
      <c r="D56" s="214"/>
      <c r="E56" s="214"/>
      <c r="F56" s="214"/>
      <c r="G56" s="215"/>
      <c r="H56" s="235"/>
      <c r="I56" s="235"/>
      <c r="J56" s="217"/>
    </row>
    <row r="57" spans="2:10" ht="12.75">
      <c r="B57" s="218" t="s">
        <v>243</v>
      </c>
      <c r="C57" s="224">
        <f>'Dist Burden'!C39</f>
        <v>9</v>
      </c>
      <c r="D57" s="220">
        <v>0</v>
      </c>
      <c r="E57" s="221">
        <f>'Dist Burden'!E39</f>
        <v>0.045</v>
      </c>
      <c r="F57" s="271">
        <f>F50</f>
        <v>86</v>
      </c>
      <c r="G57" s="223">
        <f>+G28</f>
        <v>211.8</v>
      </c>
      <c r="H57" s="224">
        <f>C57*G57</f>
        <v>1906.2</v>
      </c>
      <c r="I57" s="225">
        <f aca="true" t="shared" si="3" ref="I57:I67">H57*$C$15</f>
        <v>45805.986000000004</v>
      </c>
      <c r="J57" s="226">
        <f aca="true" t="shared" si="4" ref="J57:J67">E57*F57*G57</f>
        <v>819.6659999999999</v>
      </c>
    </row>
    <row r="58" spans="2:10" ht="12.75">
      <c r="B58" s="218" t="s">
        <v>50</v>
      </c>
      <c r="C58" s="224">
        <f>'Dist Burden'!C40</f>
        <v>30</v>
      </c>
      <c r="D58" s="220">
        <v>0</v>
      </c>
      <c r="E58" s="221">
        <f>'Dist Burden'!E40</f>
        <v>0.21500000000000002</v>
      </c>
      <c r="F58" s="271">
        <f>F51</f>
        <v>505</v>
      </c>
      <c r="G58" s="237">
        <f>+G29</f>
        <v>0</v>
      </c>
      <c r="H58" s="238">
        <f>C58*G58</f>
        <v>0</v>
      </c>
      <c r="I58" s="225">
        <f t="shared" si="3"/>
        <v>0</v>
      </c>
      <c r="J58" s="226">
        <f t="shared" si="4"/>
        <v>0</v>
      </c>
    </row>
    <row r="59" spans="2:10" ht="12.75">
      <c r="B59" s="227" t="s">
        <v>51</v>
      </c>
      <c r="C59" s="224">
        <f>'Dist Burden'!C41</f>
        <v>30</v>
      </c>
      <c r="D59" s="228">
        <v>0</v>
      </c>
      <c r="E59" s="221">
        <f>'Dist Burden'!E41</f>
        <v>0.21500000000000002</v>
      </c>
      <c r="F59" s="271">
        <f>F52</f>
        <v>1958</v>
      </c>
      <c r="G59" s="237">
        <f>+G30</f>
        <v>0</v>
      </c>
      <c r="H59" s="238">
        <f>C59*G59</f>
        <v>0</v>
      </c>
      <c r="I59" s="225">
        <f t="shared" si="3"/>
        <v>0</v>
      </c>
      <c r="J59" s="226">
        <f t="shared" si="4"/>
        <v>0</v>
      </c>
    </row>
    <row r="60" spans="2:10" ht="25.5">
      <c r="B60" s="231" t="s">
        <v>67</v>
      </c>
      <c r="C60" s="224">
        <f>'Dist Burden'!C42</f>
        <v>30</v>
      </c>
      <c r="D60" s="228">
        <v>0</v>
      </c>
      <c r="E60" s="221">
        <f>'Dist Burden'!E42</f>
        <v>0.19</v>
      </c>
      <c r="F60" s="271">
        <f>F53</f>
        <v>8619</v>
      </c>
      <c r="G60" s="237">
        <f>+G31</f>
        <v>0</v>
      </c>
      <c r="H60" s="238">
        <f>C60*G60</f>
        <v>0</v>
      </c>
      <c r="I60" s="225">
        <f t="shared" si="3"/>
        <v>0</v>
      </c>
      <c r="J60" s="226">
        <f t="shared" si="4"/>
        <v>0</v>
      </c>
    </row>
    <row r="61" spans="2:10" ht="12.75">
      <c r="B61" s="272" t="s">
        <v>52</v>
      </c>
      <c r="C61" s="224">
        <f>'Dist Burden'!C43</f>
        <v>30</v>
      </c>
      <c r="D61" s="273">
        <v>0</v>
      </c>
      <c r="E61" s="221">
        <f>'Dist Burden'!E43</f>
        <v>0.19</v>
      </c>
      <c r="F61" s="271">
        <f>F54</f>
        <v>110258</v>
      </c>
      <c r="G61" s="237">
        <f>+G32</f>
        <v>0</v>
      </c>
      <c r="H61" s="238">
        <f>C61*G61</f>
        <v>0</v>
      </c>
      <c r="I61" s="225">
        <f t="shared" si="3"/>
        <v>0</v>
      </c>
      <c r="J61" s="226">
        <f t="shared" si="4"/>
        <v>0</v>
      </c>
    </row>
    <row r="62" spans="2:10" ht="15.75">
      <c r="B62" s="212" t="s">
        <v>39</v>
      </c>
      <c r="C62" s="235"/>
      <c r="D62" s="214"/>
      <c r="E62" s="214"/>
      <c r="F62" s="214"/>
      <c r="G62" s="215"/>
      <c r="H62" s="235"/>
      <c r="I62" s="235"/>
      <c r="J62" s="217"/>
    </row>
    <row r="63" spans="2:10" ht="12.75">
      <c r="B63" s="218" t="s">
        <v>243</v>
      </c>
      <c r="C63" s="224">
        <f>C57</f>
        <v>9</v>
      </c>
      <c r="D63" s="220">
        <v>0</v>
      </c>
      <c r="E63" s="221">
        <f aca="true" t="shared" si="5" ref="E63:F67">E57</f>
        <v>0.045</v>
      </c>
      <c r="F63" s="271">
        <f t="shared" si="5"/>
        <v>86</v>
      </c>
      <c r="G63" s="223">
        <f>+G34</f>
        <v>944.8180463314984</v>
      </c>
      <c r="H63" s="224">
        <f>SUM(C63:C63)*G63</f>
        <v>8503.362416983486</v>
      </c>
      <c r="I63" s="225">
        <f t="shared" si="3"/>
        <v>204335.79888011317</v>
      </c>
      <c r="J63" s="226">
        <f t="shared" si="4"/>
        <v>3656.4458393028985</v>
      </c>
    </row>
    <row r="64" spans="2:10" ht="12.75">
      <c r="B64" s="218" t="s">
        <v>50</v>
      </c>
      <c r="C64" s="224">
        <f>C58</f>
        <v>30</v>
      </c>
      <c r="D64" s="220">
        <v>0</v>
      </c>
      <c r="E64" s="221">
        <f t="shared" si="5"/>
        <v>0.21500000000000002</v>
      </c>
      <c r="F64" s="271">
        <f t="shared" si="5"/>
        <v>505</v>
      </c>
      <c r="G64" s="223">
        <f>+G35</f>
        <v>584.1829977006666</v>
      </c>
      <c r="H64" s="224">
        <f>SUM(C64:C64)*G64</f>
        <v>17525.489931019998</v>
      </c>
      <c r="I64" s="225">
        <f t="shared" si="3"/>
        <v>421137.52304241055</v>
      </c>
      <c r="J64" s="226">
        <f t="shared" si="4"/>
        <v>63427.668975349894</v>
      </c>
    </row>
    <row r="65" spans="2:10" ht="12.75">
      <c r="B65" s="227" t="s">
        <v>51</v>
      </c>
      <c r="C65" s="224">
        <f>C59</f>
        <v>30</v>
      </c>
      <c r="D65" s="228">
        <v>0</v>
      </c>
      <c r="E65" s="221">
        <f t="shared" si="5"/>
        <v>0.21500000000000002</v>
      </c>
      <c r="F65" s="271">
        <f t="shared" si="5"/>
        <v>1958</v>
      </c>
      <c r="G65" s="223">
        <f>+G36</f>
        <v>167.90636004237354</v>
      </c>
      <c r="H65" s="224">
        <f>SUM(C65:C65)*G65</f>
        <v>5037.1908012712065</v>
      </c>
      <c r="I65" s="225">
        <f t="shared" si="3"/>
        <v>121043.6949545471</v>
      </c>
      <c r="J65" s="226">
        <f t="shared" si="4"/>
        <v>70683.540387038</v>
      </c>
    </row>
    <row r="66" spans="2:10" ht="25.5">
      <c r="B66" s="231" t="s">
        <v>67</v>
      </c>
      <c r="C66" s="224">
        <f>C60</f>
        <v>30</v>
      </c>
      <c r="D66" s="228">
        <v>0</v>
      </c>
      <c r="E66" s="221">
        <f t="shared" si="5"/>
        <v>0.19</v>
      </c>
      <c r="F66" s="271">
        <f t="shared" si="5"/>
        <v>8619</v>
      </c>
      <c r="G66" s="223">
        <f>+G37</f>
        <v>149.5</v>
      </c>
      <c r="H66" s="224">
        <f>SUM(C66:C66)*G66</f>
        <v>4485</v>
      </c>
      <c r="I66" s="225">
        <f t="shared" si="3"/>
        <v>107774.55</v>
      </c>
      <c r="J66" s="226">
        <f t="shared" si="4"/>
        <v>244822.695</v>
      </c>
    </row>
    <row r="67" spans="2:10" ht="13.5" thickBot="1">
      <c r="B67" s="272" t="s">
        <v>52</v>
      </c>
      <c r="C67" s="224">
        <f>C61</f>
        <v>30</v>
      </c>
      <c r="D67" s="273">
        <v>0</v>
      </c>
      <c r="E67" s="221">
        <f t="shared" si="5"/>
        <v>0.19</v>
      </c>
      <c r="F67" s="271">
        <f t="shared" si="5"/>
        <v>110258</v>
      </c>
      <c r="G67" s="223">
        <f>+G38</f>
        <v>14.412862464392667</v>
      </c>
      <c r="H67" s="224">
        <f>SUM(C67:C67)*G67</f>
        <v>432.38587393178</v>
      </c>
      <c r="I67" s="225">
        <f t="shared" si="3"/>
        <v>10390.232550580673</v>
      </c>
      <c r="J67" s="226">
        <f t="shared" si="4"/>
        <v>301935.3440238113</v>
      </c>
    </row>
    <row r="68" spans="2:10" ht="12.75">
      <c r="B68" s="276" t="s">
        <v>42</v>
      </c>
      <c r="C68" s="277"/>
      <c r="D68" s="278"/>
      <c r="E68" s="278"/>
      <c r="F68" s="278"/>
      <c r="G68" s="279"/>
      <c r="H68" s="280"/>
      <c r="I68" s="280"/>
      <c r="J68" s="281"/>
    </row>
    <row r="69" spans="2:10" ht="12.75">
      <c r="B69" s="167" t="s">
        <v>23</v>
      </c>
      <c r="C69" s="282"/>
      <c r="D69" s="283"/>
      <c r="E69" s="283"/>
      <c r="F69" s="283"/>
      <c r="G69" s="168"/>
      <c r="H69" s="169"/>
      <c r="I69" s="169"/>
      <c r="J69" s="170"/>
    </row>
    <row r="70" spans="2:10" ht="12.75">
      <c r="B70" s="284" t="s">
        <v>239</v>
      </c>
      <c r="C70" s="285"/>
      <c r="D70" s="286"/>
      <c r="E70" s="286"/>
      <c r="F70" s="248"/>
      <c r="G70" s="287">
        <f aca="true" t="shared" si="6" ref="G70:J74">G50+G57+G63</f>
        <v>1422.6180463314984</v>
      </c>
      <c r="H70" s="172">
        <f t="shared" si="6"/>
        <v>13601.562416983485</v>
      </c>
      <c r="I70" s="173">
        <f t="shared" si="6"/>
        <v>326845.5448801132</v>
      </c>
      <c r="J70" s="226">
        <f t="shared" si="6"/>
        <v>5505.531839302898</v>
      </c>
    </row>
    <row r="71" spans="2:10" ht="12.75">
      <c r="B71" s="171" t="s">
        <v>17</v>
      </c>
      <c r="C71" s="247"/>
      <c r="D71" s="286"/>
      <c r="E71" s="286"/>
      <c r="F71" s="248"/>
      <c r="G71" s="287">
        <f t="shared" si="6"/>
        <v>723.1829977006666</v>
      </c>
      <c r="H71" s="172">
        <f t="shared" si="6"/>
        <v>19193.489931019998</v>
      </c>
      <c r="I71" s="173">
        <f>I51+I58+I64</f>
        <v>461219.56304241053</v>
      </c>
      <c r="J71" s="226">
        <f t="shared" si="6"/>
        <v>63427.668975349894</v>
      </c>
    </row>
    <row r="72" spans="2:10" ht="12.75">
      <c r="B72" s="171" t="s">
        <v>18</v>
      </c>
      <c r="C72" s="247"/>
      <c r="D72" s="286"/>
      <c r="E72" s="286"/>
      <c r="F72" s="248"/>
      <c r="G72" s="287">
        <f t="shared" si="6"/>
        <v>180.90636004237354</v>
      </c>
      <c r="H72" s="172">
        <f t="shared" si="6"/>
        <v>5193.1908012712065</v>
      </c>
      <c r="I72" s="173">
        <f>I52+I59+I65</f>
        <v>124792.3749545471</v>
      </c>
      <c r="J72" s="226">
        <f t="shared" si="6"/>
        <v>70683.540387038</v>
      </c>
    </row>
    <row r="73" spans="2:10" ht="12.75">
      <c r="B73" s="171" t="s">
        <v>64</v>
      </c>
      <c r="C73" s="247"/>
      <c r="D73" s="286"/>
      <c r="E73" s="286"/>
      <c r="F73" s="248"/>
      <c r="G73" s="287">
        <f t="shared" si="6"/>
        <v>157.5</v>
      </c>
      <c r="H73" s="172">
        <f t="shared" si="6"/>
        <v>4581</v>
      </c>
      <c r="I73" s="173">
        <f>I53+I60+I66</f>
        <v>110081.43000000001</v>
      </c>
      <c r="J73" s="226">
        <f t="shared" si="6"/>
        <v>244822.695</v>
      </c>
    </row>
    <row r="74" spans="2:10" ht="13.5" thickBot="1">
      <c r="B74" s="171" t="s">
        <v>19</v>
      </c>
      <c r="C74" s="247"/>
      <c r="D74" s="288"/>
      <c r="E74" s="288"/>
      <c r="F74" s="289"/>
      <c r="G74" s="287">
        <f t="shared" si="6"/>
        <v>15.412862464392667</v>
      </c>
      <c r="H74" s="172">
        <f t="shared" si="6"/>
        <v>444.38587393178</v>
      </c>
      <c r="I74" s="173">
        <f>I54+I61+I67</f>
        <v>10678.592550580674</v>
      </c>
      <c r="J74" s="226">
        <f t="shared" si="6"/>
        <v>301935.3440238113</v>
      </c>
    </row>
    <row r="75" spans="2:10" ht="13.5" thickBot="1">
      <c r="B75" s="175" t="s">
        <v>1</v>
      </c>
      <c r="C75" s="290"/>
      <c r="D75" s="291"/>
      <c r="E75" s="291"/>
      <c r="F75" s="292"/>
      <c r="G75" s="293">
        <f>SUM(G70:G74)</f>
        <v>2499.620266538931</v>
      </c>
      <c r="H75" s="176">
        <f>SUM(H70:H74)</f>
        <v>43013.62902320647</v>
      </c>
      <c r="I75" s="258">
        <f>SUM(I70:I74)</f>
        <v>1033617.5054276515</v>
      </c>
      <c r="J75" s="178">
        <f>SUM(J70:J74)</f>
        <v>686374.7802255021</v>
      </c>
    </row>
    <row r="76" spans="2:10" ht="12.75">
      <c r="B76" s="294" t="s">
        <v>43</v>
      </c>
      <c r="C76" s="295"/>
      <c r="D76" s="296"/>
      <c r="E76" s="296"/>
      <c r="F76" s="296"/>
      <c r="G76" s="297"/>
      <c r="H76" s="298"/>
      <c r="I76" s="298"/>
      <c r="J76" s="299"/>
    </row>
    <row r="77" spans="2:10" ht="12.75">
      <c r="B77" s="167" t="s">
        <v>23</v>
      </c>
      <c r="C77" s="282"/>
      <c r="D77" s="283"/>
      <c r="E77" s="283"/>
      <c r="F77" s="283"/>
      <c r="G77" s="168"/>
      <c r="H77" s="169"/>
      <c r="I77" s="169"/>
      <c r="J77" s="170"/>
    </row>
    <row r="78" spans="2:10" ht="12.75">
      <c r="B78" s="171" t="s">
        <v>239</v>
      </c>
      <c r="C78" s="247"/>
      <c r="D78" s="286"/>
      <c r="E78" s="286"/>
      <c r="F78" s="248"/>
      <c r="G78" s="287">
        <f>G41+G70</f>
        <v>2845.2360926629967</v>
      </c>
      <c r="H78" s="172">
        <f aca="true" t="shared" si="7" ref="H78:J82">H41+H70</f>
        <v>14075.768432427318</v>
      </c>
      <c r="I78" s="173">
        <f t="shared" si="7"/>
        <v>338240.7154312285</v>
      </c>
      <c r="J78" s="174">
        <f t="shared" si="7"/>
        <v>5505.531839302898</v>
      </c>
    </row>
    <row r="79" spans="2:10" ht="12.75">
      <c r="B79" s="171" t="s">
        <v>17</v>
      </c>
      <c r="C79" s="247"/>
      <c r="D79" s="286"/>
      <c r="E79" s="286"/>
      <c r="F79" s="248"/>
      <c r="G79" s="287">
        <f>G42+G71</f>
        <v>1446.3659954013333</v>
      </c>
      <c r="H79" s="172">
        <f aca="true" t="shared" si="8" ref="H79:I82">H42+H71</f>
        <v>19434.550930253554</v>
      </c>
      <c r="I79" s="173">
        <f t="shared" si="8"/>
        <v>467012.25885399285</v>
      </c>
      <c r="J79" s="174">
        <f t="shared" si="7"/>
        <v>63427.668975349894</v>
      </c>
    </row>
    <row r="80" spans="2:10" ht="12.75">
      <c r="B80" s="171" t="s">
        <v>18</v>
      </c>
      <c r="C80" s="247"/>
      <c r="D80" s="286"/>
      <c r="E80" s="286"/>
      <c r="F80" s="248"/>
      <c r="G80" s="287">
        <f>G43+G72</f>
        <v>361.81272008474707</v>
      </c>
      <c r="H80" s="172">
        <f t="shared" si="8"/>
        <v>5253.492921285331</v>
      </c>
      <c r="I80" s="173">
        <f t="shared" si="8"/>
        <v>126241.4348984865</v>
      </c>
      <c r="J80" s="174">
        <f t="shared" si="7"/>
        <v>70683.540387038</v>
      </c>
    </row>
    <row r="81" spans="2:10" ht="12.75">
      <c r="B81" s="171" t="s">
        <v>64</v>
      </c>
      <c r="C81" s="247"/>
      <c r="D81" s="286"/>
      <c r="E81" s="286"/>
      <c r="F81" s="248"/>
      <c r="G81" s="287">
        <f>G44+G73</f>
        <v>315</v>
      </c>
      <c r="H81" s="172">
        <f t="shared" si="8"/>
        <v>4633.5</v>
      </c>
      <c r="I81" s="173">
        <f t="shared" si="8"/>
        <v>111343.005</v>
      </c>
      <c r="J81" s="174">
        <f t="shared" si="7"/>
        <v>244822.695</v>
      </c>
    </row>
    <row r="82" spans="2:10" ht="13.5" thickBot="1">
      <c r="B82" s="171" t="s">
        <v>19</v>
      </c>
      <c r="C82" s="247"/>
      <c r="D82" s="286"/>
      <c r="E82" s="286"/>
      <c r="F82" s="289"/>
      <c r="G82" s="287">
        <f>G45+G74</f>
        <v>30.825724928785334</v>
      </c>
      <c r="H82" s="172">
        <f t="shared" si="8"/>
        <v>449.5234947532442</v>
      </c>
      <c r="I82" s="173">
        <f t="shared" si="8"/>
        <v>10802.049578920458</v>
      </c>
      <c r="J82" s="174">
        <f t="shared" si="7"/>
        <v>301935.3440238113</v>
      </c>
    </row>
    <row r="83" spans="2:10" ht="13.5" thickBot="1">
      <c r="B83" s="175" t="s">
        <v>1</v>
      </c>
      <c r="C83" s="290"/>
      <c r="D83" s="291"/>
      <c r="E83" s="291"/>
      <c r="F83" s="292"/>
      <c r="G83" s="293">
        <f>SUM(G78:G82)</f>
        <v>4999.240533077862</v>
      </c>
      <c r="H83" s="176">
        <f>SUM(H78:H82)</f>
        <v>43846.83577871945</v>
      </c>
      <c r="I83" s="258">
        <f>SUM(I78:I82)</f>
        <v>1053639.4637626284</v>
      </c>
      <c r="J83" s="178">
        <f>SUM(J78:J82)</f>
        <v>686374.7802255021</v>
      </c>
    </row>
    <row r="84" spans="2:10" ht="12.75">
      <c r="B84" s="507" t="str">
        <f>'Prep Burden'!B98</f>
        <v>Note:  Detail may not add to totals due to independent rounding.</v>
      </c>
      <c r="D84" s="118"/>
      <c r="E84" s="118"/>
      <c r="F84" s="118"/>
      <c r="J84" s="18"/>
    </row>
    <row r="85" spans="4:6" ht="12.75">
      <c r="D85" s="118"/>
      <c r="E85" s="118"/>
      <c r="F85" s="118"/>
    </row>
    <row r="86" spans="4:6" ht="12.75">
      <c r="D86" s="118"/>
      <c r="E86" s="118"/>
      <c r="F86" s="118"/>
    </row>
    <row r="87" spans="4:6" ht="12.75">
      <c r="D87" s="118"/>
      <c r="E87" s="118"/>
      <c r="F87" s="118"/>
    </row>
    <row r="88" spans="4:6" ht="12.75">
      <c r="D88" s="118"/>
      <c r="E88" s="118"/>
      <c r="F88" s="118"/>
    </row>
    <row r="89" spans="4:6" ht="12.75">
      <c r="D89" s="118"/>
      <c r="E89" s="118"/>
      <c r="F89" s="118"/>
    </row>
    <row r="90" spans="4:6" ht="12.75">
      <c r="D90" s="118"/>
      <c r="E90" s="118"/>
      <c r="F90" s="118"/>
    </row>
    <row r="91" spans="4:6" ht="12.75">
      <c r="D91" s="118"/>
      <c r="E91" s="118"/>
      <c r="F91" s="118"/>
    </row>
    <row r="92" spans="4:6" ht="12.75">
      <c r="D92" s="118"/>
      <c r="E92" s="118"/>
      <c r="F92" s="118"/>
    </row>
    <row r="93" spans="4:6" ht="12.75">
      <c r="D93" s="118"/>
      <c r="E93" s="118"/>
      <c r="F93" s="118"/>
    </row>
    <row r="94" spans="4:6" ht="12.75">
      <c r="D94" s="118"/>
      <c r="E94" s="118"/>
      <c r="F94" s="118"/>
    </row>
    <row r="95" spans="4:6" ht="12.75">
      <c r="D95" s="118"/>
      <c r="E95" s="118"/>
      <c r="F95" s="118"/>
    </row>
    <row r="96" spans="4:6" ht="12.75">
      <c r="D96" s="118"/>
      <c r="E96" s="118"/>
      <c r="F96" s="118"/>
    </row>
    <row r="97" spans="4:6" ht="12.75">
      <c r="D97" s="118"/>
      <c r="E97" s="118"/>
      <c r="F97" s="118"/>
    </row>
    <row r="98" spans="4:6" ht="12.75">
      <c r="D98" s="118"/>
      <c r="E98" s="118"/>
      <c r="F98" s="118"/>
    </row>
    <row r="99" spans="4:6" ht="12.75">
      <c r="D99" s="118"/>
      <c r="E99" s="118"/>
      <c r="F99" s="118"/>
    </row>
    <row r="100" spans="4:6" ht="12.75">
      <c r="D100" s="118"/>
      <c r="E100" s="118"/>
      <c r="F100" s="118"/>
    </row>
    <row r="101" spans="4:6" ht="12.75">
      <c r="D101" s="118"/>
      <c r="E101" s="118"/>
      <c r="F101" s="118"/>
    </row>
    <row r="102" spans="4:6" ht="12.75">
      <c r="D102" s="118"/>
      <c r="E102" s="118"/>
      <c r="F102" s="118"/>
    </row>
    <row r="103" spans="4:6" ht="12.75">
      <c r="D103" s="118"/>
      <c r="E103" s="118"/>
      <c r="F103" s="118"/>
    </row>
    <row r="104" spans="4:6" ht="12.75">
      <c r="D104" s="118"/>
      <c r="E104" s="118"/>
      <c r="F104" s="118"/>
    </row>
    <row r="105" spans="4:6" ht="12.75">
      <c r="D105" s="118"/>
      <c r="E105" s="118"/>
      <c r="F105" s="118"/>
    </row>
    <row r="106" spans="4:6" ht="12.75">
      <c r="D106" s="118"/>
      <c r="E106" s="118"/>
      <c r="F106" s="118"/>
    </row>
    <row r="107" spans="4:6" ht="12.75">
      <c r="D107" s="118"/>
      <c r="E107" s="118"/>
      <c r="F107" s="118"/>
    </row>
    <row r="108" spans="4:6" ht="12.75">
      <c r="D108" s="118"/>
      <c r="E108" s="118"/>
      <c r="F108" s="118"/>
    </row>
    <row r="109" spans="4:6" ht="12.75">
      <c r="D109" s="118"/>
      <c r="E109" s="118"/>
      <c r="F109" s="118"/>
    </row>
    <row r="110" spans="4:6" ht="12.75">
      <c r="D110" s="118"/>
      <c r="E110" s="118"/>
      <c r="F110" s="118"/>
    </row>
    <row r="111" spans="4:6" ht="12.75">
      <c r="D111" s="118"/>
      <c r="E111" s="118"/>
      <c r="F111" s="118"/>
    </row>
    <row r="112" spans="4:6" ht="12.75">
      <c r="D112" s="118"/>
      <c r="E112" s="118"/>
      <c r="F112" s="118"/>
    </row>
    <row r="113" spans="4:6" ht="12.75">
      <c r="D113" s="118"/>
      <c r="E113" s="118"/>
      <c r="F113" s="118"/>
    </row>
    <row r="114" spans="4:6" ht="12.75">
      <c r="D114" s="118"/>
      <c r="E114" s="118"/>
      <c r="F114" s="118"/>
    </row>
    <row r="115" spans="4:6" ht="12.75">
      <c r="D115" s="118"/>
      <c r="E115" s="118"/>
      <c r="F115" s="118"/>
    </row>
    <row r="116" spans="4:6" ht="12.75">
      <c r="D116" s="118"/>
      <c r="E116" s="118"/>
      <c r="F116" s="118"/>
    </row>
    <row r="117" spans="4:6" ht="12.75">
      <c r="D117" s="118"/>
      <c r="E117" s="118"/>
      <c r="F117" s="118"/>
    </row>
    <row r="118" spans="4:6" ht="12.75">
      <c r="D118" s="118"/>
      <c r="E118" s="118"/>
      <c r="F118" s="118"/>
    </row>
    <row r="119" spans="4:6" ht="12.75">
      <c r="D119" s="118"/>
      <c r="E119" s="118"/>
      <c r="F119" s="118"/>
    </row>
    <row r="120" spans="4:6" ht="12.75">
      <c r="D120" s="118"/>
      <c r="E120" s="118"/>
      <c r="F120" s="118"/>
    </row>
    <row r="121" spans="4:6" ht="12.75">
      <c r="D121" s="118"/>
      <c r="E121" s="118"/>
      <c r="F121" s="118"/>
    </row>
    <row r="122" spans="4:6" ht="12.75">
      <c r="D122" s="118"/>
      <c r="E122" s="118"/>
      <c r="F122" s="118"/>
    </row>
    <row r="123" spans="4:6" ht="12.75">
      <c r="D123" s="118"/>
      <c r="E123" s="118"/>
      <c r="F123" s="118"/>
    </row>
    <row r="124" spans="4:6" ht="12.75">
      <c r="D124" s="118"/>
      <c r="E124" s="118"/>
      <c r="F124" s="118"/>
    </row>
    <row r="125" spans="4:6" ht="12.75">
      <c r="D125" s="118"/>
      <c r="E125" s="118"/>
      <c r="F125" s="118"/>
    </row>
    <row r="126" spans="4:6" ht="12.75">
      <c r="D126" s="118"/>
      <c r="E126" s="118"/>
      <c r="F126" s="118"/>
    </row>
    <row r="127" spans="4:6" ht="12.75">
      <c r="D127" s="118"/>
      <c r="E127" s="118"/>
      <c r="F127" s="118"/>
    </row>
    <row r="128" spans="4:6" ht="12.75">
      <c r="D128" s="118"/>
      <c r="E128" s="118"/>
      <c r="F128" s="118"/>
    </row>
    <row r="129" spans="4:6" ht="12.75">
      <c r="D129" s="118"/>
      <c r="E129" s="118"/>
      <c r="F129" s="118"/>
    </row>
    <row r="130" spans="4:6" ht="12.75">
      <c r="D130" s="118"/>
      <c r="E130" s="118"/>
      <c r="F130" s="118"/>
    </row>
    <row r="131" spans="4:6" ht="12.75">
      <c r="D131" s="118"/>
      <c r="E131" s="118"/>
      <c r="F131" s="118"/>
    </row>
    <row r="132" spans="4:6" ht="12.75">
      <c r="D132" s="118"/>
      <c r="E132" s="118"/>
      <c r="F132" s="118"/>
    </row>
    <row r="133" spans="4:6" ht="12.75">
      <c r="D133" s="118"/>
      <c r="E133" s="118"/>
      <c r="F133" s="118"/>
    </row>
    <row r="134" spans="4:6" ht="12.75">
      <c r="D134" s="118"/>
      <c r="E134" s="118"/>
      <c r="F134" s="118"/>
    </row>
    <row r="135" spans="4:6" ht="12.75">
      <c r="D135" s="118"/>
      <c r="E135" s="118"/>
      <c r="F135" s="118"/>
    </row>
    <row r="136" spans="4:6" ht="12.75">
      <c r="D136" s="118"/>
      <c r="E136" s="118"/>
      <c r="F136" s="118"/>
    </row>
    <row r="137" spans="4:6" ht="12.75">
      <c r="D137" s="118"/>
      <c r="E137" s="118"/>
      <c r="F137" s="118"/>
    </row>
    <row r="138" spans="4:6" ht="12.75">
      <c r="D138" s="118"/>
      <c r="E138" s="118"/>
      <c r="F138" s="118"/>
    </row>
    <row r="139" spans="4:6" ht="12.75">
      <c r="D139" s="118"/>
      <c r="E139" s="118"/>
      <c r="F139" s="118"/>
    </row>
    <row r="140" spans="4:6" ht="12.75">
      <c r="D140" s="118"/>
      <c r="E140" s="118"/>
      <c r="F140" s="118"/>
    </row>
    <row r="141" spans="4:6" ht="12.75">
      <c r="D141" s="118"/>
      <c r="E141" s="118"/>
      <c r="F141" s="118"/>
    </row>
    <row r="142" spans="4:6" ht="12.75">
      <c r="D142" s="118"/>
      <c r="E142" s="118"/>
      <c r="F142" s="118"/>
    </row>
    <row r="143" spans="4:6" ht="12.75">
      <c r="D143" s="118"/>
      <c r="E143" s="118"/>
      <c r="F143" s="118"/>
    </row>
    <row r="144" spans="4:6" ht="12.75">
      <c r="D144" s="118"/>
      <c r="E144" s="118"/>
      <c r="F144" s="118"/>
    </row>
    <row r="145" spans="4:6" ht="12.75">
      <c r="D145" s="118"/>
      <c r="E145" s="118"/>
      <c r="F145" s="118"/>
    </row>
    <row r="146" spans="4:6" ht="12.75">
      <c r="D146" s="118"/>
      <c r="E146" s="118"/>
      <c r="F146" s="118"/>
    </row>
    <row r="147" spans="4:6" ht="12.75">
      <c r="D147" s="118"/>
      <c r="E147" s="118"/>
      <c r="F147" s="118"/>
    </row>
    <row r="148" spans="4:6" ht="12.75">
      <c r="D148" s="118"/>
      <c r="E148" s="118"/>
      <c r="F148" s="118"/>
    </row>
    <row r="149" spans="4:6" ht="12.75">
      <c r="D149" s="118"/>
      <c r="E149" s="118"/>
      <c r="F149" s="118"/>
    </row>
    <row r="150" spans="4:6" ht="12.75">
      <c r="D150" s="118"/>
      <c r="E150" s="118"/>
      <c r="F150" s="118"/>
    </row>
    <row r="151" spans="4:6" ht="12.75">
      <c r="D151" s="118"/>
      <c r="E151" s="118"/>
      <c r="F151" s="118"/>
    </row>
    <row r="152" spans="4:6" ht="12.75">
      <c r="D152" s="118"/>
      <c r="E152" s="118"/>
      <c r="F152" s="118"/>
    </row>
    <row r="153" spans="4:6" ht="12.75">
      <c r="D153" s="118"/>
      <c r="E153" s="118"/>
      <c r="F153" s="118"/>
    </row>
    <row r="154" spans="4:6" ht="12.75">
      <c r="D154" s="118"/>
      <c r="E154" s="118"/>
      <c r="F154" s="118"/>
    </row>
    <row r="155" spans="4:6" ht="12.75">
      <c r="D155" s="118"/>
      <c r="E155" s="118"/>
      <c r="F155" s="118"/>
    </row>
    <row r="156" spans="4:6" ht="12.75">
      <c r="D156" s="118"/>
      <c r="E156" s="118"/>
      <c r="F156" s="118"/>
    </row>
    <row r="157" spans="4:6" ht="12.75">
      <c r="D157" s="118"/>
      <c r="E157" s="118"/>
      <c r="F157" s="118"/>
    </row>
    <row r="158" spans="4:6" ht="12.75">
      <c r="D158" s="118"/>
      <c r="E158" s="118"/>
      <c r="F158" s="118"/>
    </row>
    <row r="159" spans="4:6" ht="12.75">
      <c r="D159" s="118"/>
      <c r="E159" s="118"/>
      <c r="F159" s="118"/>
    </row>
    <row r="160" spans="4:6" ht="12.75">
      <c r="D160" s="118"/>
      <c r="E160" s="118"/>
      <c r="F160" s="118"/>
    </row>
    <row r="161" spans="4:6" ht="12.75">
      <c r="D161" s="118"/>
      <c r="E161" s="118"/>
      <c r="F161" s="118"/>
    </row>
    <row r="162" spans="4:6" ht="12.75">
      <c r="D162" s="118"/>
      <c r="E162" s="118"/>
      <c r="F162" s="118"/>
    </row>
    <row r="163" spans="4:6" ht="12.75">
      <c r="D163" s="118"/>
      <c r="E163" s="118"/>
      <c r="F163" s="118"/>
    </row>
    <row r="164" spans="4:6" ht="12.75">
      <c r="D164" s="118"/>
      <c r="E164" s="118"/>
      <c r="F164" s="118"/>
    </row>
    <row r="165" spans="4:6" ht="12.75">
      <c r="D165" s="118"/>
      <c r="E165" s="118"/>
      <c r="F165" s="118"/>
    </row>
    <row r="166" spans="4:6" ht="12.75">
      <c r="D166" s="118"/>
      <c r="E166" s="118"/>
      <c r="F166" s="118"/>
    </row>
    <row r="167" spans="4:6" ht="12.75">
      <c r="D167" s="118"/>
      <c r="E167" s="118"/>
      <c r="F167" s="118"/>
    </row>
    <row r="168" spans="4:6" ht="12.75">
      <c r="D168" s="118"/>
      <c r="E168" s="118"/>
      <c r="F168" s="118"/>
    </row>
    <row r="169" spans="4:6" ht="12.75">
      <c r="D169" s="118"/>
      <c r="E169" s="118"/>
      <c r="F169" s="118"/>
    </row>
    <row r="170" spans="4:6" ht="12.75">
      <c r="D170" s="118"/>
      <c r="E170" s="118"/>
      <c r="F170" s="118"/>
    </row>
    <row r="171" spans="4:6" ht="12.75">
      <c r="D171" s="118"/>
      <c r="E171" s="118"/>
      <c r="F171" s="118"/>
    </row>
    <row r="172" spans="4:6" ht="12.75">
      <c r="D172" s="118"/>
      <c r="E172" s="118"/>
      <c r="F172" s="118"/>
    </row>
    <row r="173" spans="4:6" ht="12.75">
      <c r="D173" s="118"/>
      <c r="E173" s="118"/>
      <c r="F173" s="118"/>
    </row>
    <row r="174" spans="4:6" ht="12.75">
      <c r="D174" s="118"/>
      <c r="E174" s="118"/>
      <c r="F174" s="118"/>
    </row>
    <row r="175" spans="4:6" ht="12.75">
      <c r="D175" s="118"/>
      <c r="E175" s="118"/>
      <c r="F175" s="118"/>
    </row>
    <row r="176" spans="4:6" ht="12.75">
      <c r="D176" s="118"/>
      <c r="E176" s="118"/>
      <c r="F176" s="118"/>
    </row>
    <row r="177" spans="4:6" ht="12.75">
      <c r="D177" s="118"/>
      <c r="E177" s="118"/>
      <c r="F177" s="118"/>
    </row>
    <row r="178" spans="4:6" ht="12.75">
      <c r="D178" s="118"/>
      <c r="E178" s="118"/>
      <c r="F178" s="118"/>
    </row>
    <row r="179" spans="4:6" ht="12.75">
      <c r="D179" s="118"/>
      <c r="E179" s="118"/>
      <c r="F179" s="118"/>
    </row>
    <row r="180" spans="4:6" ht="12.75">
      <c r="D180" s="118"/>
      <c r="E180" s="118"/>
      <c r="F180" s="118"/>
    </row>
    <row r="181" spans="4:6" ht="12.75">
      <c r="D181" s="118"/>
      <c r="E181" s="118"/>
      <c r="F181" s="118"/>
    </row>
    <row r="182" spans="4:6" ht="12.75">
      <c r="D182" s="118"/>
      <c r="E182" s="118"/>
      <c r="F182" s="118"/>
    </row>
    <row r="183" spans="4:6" ht="12.75">
      <c r="D183" s="118"/>
      <c r="E183" s="118"/>
      <c r="F183" s="118"/>
    </row>
    <row r="184" spans="4:6" ht="12.75">
      <c r="D184" s="118"/>
      <c r="E184" s="118"/>
      <c r="F184" s="118"/>
    </row>
    <row r="185" spans="4:6" ht="12.75">
      <c r="D185" s="118"/>
      <c r="E185" s="118"/>
      <c r="F185" s="118"/>
    </row>
    <row r="186" spans="4:6" ht="12.75">
      <c r="D186" s="118"/>
      <c r="E186" s="118"/>
      <c r="F186" s="118"/>
    </row>
    <row r="187" spans="4:6" ht="12.75">
      <c r="D187" s="118"/>
      <c r="E187" s="118"/>
      <c r="F187" s="118"/>
    </row>
    <row r="188" spans="4:6" ht="12.75">
      <c r="D188" s="118"/>
      <c r="E188" s="118"/>
      <c r="F188" s="118"/>
    </row>
    <row r="189" spans="4:6" ht="12.75">
      <c r="D189" s="118"/>
      <c r="E189" s="118"/>
      <c r="F189" s="118"/>
    </row>
    <row r="190" spans="4:6" ht="12.75">
      <c r="D190" s="118"/>
      <c r="E190" s="118"/>
      <c r="F190" s="118"/>
    </row>
    <row r="191" spans="4:6" ht="12.75">
      <c r="D191" s="118"/>
      <c r="E191" s="118"/>
      <c r="F191" s="118"/>
    </row>
    <row r="192" spans="4:6" ht="12.75">
      <c r="D192" s="118"/>
      <c r="E192" s="118"/>
      <c r="F192" s="118"/>
    </row>
    <row r="193" spans="4:6" ht="12.75">
      <c r="D193" s="118"/>
      <c r="E193" s="118"/>
      <c r="F193" s="118"/>
    </row>
    <row r="194" spans="4:6" ht="12.75">
      <c r="D194" s="118"/>
      <c r="E194" s="118"/>
      <c r="F194" s="118"/>
    </row>
    <row r="195" spans="4:6" ht="12.75">
      <c r="D195" s="118"/>
      <c r="E195" s="118"/>
      <c r="F195" s="118"/>
    </row>
    <row r="196" spans="4:6" ht="12.75">
      <c r="D196" s="118"/>
      <c r="E196" s="118"/>
      <c r="F196" s="118"/>
    </row>
    <row r="197" spans="4:6" ht="12.75">
      <c r="D197" s="118"/>
      <c r="E197" s="118"/>
      <c r="F197" s="118"/>
    </row>
    <row r="198" spans="4:6" ht="12.75">
      <c r="D198" s="118"/>
      <c r="E198" s="118"/>
      <c r="F198" s="118"/>
    </row>
    <row r="199" spans="4:6" ht="12.75">
      <c r="D199" s="118"/>
      <c r="E199" s="118"/>
      <c r="F199" s="118"/>
    </row>
    <row r="200" spans="4:6" ht="12.75">
      <c r="D200" s="118"/>
      <c r="E200" s="118"/>
      <c r="F200" s="118"/>
    </row>
    <row r="201" spans="4:6" ht="12.75">
      <c r="D201" s="118"/>
      <c r="E201" s="118"/>
      <c r="F201" s="118"/>
    </row>
    <row r="202" spans="4:6" ht="12.75">
      <c r="D202" s="118"/>
      <c r="E202" s="118"/>
      <c r="F202" s="118"/>
    </row>
    <row r="203" spans="4:6" ht="12.75">
      <c r="D203" s="118"/>
      <c r="E203" s="118"/>
      <c r="F203" s="118"/>
    </row>
    <row r="204" spans="4:6" ht="12.75">
      <c r="D204" s="118"/>
      <c r="E204" s="118"/>
      <c r="F204" s="118"/>
    </row>
    <row r="205" spans="4:6" ht="12.75">
      <c r="D205" s="118"/>
      <c r="E205" s="118"/>
      <c r="F205" s="118"/>
    </row>
    <row r="206" spans="4:6" ht="12.75">
      <c r="D206" s="118"/>
      <c r="E206" s="118"/>
      <c r="F206" s="118"/>
    </row>
    <row r="207" spans="4:6" ht="12.75">
      <c r="D207" s="118"/>
      <c r="E207" s="118"/>
      <c r="F207" s="118"/>
    </row>
    <row r="208" spans="4:6" ht="12.75">
      <c r="D208" s="118"/>
      <c r="E208" s="118"/>
      <c r="F208" s="118"/>
    </row>
    <row r="209" spans="4:6" ht="12.75">
      <c r="D209" s="118"/>
      <c r="E209" s="118"/>
      <c r="F209" s="118"/>
    </row>
    <row r="210" spans="4:6" ht="12.75">
      <c r="D210" s="118"/>
      <c r="E210" s="118"/>
      <c r="F210" s="118"/>
    </row>
    <row r="211" spans="4:6" ht="12.75">
      <c r="D211" s="118"/>
      <c r="E211" s="118"/>
      <c r="F211" s="118"/>
    </row>
    <row r="212" spans="4:6" ht="12.75">
      <c r="D212" s="118"/>
      <c r="E212" s="118"/>
      <c r="F212" s="118"/>
    </row>
    <row r="213" spans="4:6" ht="12.75">
      <c r="D213" s="118"/>
      <c r="E213" s="118"/>
      <c r="F213" s="118"/>
    </row>
    <row r="214" spans="4:6" ht="12.75">
      <c r="D214" s="118"/>
      <c r="E214" s="118"/>
      <c r="F214" s="118"/>
    </row>
    <row r="215" spans="4:6" ht="12.75">
      <c r="D215" s="118"/>
      <c r="E215" s="118"/>
      <c r="F215" s="118"/>
    </row>
    <row r="216" spans="4:6" ht="12.75">
      <c r="D216" s="118"/>
      <c r="E216" s="118"/>
      <c r="F216" s="118"/>
    </row>
    <row r="217" spans="4:6" ht="12.75">
      <c r="D217" s="118"/>
      <c r="E217" s="118"/>
      <c r="F217" s="118"/>
    </row>
    <row r="218" spans="4:6" ht="12.75">
      <c r="D218" s="118"/>
      <c r="E218" s="118"/>
      <c r="F218" s="118"/>
    </row>
    <row r="219" spans="4:6" ht="12.75">
      <c r="D219" s="118"/>
      <c r="E219" s="118"/>
      <c r="F219" s="118"/>
    </row>
  </sheetData>
  <mergeCells count="2">
    <mergeCell ref="B9:J9"/>
    <mergeCell ref="B10:J10"/>
  </mergeCells>
  <printOptions horizontalCentered="1" verticalCentered="1"/>
  <pageMargins left="0.25" right="0.25" top="0.25" bottom="0.25" header="0" footer="0.5"/>
  <pageSetup fitToHeight="1" fitToWidth="1" horizontalDpi="600" verticalDpi="600" orientation="portrait" scale="70" r:id="rId1"/>
  <rowBreaks count="3" manualBreakCount="3">
    <brk id="16" max="10" man="1"/>
    <brk id="46" max="10" man="1"/>
    <brk id="7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9:F41"/>
  <sheetViews>
    <sheetView showGridLines="0" zoomScale="75" zoomScaleNormal="75" workbookViewId="0" topLeftCell="A9">
      <pane ySplit="8" topLeftCell="BM17" activePane="bottomLeft" state="frozen"/>
      <selection pane="topLeft" activeCell="F10" sqref="F10"/>
      <selection pane="bottomLeft" activeCell="A13" sqref="A13"/>
    </sheetView>
  </sheetViews>
  <sheetFormatPr defaultColWidth="9.140625" defaultRowHeight="12.75"/>
  <cols>
    <col min="2" max="2" width="35.7109375" style="0" customWidth="1"/>
    <col min="3" max="3" width="14.8515625" style="117" customWidth="1"/>
    <col min="4" max="4" width="14.8515625" style="0" customWidth="1"/>
    <col min="5" max="5" width="15.8515625" style="0" customWidth="1"/>
    <col min="6" max="6" width="15.7109375" style="0" customWidth="1"/>
  </cols>
  <sheetData>
    <row r="9" spans="2:6" ht="12.75">
      <c r="B9" s="556" t="s">
        <v>313</v>
      </c>
      <c r="C9" s="556"/>
      <c r="D9" s="556"/>
      <c r="E9" s="556"/>
      <c r="F9" s="556"/>
    </row>
    <row r="10" spans="2:6" ht="12.75">
      <c r="B10" s="1" t="s">
        <v>252</v>
      </c>
      <c r="D10" s="2"/>
      <c r="E10" s="2"/>
      <c r="F10" s="3"/>
    </row>
    <row r="11" spans="2:6" ht="13.5" thickBot="1">
      <c r="B11" s="4"/>
      <c r="C11" s="16"/>
      <c r="D11" s="7"/>
      <c r="E11" s="7"/>
      <c r="F11" s="9"/>
    </row>
    <row r="12" spans="2:6" ht="9" customHeight="1">
      <c r="B12" s="44"/>
      <c r="C12" s="5"/>
      <c r="D12" s="5"/>
      <c r="E12" s="5"/>
      <c r="F12" s="27"/>
    </row>
    <row r="13" spans="2:6" ht="12.75">
      <c r="B13" s="152"/>
      <c r="C13" s="153" t="s">
        <v>44</v>
      </c>
      <c r="D13" s="154" t="s">
        <v>6</v>
      </c>
      <c r="E13" s="154" t="s">
        <v>55</v>
      </c>
      <c r="F13" s="155"/>
    </row>
    <row r="14" spans="2:6" ht="12.75">
      <c r="B14" s="152"/>
      <c r="C14" s="153" t="s">
        <v>72</v>
      </c>
      <c r="D14" s="154" t="s">
        <v>71</v>
      </c>
      <c r="E14" s="154" t="s">
        <v>70</v>
      </c>
      <c r="F14" s="155" t="s">
        <v>249</v>
      </c>
    </row>
    <row r="15" spans="2:6" ht="12.75">
      <c r="B15" s="156" t="s">
        <v>7</v>
      </c>
      <c r="C15" s="153" t="s">
        <v>9</v>
      </c>
      <c r="D15" s="157" t="s">
        <v>56</v>
      </c>
      <c r="E15" s="157" t="s">
        <v>56</v>
      </c>
      <c r="F15" s="158" t="s">
        <v>56</v>
      </c>
    </row>
    <row r="16" spans="2:6" ht="13.5" thickBot="1">
      <c r="B16" s="159" t="s">
        <v>10</v>
      </c>
      <c r="C16" s="160" t="s">
        <v>73</v>
      </c>
      <c r="D16" s="161" t="s">
        <v>13</v>
      </c>
      <c r="E16" s="161" t="s">
        <v>13</v>
      </c>
      <c r="F16" s="162" t="s">
        <v>13</v>
      </c>
    </row>
    <row r="17" spans="2:6" ht="13.5" thickBot="1">
      <c r="B17" s="163" t="s">
        <v>253</v>
      </c>
      <c r="C17" s="164"/>
      <c r="D17" s="165"/>
      <c r="E17" s="165"/>
      <c r="F17" s="166"/>
    </row>
    <row r="18" spans="2:6" ht="12.75">
      <c r="B18" s="167" t="s">
        <v>23</v>
      </c>
      <c r="C18" s="168"/>
      <c r="D18" s="169"/>
      <c r="E18" s="169"/>
      <c r="F18" s="170"/>
    </row>
    <row r="19" spans="2:6" ht="12.75">
      <c r="B19" s="171" t="s">
        <v>239</v>
      </c>
      <c r="C19" s="172">
        <f>'Prep Burden'!F77+'Dist Burden'!G77+'Repeat Burden'!G78</f>
        <v>36433.543003674</v>
      </c>
      <c r="D19" s="172">
        <f>'Prep Burden'!G77+'Dist Burden'!H77+'Repeat Burden'!H78</f>
        <v>204755.15099774604</v>
      </c>
      <c r="E19" s="173">
        <f>'Prep Burden'!H77+'Dist Burden'!I77+'Repeat Burden'!I78</f>
        <v>4920266.278475838</v>
      </c>
      <c r="F19" s="174">
        <f>'Prep Burden'!I77+'Dist Burden'!J77+'Repeat Burden'!J78</f>
        <v>70498.90571210919</v>
      </c>
    </row>
    <row r="20" spans="2:6" ht="12.75">
      <c r="B20" s="171" t="s">
        <v>17</v>
      </c>
      <c r="C20" s="172">
        <f>'Prep Burden'!F78+'Dist Burden'!G78+'Repeat Burden'!G79</f>
        <v>11622.064030256142</v>
      </c>
      <c r="D20" s="172">
        <f>'Prep Burden'!G78+'Dist Burden'!H78+'Repeat Burden'!H79</f>
        <v>116246.23935757163</v>
      </c>
      <c r="E20" s="173">
        <f>'Prep Burden'!H78+'Dist Burden'!I78+'Repeat Burden'!I79</f>
        <v>2793397.1317624464</v>
      </c>
      <c r="F20" s="174">
        <f>'Prep Burden'!I78+'Dist Burden'!J78+'Repeat Burden'!J79</f>
        <v>446066.898883358</v>
      </c>
    </row>
    <row r="21" spans="2:6" ht="12.75">
      <c r="B21" s="171" t="s">
        <v>18</v>
      </c>
      <c r="C21" s="172">
        <f>'Prep Burden'!F79+'Dist Burden'!G79+'Repeat Burden'!G80</f>
        <v>3229.3210497089854</v>
      </c>
      <c r="D21" s="172">
        <f>'Prep Burden'!G79+'Dist Burden'!H79+'Repeat Burden'!H80</f>
        <v>33262.26568749132</v>
      </c>
      <c r="E21" s="173">
        <f>'Prep Burden'!H79+'Dist Burden'!I79+'Repeat Burden'!I80</f>
        <v>799292.2444704165</v>
      </c>
      <c r="F21" s="174">
        <f>'Prep Burden'!I79+'Dist Burden'!J79+'Repeat Burden'!J80</f>
        <v>506758.4591752258</v>
      </c>
    </row>
    <row r="22" spans="2:6" ht="12.75">
      <c r="B22" s="171" t="s">
        <v>64</v>
      </c>
      <c r="C22" s="172">
        <f>'Prep Burden'!F80+'Dist Burden'!G80+'Repeat Burden'!G81</f>
        <v>2956.035648</v>
      </c>
      <c r="D22" s="172">
        <f>'Prep Burden'!G80+'Dist Burden'!H80+'Repeat Burden'!H81</f>
        <v>32353.719932</v>
      </c>
      <c r="E22" s="173">
        <f>'Prep Burden'!H80+'Dist Burden'!I80+'Repeat Burden'!I81</f>
        <v>777459.8899659599</v>
      </c>
      <c r="F22" s="174">
        <f>'Prep Burden'!I80+'Dist Burden'!J80+'Repeat Burden'!J81</f>
        <v>1543687.3780979041</v>
      </c>
    </row>
    <row r="23" spans="2:6" ht="13.5" thickBot="1">
      <c r="B23" s="171" t="s">
        <v>19</v>
      </c>
      <c r="C23" s="172">
        <f>'Prep Burden'!F81+'Dist Burden'!G81+'Repeat Burden'!G82</f>
        <v>316.21418011875534</v>
      </c>
      <c r="D23" s="172">
        <f>'Prep Burden'!G81+'Dist Burden'!H81+'Repeat Burden'!H82</f>
        <v>3634.198145801962</v>
      </c>
      <c r="E23" s="173">
        <f>'Prep Burden'!H81+'Dist Burden'!I81+'Repeat Burden'!I82</f>
        <v>87329.78144362113</v>
      </c>
      <c r="F23" s="174">
        <f>'Prep Burden'!I81+'Dist Burden'!J81+'Repeat Burden'!J82</f>
        <v>2153173.279778304</v>
      </c>
    </row>
    <row r="24" spans="2:6" ht="13.5" thickBot="1">
      <c r="B24" s="175" t="s">
        <v>1</v>
      </c>
      <c r="C24" s="176">
        <f>'Prep Burden'!F82+'Dist Burden'!G82+'Repeat Burden'!G83</f>
        <v>54557.17791175788</v>
      </c>
      <c r="D24" s="176">
        <f>'Prep Burden'!G82+'Dist Burden'!H82+'Repeat Burden'!H83</f>
        <v>390251.574120611</v>
      </c>
      <c r="E24" s="177">
        <f>'Prep Burden'!H82+'Dist Burden'!I82+'Repeat Burden'!I83</f>
        <v>9377745.326118281</v>
      </c>
      <c r="F24" s="178">
        <f>'Prep Burden'!I82+'Dist Burden'!J82+'Repeat Burden'!J83</f>
        <v>4720184.921646901</v>
      </c>
    </row>
    <row r="25" spans="2:6" ht="12.75">
      <c r="B25" s="167" t="s">
        <v>24</v>
      </c>
      <c r="C25" s="169"/>
      <c r="D25" s="169"/>
      <c r="E25" s="179"/>
      <c r="F25" s="180"/>
    </row>
    <row r="26" spans="2:6" ht="12.75">
      <c r="B26" s="171" t="s">
        <v>239</v>
      </c>
      <c r="C26" s="172">
        <f>'Prep Burden'!F84+'Dist Burden'!G84+'Repeat Burden'!G85</f>
        <v>13905.689761854741</v>
      </c>
      <c r="D26" s="172">
        <f>'Prep Burden'!G84+'Dist Burden'!H84+'Repeat Burden'!H85</f>
        <v>88601.68101159215</v>
      </c>
      <c r="E26" s="173">
        <f>'Prep Burden'!H84+'Dist Burden'!I84+'Repeat Burden'!I85</f>
        <v>2129098.3947085594</v>
      </c>
      <c r="F26" s="174">
        <f>'Prep Burden'!I84+'Dist Burden'!J84+'Repeat Burden'!J85</f>
        <v>2190.146137492122</v>
      </c>
    </row>
    <row r="27" spans="2:6" ht="12.75">
      <c r="B27" s="171" t="s">
        <v>17</v>
      </c>
      <c r="C27" s="172">
        <f>'Prep Burden'!F85+'Dist Burden'!G85+'Repeat Burden'!G86</f>
        <v>1944.3533969684113</v>
      </c>
      <c r="D27" s="172">
        <f>'Prep Burden'!G85+'Dist Burden'!H85+'Repeat Burden'!H86</f>
        <v>12448.68873105257</v>
      </c>
      <c r="E27" s="173">
        <f>'Prep Burden'!H85+'Dist Burden'!I85+'Repeat Burden'!I86</f>
        <v>299141.9902071933</v>
      </c>
      <c r="F27" s="174">
        <f>'Prep Burden'!I85+'Dist Burden'!J85+'Repeat Burden'!J86</f>
        <v>1304.487794385467</v>
      </c>
    </row>
    <row r="28" spans="2:6" ht="12.75">
      <c r="B28" s="171" t="s">
        <v>18</v>
      </c>
      <c r="C28" s="172">
        <f>'Prep Burden'!F86+'Dist Burden'!G86+'Repeat Burden'!G87</f>
        <v>100.55589175554792</v>
      </c>
      <c r="D28" s="172">
        <f>'Prep Burden'!G86+'Dist Burden'!H86+'Repeat Burden'!H87</f>
        <v>645.0343234721744</v>
      </c>
      <c r="E28" s="173">
        <f>'Prep Burden'!H86+'Dist Burden'!I86+'Repeat Burden'!I87</f>
        <v>15500.174793036353</v>
      </c>
      <c r="F28" s="174">
        <f>'Prep Burden'!I86+'Dist Burden'!J86+'Repeat Burden'!J87</f>
        <v>318.8955619814747</v>
      </c>
    </row>
    <row r="29" spans="2:6" ht="12.75">
      <c r="B29" s="171" t="s">
        <v>64</v>
      </c>
      <c r="C29" s="172">
        <f>'Prep Burden'!F87+'Dist Burden'!G87+'Repeat Burden'!G88</f>
        <v>20.533572330174337</v>
      </c>
      <c r="D29" s="172">
        <f>'Prep Burden'!G87+'Dist Burden'!H87+'Repeat Burden'!H88</f>
        <v>128.57511282171166</v>
      </c>
      <c r="E29" s="173">
        <f>'Prep Burden'!H87+'Dist Burden'!I87+'Repeat Burden'!I88</f>
        <v>3089.659961105731</v>
      </c>
      <c r="F29" s="174">
        <f>'Prep Burden'!I87+'Dist Burden'!J87+'Repeat Burden'!J88</f>
        <v>31.134138499265934</v>
      </c>
    </row>
    <row r="30" spans="2:6" ht="13.5" thickBot="1">
      <c r="B30" s="171" t="s">
        <v>19</v>
      </c>
      <c r="C30" s="172">
        <f>'Prep Burden'!F88+'Dist Burden'!G88+'Repeat Burden'!G89</f>
        <v>2.283072587831422</v>
      </c>
      <c r="D30" s="172">
        <f>'Prep Burden'!G88+'Dist Burden'!H88+'Repeat Burden'!H89</f>
        <v>14.269203673946386</v>
      </c>
      <c r="E30" s="173">
        <f>'Prep Burden'!H88+'Dist Burden'!I88+'Repeat Burden'!I89</f>
        <v>342.8889642849317</v>
      </c>
      <c r="F30" s="174">
        <f>'Prep Burden'!I88+'Dist Burden'!J88+'Repeat Burden'!J89</f>
        <v>0</v>
      </c>
    </row>
    <row r="31" spans="2:6" ht="13.5" thickBot="1">
      <c r="B31" s="175" t="s">
        <v>1</v>
      </c>
      <c r="C31" s="176">
        <f>'Prep Burden'!F89+'Dist Burden'!G89+'Repeat Burden'!G90</f>
        <v>15973.415695496706</v>
      </c>
      <c r="D31" s="176">
        <f>'Prep Burden'!G89+'Dist Burden'!H89+'Repeat Burden'!H90</f>
        <v>101838.24838261254</v>
      </c>
      <c r="E31" s="177">
        <f>'Prep Burden'!H89+'Dist Burden'!I89+'Repeat Burden'!I90</f>
        <v>2447173.1086341795</v>
      </c>
      <c r="F31" s="178">
        <f>'Prep Burden'!I89+'Dist Burden'!J89+'Repeat Burden'!J90</f>
        <v>3844.66363235833</v>
      </c>
    </row>
    <row r="32" spans="2:6" ht="12.75">
      <c r="B32" s="167" t="s">
        <v>25</v>
      </c>
      <c r="C32" s="169"/>
      <c r="D32" s="169"/>
      <c r="E32" s="179"/>
      <c r="F32" s="180"/>
    </row>
    <row r="33" spans="2:6" ht="12.75">
      <c r="B33" s="171" t="s">
        <v>239</v>
      </c>
      <c r="C33" s="172">
        <f>'Prep Burden'!F91+'Dist Burden'!G91+'Repeat Burden'!G92</f>
        <v>38171.4318</v>
      </c>
      <c r="D33" s="172">
        <f>'Prep Burden'!G91+'Dist Burden'!H91+'Repeat Burden'!H92</f>
        <v>244506.56874999998</v>
      </c>
      <c r="E33" s="173">
        <f>'Prep Burden'!H91+'Dist Burden'!I91+'Repeat Burden'!I92</f>
        <v>5875492.8470625</v>
      </c>
      <c r="F33" s="174">
        <f>'Prep Burden'!I91+'Dist Burden'!J91+'Repeat Burden'!J92</f>
        <v>6012.000508499999</v>
      </c>
    </row>
    <row r="34" spans="2:6" ht="12.75">
      <c r="B34" s="171" t="s">
        <v>17</v>
      </c>
      <c r="C34" s="172">
        <f>'Prep Burden'!F92+'Dist Burden'!G92+'Repeat Burden'!G93</f>
        <v>945.31932</v>
      </c>
      <c r="D34" s="172">
        <f>'Prep Burden'!G92+'Dist Burden'!H92+'Repeat Burden'!H93</f>
        <v>6053.60575</v>
      </c>
      <c r="E34" s="173">
        <f>'Prep Burden'!H92+'Dist Burden'!I92+'Repeat Burden'!I93</f>
        <v>145468.14617249998</v>
      </c>
      <c r="F34" s="174">
        <f>'Prep Burden'!I92+'Dist Burden'!J92+'Repeat Burden'!J93</f>
        <v>654.4651104</v>
      </c>
    </row>
    <row r="35" spans="2:6" ht="12.75">
      <c r="B35" s="171" t="s">
        <v>18</v>
      </c>
      <c r="C35" s="172">
        <f>'Prep Burden'!F93+'Dist Burden'!G93+'Repeat Burden'!G94</f>
        <v>57.6408</v>
      </c>
      <c r="D35" s="172">
        <f>'Prep Burden'!G93+'Dist Burden'!H93+'Repeat Burden'!H94</f>
        <v>378.095</v>
      </c>
      <c r="E35" s="173">
        <f>'Prep Burden'!H93+'Dist Burden'!I93+'Repeat Burden'!I94</f>
        <v>9085.62285</v>
      </c>
      <c r="F35" s="174">
        <f>'Prep Burden'!I93+'Dist Burden'!J93+'Repeat Burden'!J94</f>
        <v>45.469584</v>
      </c>
    </row>
    <row r="36" spans="2:6" ht="12.75">
      <c r="B36" s="171" t="s">
        <v>64</v>
      </c>
      <c r="C36" s="172">
        <f>'Prep Burden'!F94+'Dist Burden'!G94+'Repeat Burden'!G95</f>
        <v>15.942049975068084</v>
      </c>
      <c r="D36" s="172">
        <f>'Prep Burden'!G94+'Dist Burden'!H94+'Repeat Burden'!H95</f>
        <v>111.7004729632542</v>
      </c>
      <c r="E36" s="173">
        <f>'Prep Burden'!H94+'Dist Burden'!I94+'Repeat Burden'!I95</f>
        <v>2684.1623653069987</v>
      </c>
      <c r="F36" s="174">
        <f>'Prep Burden'!I94+'Dist Burden'!J94+'Repeat Burden'!J95</f>
        <v>0.9381779733420277</v>
      </c>
    </row>
    <row r="37" spans="2:6" ht="13.5" thickBot="1">
      <c r="B37" s="171" t="s">
        <v>19</v>
      </c>
      <c r="C37" s="172">
        <f>'Prep Burden'!F95+'Dist Burden'!G95+'Repeat Burden'!G96</f>
        <v>0</v>
      </c>
      <c r="D37" s="172">
        <f>'Prep Burden'!G95+'Dist Burden'!H95+'Repeat Burden'!H96</f>
        <v>0</v>
      </c>
      <c r="E37" s="173">
        <f>'Prep Burden'!H95+'Dist Burden'!I95+'Repeat Burden'!I96</f>
        <v>0</v>
      </c>
      <c r="F37" s="174">
        <f>'Prep Burden'!I95+'Dist Burden'!J95+'Repeat Burden'!J96</f>
        <v>0</v>
      </c>
    </row>
    <row r="38" spans="2:6" ht="13.5" thickBot="1">
      <c r="B38" s="181" t="s">
        <v>1</v>
      </c>
      <c r="C38" s="176">
        <f>'Prep Burden'!F96+'Dist Burden'!G96+'Repeat Burden'!G97</f>
        <v>39190.33396997507</v>
      </c>
      <c r="D38" s="176">
        <f>'Prep Burden'!G96+'Dist Burden'!H96+'Repeat Burden'!H97</f>
        <v>251049.9699729632</v>
      </c>
      <c r="E38" s="177">
        <f>'Prep Burden'!H96+'Dist Burden'!I96+'Repeat Burden'!I97</f>
        <v>6032730.778450307</v>
      </c>
      <c r="F38" s="178">
        <f>'Prep Burden'!I96+'Dist Burden'!J96+'Repeat Burden'!J97</f>
        <v>6712.873380873342</v>
      </c>
    </row>
    <row r="39" spans="2:6" ht="13.5" thickBot="1">
      <c r="B39" s="182" t="s">
        <v>1</v>
      </c>
      <c r="C39" s="183">
        <f>C24+C31+C38</f>
        <v>109720.92757722965</v>
      </c>
      <c r="D39" s="183">
        <f>D24+D31+D38</f>
        <v>743139.7924761868</v>
      </c>
      <c r="E39" s="184">
        <f>E24+E31+E38</f>
        <v>17857649.213202767</v>
      </c>
      <c r="F39" s="185">
        <f>F24+F31+F38</f>
        <v>4730742.458660133</v>
      </c>
    </row>
    <row r="40" ht="12.75">
      <c r="B40" s="505" t="str">
        <f>'Prep Burden'!B98</f>
        <v>Note:  Detail may not add to totals due to independent rounding.</v>
      </c>
    </row>
    <row r="41" spans="2:6" ht="12.75">
      <c r="B41" s="17"/>
      <c r="F41" s="18"/>
    </row>
  </sheetData>
  <mergeCells count="1">
    <mergeCell ref="B9:F9"/>
  </mergeCells>
  <printOptions horizontalCentered="1" verticalCentered="1"/>
  <pageMargins left="0.5" right="0.5" top="0.5" bottom="0.5" header="0" footer="0.5"/>
  <pageSetup fitToHeight="1" fitToWidth="1" horizontalDpi="600" verticalDpi="600" orientation="landscape" r:id="rId1"/>
  <rowBreaks count="1" manualBreakCount="1">
    <brk id="16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I204"/>
  <sheetViews>
    <sheetView showGridLines="0" zoomScale="75" zoomScaleNormal="75" workbookViewId="0" topLeftCell="A9">
      <pane ySplit="8" topLeftCell="BM17" activePane="bottomLeft" state="frozen"/>
      <selection pane="topLeft" activeCell="F10" sqref="F10"/>
      <selection pane="bottomLeft" activeCell="H32" sqref="H32"/>
    </sheetView>
  </sheetViews>
  <sheetFormatPr defaultColWidth="9.140625" defaultRowHeight="12.75"/>
  <cols>
    <col min="2" max="2" width="28.7109375" style="0" customWidth="1"/>
    <col min="3" max="3" width="10.57421875" style="0" customWidth="1"/>
    <col min="4" max="4" width="10.7109375" style="0" customWidth="1"/>
    <col min="5" max="5" width="10.57421875" style="0" customWidth="1"/>
    <col min="6" max="6" width="12.7109375" style="117" customWidth="1"/>
    <col min="7" max="7" width="12.7109375" style="0" customWidth="1"/>
    <col min="8" max="8" width="13.7109375" style="0" customWidth="1"/>
    <col min="9" max="9" width="12.7109375" style="0" customWidth="1"/>
  </cols>
  <sheetData>
    <row r="9" spans="2:9" ht="12.75">
      <c r="B9" s="556" t="s">
        <v>314</v>
      </c>
      <c r="C9" s="556"/>
      <c r="D9" s="556"/>
      <c r="E9" s="556"/>
      <c r="F9" s="556"/>
      <c r="G9" s="556"/>
      <c r="H9" s="556"/>
      <c r="I9" s="556"/>
    </row>
    <row r="10" spans="2:9" ht="12.75">
      <c r="B10" s="623" t="s">
        <v>264</v>
      </c>
      <c r="C10" s="623"/>
      <c r="D10" s="623"/>
      <c r="E10" s="623"/>
      <c r="F10" s="623"/>
      <c r="G10" s="623"/>
      <c r="H10" s="623"/>
      <c r="I10" s="623"/>
    </row>
    <row r="11" spans="2:9" ht="13.5" thickBot="1">
      <c r="B11" s="4"/>
      <c r="C11" s="7"/>
      <c r="D11" s="8"/>
      <c r="E11" s="8"/>
      <c r="F11" s="16"/>
      <c r="G11" s="7"/>
      <c r="H11" s="7"/>
      <c r="I11" s="9"/>
    </row>
    <row r="12" spans="2:9" ht="9" customHeight="1">
      <c r="B12" s="528"/>
      <c r="C12" s="187"/>
      <c r="D12" s="188"/>
      <c r="E12" s="188"/>
      <c r="F12" s="5"/>
      <c r="G12" s="5"/>
      <c r="H12" s="5"/>
      <c r="I12" s="27"/>
    </row>
    <row r="13" spans="2:9" ht="12.75">
      <c r="B13" s="529"/>
      <c r="C13" s="191" t="s">
        <v>55</v>
      </c>
      <c r="D13" s="192" t="s">
        <v>3</v>
      </c>
      <c r="E13" s="192" t="s">
        <v>248</v>
      </c>
      <c r="F13" s="153" t="s">
        <v>44</v>
      </c>
      <c r="G13" s="154" t="s">
        <v>6</v>
      </c>
      <c r="H13" s="154" t="s">
        <v>55</v>
      </c>
      <c r="I13" s="155" t="s">
        <v>250</v>
      </c>
    </row>
    <row r="14" spans="2:9" ht="12.75">
      <c r="B14" s="529"/>
      <c r="C14" s="193" t="s">
        <v>241</v>
      </c>
      <c r="D14" s="194" t="s">
        <v>4</v>
      </c>
      <c r="E14" s="194" t="s">
        <v>70</v>
      </c>
      <c r="F14" s="153" t="s">
        <v>72</v>
      </c>
      <c r="G14" s="154" t="s">
        <v>71</v>
      </c>
      <c r="H14" s="154" t="s">
        <v>70</v>
      </c>
      <c r="I14" s="155" t="s">
        <v>249</v>
      </c>
    </row>
    <row r="15" spans="2:9" ht="12.75">
      <c r="B15" s="530" t="s">
        <v>7</v>
      </c>
      <c r="C15" s="193" t="s">
        <v>265</v>
      </c>
      <c r="D15" s="195" t="s">
        <v>8</v>
      </c>
      <c r="E15" s="157" t="s">
        <v>56</v>
      </c>
      <c r="F15" s="153" t="s">
        <v>9</v>
      </c>
      <c r="G15" s="157" t="s">
        <v>56</v>
      </c>
      <c r="H15" s="157" t="s">
        <v>56</v>
      </c>
      <c r="I15" s="158" t="s">
        <v>56</v>
      </c>
    </row>
    <row r="16" spans="2:9" ht="13.5" thickBot="1">
      <c r="B16" s="531" t="s">
        <v>10</v>
      </c>
      <c r="C16" s="196" t="s">
        <v>11</v>
      </c>
      <c r="D16" s="197" t="s">
        <v>12</v>
      </c>
      <c r="E16" s="197" t="s">
        <v>12</v>
      </c>
      <c r="F16" s="160" t="s">
        <v>73</v>
      </c>
      <c r="G16" s="161" t="s">
        <v>13</v>
      </c>
      <c r="H16" s="161" t="s">
        <v>13</v>
      </c>
      <c r="I16" s="162" t="s">
        <v>13</v>
      </c>
    </row>
    <row r="17" spans="2:9" ht="18.75" customHeight="1" thickBot="1">
      <c r="B17" s="163" t="s">
        <v>253</v>
      </c>
      <c r="C17" s="198"/>
      <c r="D17" s="199"/>
      <c r="E17" s="199"/>
      <c r="F17" s="164"/>
      <c r="G17" s="165"/>
      <c r="H17" s="165"/>
      <c r="I17" s="166"/>
    </row>
    <row r="18" spans="2:9" ht="18.75" customHeight="1">
      <c r="B18" s="527" t="s">
        <v>266</v>
      </c>
      <c r="C18" s="168"/>
      <c r="D18" s="168"/>
      <c r="E18" s="168"/>
      <c r="F18" s="168"/>
      <c r="G18" s="169"/>
      <c r="H18" s="169"/>
      <c r="I18" s="170"/>
    </row>
    <row r="19" spans="2:9" ht="18.75" customHeight="1">
      <c r="B19" s="171" t="s">
        <v>268</v>
      </c>
      <c r="C19" s="521">
        <v>3</v>
      </c>
      <c r="D19" s="522">
        <v>0</v>
      </c>
      <c r="E19" s="525">
        <v>0</v>
      </c>
      <c r="F19" s="523">
        <f>'Total (Sched)'!M23</f>
        <v>2140.3001541943154</v>
      </c>
      <c r="G19" s="172">
        <f>C19*F19</f>
        <v>6420.900462582946</v>
      </c>
      <c r="H19" s="173">
        <f>G19*$C$15</f>
        <v>185499.8143640213</v>
      </c>
      <c r="I19" s="174">
        <v>0</v>
      </c>
    </row>
    <row r="20" spans="2:9" ht="18" customHeight="1">
      <c r="B20" s="171" t="s">
        <v>269</v>
      </c>
      <c r="C20" s="521">
        <v>1.1</v>
      </c>
      <c r="D20" s="522">
        <v>0</v>
      </c>
      <c r="E20" s="525">
        <v>0</v>
      </c>
      <c r="F20" s="523">
        <f>'Total (Sched)'!N23</f>
        <v>17728.759754881587</v>
      </c>
      <c r="G20" s="172">
        <f>C20*F20</f>
        <v>19501.635730369748</v>
      </c>
      <c r="H20" s="173">
        <f>G20*$C$15</f>
        <v>563402.256250382</v>
      </c>
      <c r="I20" s="174">
        <v>0</v>
      </c>
    </row>
    <row r="21" spans="2:9" ht="18.75" customHeight="1">
      <c r="B21" s="171" t="s">
        <v>267</v>
      </c>
      <c r="C21" s="521">
        <v>0.1</v>
      </c>
      <c r="D21" s="522">
        <v>0</v>
      </c>
      <c r="E21" s="525">
        <v>0</v>
      </c>
      <c r="F21" s="523">
        <f>'Total (Sched)'!O23</f>
        <v>32491.783613000003</v>
      </c>
      <c r="G21" s="172">
        <f>C21*F21</f>
        <v>3249.1783613000007</v>
      </c>
      <c r="H21" s="173">
        <f>G21*$C$15</f>
        <v>93868.76285795702</v>
      </c>
      <c r="I21" s="174">
        <v>0</v>
      </c>
    </row>
    <row r="22" spans="2:9" ht="18.75" customHeight="1">
      <c r="B22" s="171" t="s">
        <v>270</v>
      </c>
      <c r="C22" s="521">
        <v>0.2</v>
      </c>
      <c r="D22" s="522">
        <v>0</v>
      </c>
      <c r="E22" s="525">
        <v>0</v>
      </c>
      <c r="F22" s="523">
        <v>44262</v>
      </c>
      <c r="G22" s="172">
        <f>C22*F22</f>
        <v>8852.4</v>
      </c>
      <c r="H22" s="173">
        <f>G22*$C$15</f>
        <v>255745.83599999998</v>
      </c>
      <c r="I22" s="174">
        <v>0</v>
      </c>
    </row>
    <row r="23" spans="2:9" ht="18.75" customHeight="1" thickBot="1">
      <c r="B23" s="171" t="s">
        <v>271</v>
      </c>
      <c r="C23" s="521">
        <v>0.1</v>
      </c>
      <c r="D23" s="522">
        <v>0</v>
      </c>
      <c r="E23" s="525">
        <v>0</v>
      </c>
      <c r="F23" s="523">
        <f>F22</f>
        <v>44262</v>
      </c>
      <c r="G23" s="172">
        <f>C23*F23</f>
        <v>4426.2</v>
      </c>
      <c r="H23" s="173">
        <f>G23*$C$15</f>
        <v>127872.91799999999</v>
      </c>
      <c r="I23" s="174">
        <v>0</v>
      </c>
    </row>
    <row r="24" spans="2:9" ht="18.75" customHeight="1" thickBot="1">
      <c r="B24" s="182" t="s">
        <v>1</v>
      </c>
      <c r="C24" s="519"/>
      <c r="D24" s="520"/>
      <c r="E24" s="526"/>
      <c r="F24" s="524">
        <f>SUM(F19:F23)</f>
        <v>140884.8435220759</v>
      </c>
      <c r="G24" s="524">
        <f>SUM(G19:G23)</f>
        <v>42450.31455425269</v>
      </c>
      <c r="H24" s="184">
        <f>SUM(H19:H23)</f>
        <v>1226389.5874723603</v>
      </c>
      <c r="I24" s="185">
        <f>SUM(I19:I23)</f>
        <v>0</v>
      </c>
    </row>
    <row r="25" spans="2:6" ht="12.75">
      <c r="B25" s="505" t="str">
        <f>'Prep Burden'!B98</f>
        <v>Note:  Detail may not add to totals due to independent rounding.</v>
      </c>
      <c r="E25" s="118"/>
      <c r="F25" s="118"/>
    </row>
    <row r="26" spans="2:9" ht="12.75">
      <c r="B26" s="17"/>
      <c r="E26" s="118"/>
      <c r="F26" s="118"/>
      <c r="I26" s="18"/>
    </row>
    <row r="27" spans="5:6" ht="12.75">
      <c r="E27" s="118"/>
      <c r="F27" s="118"/>
    </row>
    <row r="28" spans="5:6" ht="12.75">
      <c r="E28" s="118"/>
      <c r="F28" s="118"/>
    </row>
    <row r="29" spans="5:6" ht="12.75">
      <c r="E29" s="118"/>
      <c r="F29" s="118"/>
    </row>
    <row r="30" spans="5:6" ht="12.75">
      <c r="E30" s="118"/>
      <c r="F30" s="118"/>
    </row>
    <row r="31" spans="5:6" ht="12.75">
      <c r="E31" s="118"/>
      <c r="F31" s="118"/>
    </row>
    <row r="32" spans="5:6" ht="12.75">
      <c r="E32" s="118"/>
      <c r="F32" s="118"/>
    </row>
    <row r="33" spans="5:6" ht="12.75">
      <c r="E33" s="118"/>
      <c r="F33" s="118"/>
    </row>
    <row r="34" spans="5:6" ht="12.75">
      <c r="E34" s="118"/>
      <c r="F34" s="118"/>
    </row>
    <row r="35" spans="5:6" ht="12.75">
      <c r="E35" s="118"/>
      <c r="F35" s="118"/>
    </row>
    <row r="36" spans="5:6" ht="12.75">
      <c r="E36" s="118"/>
      <c r="F36" s="118"/>
    </row>
    <row r="37" spans="5:6" ht="12.75">
      <c r="E37" s="118"/>
      <c r="F37" s="118"/>
    </row>
    <row r="38" spans="5:6" ht="12.75">
      <c r="E38" s="118"/>
      <c r="F38" s="118"/>
    </row>
    <row r="39" spans="5:6" ht="12.75">
      <c r="E39" s="118"/>
      <c r="F39" s="118"/>
    </row>
    <row r="40" spans="5:6" ht="12.75">
      <c r="E40" s="118"/>
      <c r="F40" s="118"/>
    </row>
    <row r="41" spans="5:6" ht="12.75">
      <c r="E41" s="118"/>
      <c r="F41" s="118"/>
    </row>
    <row r="42" spans="5:6" ht="12.75">
      <c r="E42" s="118"/>
      <c r="F42" s="118"/>
    </row>
    <row r="43" spans="5:6" ht="12.75">
      <c r="E43" s="118"/>
      <c r="F43" s="118"/>
    </row>
    <row r="44" spans="5:6" ht="12.75">
      <c r="E44" s="118"/>
      <c r="F44" s="118"/>
    </row>
    <row r="45" spans="5:6" ht="12.75">
      <c r="E45" s="118"/>
      <c r="F45" s="118"/>
    </row>
    <row r="46" spans="5:6" ht="12.75">
      <c r="E46" s="118"/>
      <c r="F46" s="118"/>
    </row>
    <row r="47" spans="5:6" ht="12.75">
      <c r="E47" s="118"/>
      <c r="F47" s="118"/>
    </row>
    <row r="48" spans="5:6" ht="12.75">
      <c r="E48" s="118"/>
      <c r="F48" s="118"/>
    </row>
    <row r="49" spans="5:6" ht="12.75">
      <c r="E49" s="118"/>
      <c r="F49" s="118"/>
    </row>
    <row r="50" spans="5:6" ht="12.75">
      <c r="E50" s="118"/>
      <c r="F50" s="118"/>
    </row>
    <row r="51" spans="5:6" ht="12.75">
      <c r="E51" s="118"/>
      <c r="F51" s="118"/>
    </row>
    <row r="52" spans="5:6" ht="12.75">
      <c r="E52" s="118"/>
      <c r="F52" s="118"/>
    </row>
    <row r="53" spans="5:6" ht="12.75">
      <c r="E53" s="118"/>
      <c r="F53" s="118"/>
    </row>
    <row r="54" spans="5:6" ht="12.75">
      <c r="E54" s="118"/>
      <c r="F54" s="118"/>
    </row>
    <row r="55" spans="5:6" ht="12.75">
      <c r="E55" s="118"/>
      <c r="F55" s="118"/>
    </row>
    <row r="56" spans="5:6" ht="12.75">
      <c r="E56" s="118"/>
      <c r="F56" s="118"/>
    </row>
    <row r="57" spans="5:6" ht="12.75">
      <c r="E57" s="118"/>
      <c r="F57" s="118"/>
    </row>
    <row r="58" spans="5:6" ht="12.75">
      <c r="E58" s="118"/>
      <c r="F58" s="118"/>
    </row>
    <row r="59" spans="5:6" ht="12.75">
      <c r="E59" s="118"/>
      <c r="F59" s="118"/>
    </row>
    <row r="60" spans="5:6" ht="12.75">
      <c r="E60" s="118"/>
      <c r="F60" s="118"/>
    </row>
    <row r="61" spans="5:6" ht="12.75">
      <c r="E61" s="118"/>
      <c r="F61" s="118"/>
    </row>
    <row r="62" spans="5:6" ht="12.75">
      <c r="E62" s="118"/>
      <c r="F62" s="118"/>
    </row>
    <row r="63" spans="5:6" ht="12.75">
      <c r="E63" s="118"/>
      <c r="F63" s="118"/>
    </row>
    <row r="64" spans="5:6" ht="12.75">
      <c r="E64" s="118"/>
      <c r="F64" s="118"/>
    </row>
    <row r="65" spans="5:6" ht="12.75">
      <c r="E65" s="118"/>
      <c r="F65" s="118"/>
    </row>
    <row r="66" spans="5:6" ht="12.75">
      <c r="E66" s="118"/>
      <c r="F66" s="118"/>
    </row>
    <row r="67" spans="5:6" ht="12.75">
      <c r="E67" s="118"/>
      <c r="F67" s="118"/>
    </row>
    <row r="68" spans="5:6" ht="12.75">
      <c r="E68" s="118"/>
      <c r="F68" s="118"/>
    </row>
    <row r="69" spans="5:6" ht="12.75">
      <c r="E69" s="118"/>
      <c r="F69" s="118"/>
    </row>
    <row r="70" spans="5:6" ht="12.75">
      <c r="E70" s="118"/>
      <c r="F70" s="118"/>
    </row>
    <row r="71" spans="4:5" ht="12.75">
      <c r="D71" s="118"/>
      <c r="E71" s="118"/>
    </row>
    <row r="72" spans="4:5" ht="12.75">
      <c r="D72" s="118"/>
      <c r="E72" s="118"/>
    </row>
    <row r="73" spans="4:5" ht="12.75">
      <c r="D73" s="118"/>
      <c r="E73" s="118"/>
    </row>
    <row r="74" spans="4:5" ht="12.75">
      <c r="D74" s="118"/>
      <c r="E74" s="118"/>
    </row>
    <row r="75" spans="4:5" ht="12.75">
      <c r="D75" s="118"/>
      <c r="E75" s="118"/>
    </row>
    <row r="76" spans="4:5" ht="12.75">
      <c r="D76" s="118"/>
      <c r="E76" s="118"/>
    </row>
    <row r="77" spans="4:5" ht="12.75">
      <c r="D77" s="118"/>
      <c r="E77" s="118"/>
    </row>
    <row r="78" spans="4:5" ht="12.75">
      <c r="D78" s="118"/>
      <c r="E78" s="118"/>
    </row>
    <row r="79" spans="4:5" ht="12.75">
      <c r="D79" s="118"/>
      <c r="E79" s="118"/>
    </row>
    <row r="80" spans="4:5" ht="12.75">
      <c r="D80" s="118"/>
      <c r="E80" s="118"/>
    </row>
    <row r="81" spans="4:5" ht="12.75">
      <c r="D81" s="118"/>
      <c r="E81" s="118"/>
    </row>
    <row r="82" spans="4:5" ht="12.75">
      <c r="D82" s="118"/>
      <c r="E82" s="118"/>
    </row>
    <row r="83" spans="4:5" ht="12.75">
      <c r="D83" s="118"/>
      <c r="E83" s="118"/>
    </row>
    <row r="84" spans="4:5" ht="12.75">
      <c r="D84" s="118"/>
      <c r="E84" s="118"/>
    </row>
    <row r="85" spans="4:5" ht="12.75">
      <c r="D85" s="118"/>
      <c r="E85" s="118"/>
    </row>
    <row r="86" spans="4:5" ht="12.75">
      <c r="D86" s="118"/>
      <c r="E86" s="118"/>
    </row>
    <row r="87" spans="4:5" ht="12.75">
      <c r="D87" s="118"/>
      <c r="E87" s="118"/>
    </row>
    <row r="88" spans="4:5" ht="12.75">
      <c r="D88" s="118"/>
      <c r="E88" s="118"/>
    </row>
    <row r="89" spans="4:5" ht="12.75">
      <c r="D89" s="118"/>
      <c r="E89" s="118"/>
    </row>
    <row r="90" spans="4:5" ht="12.75">
      <c r="D90" s="118"/>
      <c r="E90" s="118"/>
    </row>
    <row r="91" spans="4:5" ht="12.75">
      <c r="D91" s="118"/>
      <c r="E91" s="118"/>
    </row>
    <row r="92" spans="4:5" ht="12.75">
      <c r="D92" s="118"/>
      <c r="E92" s="118"/>
    </row>
    <row r="93" spans="4:5" ht="12.75">
      <c r="D93" s="118"/>
      <c r="E93" s="118"/>
    </row>
    <row r="94" spans="4:5" ht="12.75">
      <c r="D94" s="118"/>
      <c r="E94" s="118"/>
    </row>
    <row r="95" spans="4:5" ht="12.75">
      <c r="D95" s="118"/>
      <c r="E95" s="118"/>
    </row>
    <row r="96" spans="4:5" ht="12.75">
      <c r="D96" s="118"/>
      <c r="E96" s="118"/>
    </row>
    <row r="97" spans="4:5" ht="12.75">
      <c r="D97" s="118"/>
      <c r="E97" s="118"/>
    </row>
    <row r="98" spans="4:5" ht="12.75">
      <c r="D98" s="118"/>
      <c r="E98" s="118"/>
    </row>
    <row r="99" spans="4:5" ht="12.75">
      <c r="D99" s="118"/>
      <c r="E99" s="118"/>
    </row>
    <row r="100" spans="4:5" ht="12.75">
      <c r="D100" s="118"/>
      <c r="E100" s="118"/>
    </row>
    <row r="101" spans="4:5" ht="12.75">
      <c r="D101" s="118"/>
      <c r="E101" s="118"/>
    </row>
    <row r="102" spans="4:5" ht="12.75">
      <c r="D102" s="118"/>
      <c r="E102" s="118"/>
    </row>
    <row r="103" spans="4:5" ht="12.75">
      <c r="D103" s="118"/>
      <c r="E103" s="118"/>
    </row>
    <row r="104" spans="4:5" ht="12.75">
      <c r="D104" s="118"/>
      <c r="E104" s="118"/>
    </row>
    <row r="105" spans="4:5" ht="12.75">
      <c r="D105" s="118"/>
      <c r="E105" s="118"/>
    </row>
    <row r="106" spans="4:5" ht="12.75">
      <c r="D106" s="118"/>
      <c r="E106" s="118"/>
    </row>
    <row r="107" spans="4:5" ht="12.75">
      <c r="D107" s="118"/>
      <c r="E107" s="118"/>
    </row>
    <row r="108" spans="4:5" ht="12.75">
      <c r="D108" s="118"/>
      <c r="E108" s="118"/>
    </row>
    <row r="109" spans="4:5" ht="12.75">
      <c r="D109" s="118"/>
      <c r="E109" s="118"/>
    </row>
    <row r="110" spans="4:5" ht="12.75">
      <c r="D110" s="118"/>
      <c r="E110" s="118"/>
    </row>
    <row r="111" spans="4:5" ht="12.75">
      <c r="D111" s="118"/>
      <c r="E111" s="118"/>
    </row>
    <row r="112" spans="4:5" ht="12.75">
      <c r="D112" s="118"/>
      <c r="E112" s="118"/>
    </row>
    <row r="113" spans="4:5" ht="12.75">
      <c r="D113" s="118"/>
      <c r="E113" s="118"/>
    </row>
    <row r="114" spans="4:5" ht="12.75">
      <c r="D114" s="118"/>
      <c r="E114" s="118"/>
    </row>
    <row r="115" spans="4:5" ht="12.75">
      <c r="D115" s="118"/>
      <c r="E115" s="118"/>
    </row>
    <row r="116" spans="4:5" ht="12.75">
      <c r="D116" s="118"/>
      <c r="E116" s="118"/>
    </row>
    <row r="117" spans="4:5" ht="12.75">
      <c r="D117" s="118"/>
      <c r="E117" s="118"/>
    </row>
    <row r="118" spans="4:5" ht="12.75">
      <c r="D118" s="118"/>
      <c r="E118" s="118"/>
    </row>
    <row r="119" spans="4:5" ht="12.75">
      <c r="D119" s="118"/>
      <c r="E119" s="118"/>
    </row>
    <row r="120" spans="4:5" ht="12.75">
      <c r="D120" s="118"/>
      <c r="E120" s="118"/>
    </row>
    <row r="121" spans="4:5" ht="12.75">
      <c r="D121" s="118"/>
      <c r="E121" s="118"/>
    </row>
    <row r="122" spans="4:5" ht="12.75">
      <c r="D122" s="118"/>
      <c r="E122" s="118"/>
    </row>
    <row r="123" spans="4:5" ht="12.75">
      <c r="D123" s="118"/>
      <c r="E123" s="118"/>
    </row>
    <row r="124" spans="4:5" ht="12.75">
      <c r="D124" s="118"/>
      <c r="E124" s="118"/>
    </row>
    <row r="125" spans="4:5" ht="12.75">
      <c r="D125" s="118"/>
      <c r="E125" s="118"/>
    </row>
    <row r="126" spans="4:5" ht="12.75">
      <c r="D126" s="118"/>
      <c r="E126" s="118"/>
    </row>
    <row r="127" spans="4:5" ht="12.75">
      <c r="D127" s="118"/>
      <c r="E127" s="118"/>
    </row>
    <row r="128" spans="4:5" ht="12.75">
      <c r="D128" s="118"/>
      <c r="E128" s="118"/>
    </row>
    <row r="129" spans="4:5" ht="12.75">
      <c r="D129" s="118"/>
      <c r="E129" s="118"/>
    </row>
    <row r="130" spans="4:5" ht="12.75">
      <c r="D130" s="118"/>
      <c r="E130" s="118"/>
    </row>
    <row r="131" spans="4:5" ht="12.75">
      <c r="D131" s="118"/>
      <c r="E131" s="118"/>
    </row>
    <row r="132" spans="4:5" ht="12.75">
      <c r="D132" s="118"/>
      <c r="E132" s="118"/>
    </row>
    <row r="133" spans="4:5" ht="12.75">
      <c r="D133" s="118"/>
      <c r="E133" s="118"/>
    </row>
    <row r="134" spans="4:5" ht="12.75">
      <c r="D134" s="118"/>
      <c r="E134" s="118"/>
    </row>
    <row r="135" spans="4:5" ht="12.75">
      <c r="D135" s="118"/>
      <c r="E135" s="118"/>
    </row>
    <row r="136" spans="4:5" ht="12.75">
      <c r="D136" s="118"/>
      <c r="E136" s="118"/>
    </row>
    <row r="137" spans="4:5" ht="12.75">
      <c r="D137" s="118"/>
      <c r="E137" s="118"/>
    </row>
    <row r="138" spans="4:5" ht="12.75">
      <c r="D138" s="118"/>
      <c r="E138" s="118"/>
    </row>
    <row r="139" spans="4:5" ht="12.75">
      <c r="D139" s="118"/>
      <c r="E139" s="118"/>
    </row>
    <row r="140" spans="4:5" ht="12.75">
      <c r="D140" s="118"/>
      <c r="E140" s="118"/>
    </row>
    <row r="141" spans="4:5" ht="12.75">
      <c r="D141" s="118"/>
      <c r="E141" s="118"/>
    </row>
    <row r="142" spans="4:5" ht="12.75">
      <c r="D142" s="118"/>
      <c r="E142" s="118"/>
    </row>
    <row r="143" spans="4:5" ht="12.75">
      <c r="D143" s="118"/>
      <c r="E143" s="118"/>
    </row>
    <row r="144" spans="4:5" ht="12.75">
      <c r="D144" s="118"/>
      <c r="E144" s="118"/>
    </row>
    <row r="145" spans="4:5" ht="12.75">
      <c r="D145" s="118"/>
      <c r="E145" s="118"/>
    </row>
    <row r="146" spans="4:5" ht="12.75">
      <c r="D146" s="118"/>
      <c r="E146" s="118"/>
    </row>
    <row r="147" spans="4:5" ht="12.75">
      <c r="D147" s="118"/>
      <c r="E147" s="118"/>
    </row>
    <row r="148" spans="4:5" ht="12.75">
      <c r="D148" s="118"/>
      <c r="E148" s="118"/>
    </row>
    <row r="149" spans="4:5" ht="12.75">
      <c r="D149" s="118"/>
      <c r="E149" s="118"/>
    </row>
    <row r="150" spans="4:5" ht="12.75">
      <c r="D150" s="118"/>
      <c r="E150" s="118"/>
    </row>
    <row r="151" spans="4:5" ht="12.75">
      <c r="D151" s="118"/>
      <c r="E151" s="118"/>
    </row>
    <row r="152" spans="4:5" ht="12.75">
      <c r="D152" s="118"/>
      <c r="E152" s="118"/>
    </row>
    <row r="153" spans="4:5" ht="12.75">
      <c r="D153" s="118"/>
      <c r="E153" s="118"/>
    </row>
    <row r="154" spans="4:5" ht="12.75">
      <c r="D154" s="118"/>
      <c r="E154" s="118"/>
    </row>
    <row r="155" spans="4:5" ht="12.75">
      <c r="D155" s="118"/>
      <c r="E155" s="118"/>
    </row>
    <row r="156" spans="4:5" ht="12.75">
      <c r="D156" s="118"/>
      <c r="E156" s="118"/>
    </row>
    <row r="157" spans="4:5" ht="12.75">
      <c r="D157" s="118"/>
      <c r="E157" s="118"/>
    </row>
    <row r="158" spans="4:5" ht="12.75">
      <c r="D158" s="118"/>
      <c r="E158" s="118"/>
    </row>
    <row r="159" spans="4:5" ht="12.75">
      <c r="D159" s="118"/>
      <c r="E159" s="118"/>
    </row>
    <row r="160" spans="4:5" ht="12.75">
      <c r="D160" s="118"/>
      <c r="E160" s="118"/>
    </row>
    <row r="161" spans="4:5" ht="12.75">
      <c r="D161" s="118"/>
      <c r="E161" s="118"/>
    </row>
    <row r="162" spans="4:5" ht="12.75">
      <c r="D162" s="118"/>
      <c r="E162" s="118"/>
    </row>
    <row r="163" spans="4:5" ht="12.75">
      <c r="D163" s="118"/>
      <c r="E163" s="118"/>
    </row>
    <row r="164" spans="4:5" ht="12.75">
      <c r="D164" s="118"/>
      <c r="E164" s="118"/>
    </row>
    <row r="165" spans="4:5" ht="12.75">
      <c r="D165" s="118"/>
      <c r="E165" s="118"/>
    </row>
    <row r="166" spans="4:5" ht="12.75">
      <c r="D166" s="118"/>
      <c r="E166" s="118"/>
    </row>
    <row r="167" spans="4:5" ht="12.75">
      <c r="D167" s="118"/>
      <c r="E167" s="118"/>
    </row>
    <row r="168" spans="4:5" ht="12.75">
      <c r="D168" s="118"/>
      <c r="E168" s="118"/>
    </row>
    <row r="169" spans="4:5" ht="12.75">
      <c r="D169" s="118"/>
      <c r="E169" s="118"/>
    </row>
    <row r="170" spans="4:5" ht="12.75">
      <c r="D170" s="118"/>
      <c r="E170" s="118"/>
    </row>
    <row r="171" spans="4:5" ht="12.75">
      <c r="D171" s="118"/>
      <c r="E171" s="118"/>
    </row>
    <row r="172" spans="4:5" ht="12.75">
      <c r="D172" s="118"/>
      <c r="E172" s="118"/>
    </row>
    <row r="173" spans="4:5" ht="12.75">
      <c r="D173" s="118"/>
      <c r="E173" s="118"/>
    </row>
    <row r="174" spans="4:5" ht="12.75">
      <c r="D174" s="118"/>
      <c r="E174" s="118"/>
    </row>
    <row r="175" spans="4:5" ht="12.75">
      <c r="D175" s="118"/>
      <c r="E175" s="118"/>
    </row>
    <row r="176" spans="4:5" ht="12.75">
      <c r="D176" s="118"/>
      <c r="E176" s="118"/>
    </row>
    <row r="177" spans="4:5" ht="12.75">
      <c r="D177" s="118"/>
      <c r="E177" s="118"/>
    </row>
    <row r="178" spans="4:5" ht="12.75">
      <c r="D178" s="118"/>
      <c r="E178" s="118"/>
    </row>
    <row r="179" spans="4:5" ht="12.75">
      <c r="D179" s="118"/>
      <c r="E179" s="118"/>
    </row>
    <row r="180" spans="4:5" ht="12.75">
      <c r="D180" s="118"/>
      <c r="E180" s="118"/>
    </row>
    <row r="181" spans="4:5" ht="12.75">
      <c r="D181" s="118"/>
      <c r="E181" s="118"/>
    </row>
    <row r="182" spans="4:5" ht="12.75">
      <c r="D182" s="118"/>
      <c r="E182" s="118"/>
    </row>
    <row r="183" spans="4:5" ht="12.75">
      <c r="D183" s="118"/>
      <c r="E183" s="118"/>
    </row>
    <row r="184" spans="4:5" ht="12.75">
      <c r="D184" s="118"/>
      <c r="E184" s="118"/>
    </row>
    <row r="185" spans="4:5" ht="12.75">
      <c r="D185" s="118"/>
      <c r="E185" s="118"/>
    </row>
    <row r="186" spans="4:5" ht="12.75">
      <c r="D186" s="118"/>
      <c r="E186" s="118"/>
    </row>
    <row r="187" spans="4:5" ht="12.75">
      <c r="D187" s="118"/>
      <c r="E187" s="118"/>
    </row>
    <row r="188" spans="4:5" ht="12.75">
      <c r="D188" s="118"/>
      <c r="E188" s="118"/>
    </row>
    <row r="189" spans="4:5" ht="12.75">
      <c r="D189" s="118"/>
      <c r="E189" s="118"/>
    </row>
    <row r="190" spans="4:5" ht="12.75">
      <c r="D190" s="118"/>
      <c r="E190" s="118"/>
    </row>
    <row r="191" spans="4:5" ht="12.75">
      <c r="D191" s="118"/>
      <c r="E191" s="118"/>
    </row>
    <row r="192" spans="4:5" ht="12.75">
      <c r="D192" s="118"/>
      <c r="E192" s="118"/>
    </row>
    <row r="193" spans="4:5" ht="12.75">
      <c r="D193" s="118"/>
      <c r="E193" s="118"/>
    </row>
    <row r="194" spans="4:5" ht="12.75">
      <c r="D194" s="118"/>
      <c r="E194" s="118"/>
    </row>
    <row r="195" spans="4:5" ht="12.75">
      <c r="D195" s="118"/>
      <c r="E195" s="118"/>
    </row>
    <row r="196" spans="4:5" ht="12.75">
      <c r="D196" s="118"/>
      <c r="E196" s="118"/>
    </row>
    <row r="197" spans="4:5" ht="12.75">
      <c r="D197" s="118"/>
      <c r="E197" s="118"/>
    </row>
    <row r="198" spans="4:5" ht="12.75">
      <c r="D198" s="118"/>
      <c r="E198" s="118"/>
    </row>
    <row r="199" spans="4:5" ht="12.75">
      <c r="D199" s="118"/>
      <c r="E199" s="118"/>
    </row>
    <row r="200" spans="4:5" ht="12.75">
      <c r="D200" s="118"/>
      <c r="E200" s="118"/>
    </row>
    <row r="201" spans="4:5" ht="12.75">
      <c r="D201" s="118"/>
      <c r="E201" s="118"/>
    </row>
    <row r="202" spans="4:5" ht="12.75">
      <c r="D202" s="118"/>
      <c r="E202" s="118"/>
    </row>
    <row r="203" spans="4:5" ht="12.75">
      <c r="D203" s="118"/>
      <c r="E203" s="118"/>
    </row>
    <row r="204" spans="4:5" ht="12.75">
      <c r="D204" s="118"/>
      <c r="E204" s="118"/>
    </row>
  </sheetData>
  <mergeCells count="2">
    <mergeCell ref="B9:I9"/>
    <mergeCell ref="B10:I10"/>
  </mergeCells>
  <printOptions horizontalCentered="1" verticalCentered="1"/>
  <pageMargins left="0.5" right="0.5" top="0.5" bottom="0.5" header="0" footer="0.5"/>
  <pageSetup fitToHeight="1" fitToWidth="1" horizontalDpi="600" verticalDpi="600" orientation="landscape" scale="99" r:id="rId1"/>
  <rowBreaks count="1" manualBreakCount="1">
    <brk id="16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I20" sqref="I20"/>
    </sheetView>
  </sheetViews>
  <sheetFormatPr defaultColWidth="9.140625" defaultRowHeight="12.75"/>
  <cols>
    <col min="1" max="1" width="19.57421875" style="0" customWidth="1"/>
    <col min="2" max="2" width="6.57421875" style="0" customWidth="1"/>
    <col min="3" max="3" width="7.00390625" style="0" customWidth="1"/>
    <col min="4" max="4" width="6.7109375" style="0" customWidth="1"/>
    <col min="5" max="5" width="11.421875" style="0" customWidth="1"/>
    <col min="6" max="6" width="11.57421875" style="0" customWidth="1"/>
    <col min="7" max="7" width="11.140625" style="0" customWidth="1"/>
    <col min="8" max="8" width="12.8515625" style="0" customWidth="1"/>
    <col min="9" max="9" width="10.28125" style="0" bestFit="1" customWidth="1"/>
    <col min="10" max="10" width="12.421875" style="0" customWidth="1"/>
  </cols>
  <sheetData>
    <row r="1" ht="12.75">
      <c r="A1" s="28" t="s">
        <v>85</v>
      </c>
    </row>
    <row r="2" spans="5:6" ht="12.75">
      <c r="E2" s="20" t="s">
        <v>87</v>
      </c>
      <c r="F2" s="24">
        <v>38.35</v>
      </c>
    </row>
    <row r="3" spans="5:6" ht="12.75">
      <c r="E3" s="20" t="s">
        <v>88</v>
      </c>
      <c r="F3" s="24">
        <v>26.91</v>
      </c>
    </row>
    <row r="4" spans="5:6" ht="12.75">
      <c r="E4" s="20" t="s">
        <v>89</v>
      </c>
      <c r="F4" s="24">
        <v>16.36</v>
      </c>
    </row>
    <row r="5" ht="13.5" thickBot="1"/>
    <row r="6" spans="1:10" ht="12.75">
      <c r="A6" s="32" t="s">
        <v>12</v>
      </c>
      <c r="B6" s="33" t="s">
        <v>91</v>
      </c>
      <c r="C6" s="33" t="s">
        <v>92</v>
      </c>
      <c r="D6" s="33" t="s">
        <v>93</v>
      </c>
      <c r="E6" s="33" t="s">
        <v>75</v>
      </c>
      <c r="F6" s="33" t="s">
        <v>76</v>
      </c>
      <c r="G6" s="33" t="s">
        <v>77</v>
      </c>
      <c r="H6" s="33" t="s">
        <v>90</v>
      </c>
      <c r="I6" s="33" t="s">
        <v>78</v>
      </c>
      <c r="J6" s="34" t="s">
        <v>79</v>
      </c>
    </row>
    <row r="7" spans="1:11" ht="12.75">
      <c r="A7" s="35" t="s">
        <v>86</v>
      </c>
      <c r="B7" s="13">
        <v>50</v>
      </c>
      <c r="C7" s="13">
        <v>100</v>
      </c>
      <c r="D7" s="13">
        <v>23</v>
      </c>
      <c r="E7" s="13">
        <f aca="true" t="shared" si="0" ref="E7:E12">SUM(B7:D7)</f>
        <v>173</v>
      </c>
      <c r="F7" s="30">
        <f aca="true" t="shared" si="1" ref="F7:F12">(B7*$F$2)+(C7*$F$3)+(D7*$F$4)</f>
        <v>4984.78</v>
      </c>
      <c r="G7" s="30">
        <v>0</v>
      </c>
      <c r="H7" s="13">
        <v>56</v>
      </c>
      <c r="I7" s="31">
        <f aca="true" t="shared" si="2" ref="I7:I12">+H7*E7</f>
        <v>9688</v>
      </c>
      <c r="J7" s="36">
        <f aca="true" t="shared" si="3" ref="J7:J12">+F7*H7</f>
        <v>279147.68</v>
      </c>
      <c r="K7" s="21" t="s">
        <v>115</v>
      </c>
    </row>
    <row r="8" spans="1:11" ht="12.75">
      <c r="A8" s="35" t="s">
        <v>80</v>
      </c>
      <c r="B8" s="13">
        <v>1</v>
      </c>
      <c r="C8" s="13">
        <v>2</v>
      </c>
      <c r="D8" s="13"/>
      <c r="E8" s="13">
        <f t="shared" si="0"/>
        <v>3</v>
      </c>
      <c r="F8" s="29">
        <f t="shared" si="1"/>
        <v>92.17</v>
      </c>
      <c r="G8" s="30">
        <v>0</v>
      </c>
      <c r="H8" s="31" t="e">
        <f>+#REF!</f>
        <v>#REF!</v>
      </c>
      <c r="I8" s="31" t="e">
        <f t="shared" si="2"/>
        <v>#REF!</v>
      </c>
      <c r="J8" s="36" t="e">
        <f t="shared" si="3"/>
        <v>#REF!</v>
      </c>
      <c r="K8" s="21" t="s">
        <v>94</v>
      </c>
    </row>
    <row r="9" spans="1:11" ht="12.75">
      <c r="A9" s="35" t="s">
        <v>81</v>
      </c>
      <c r="B9" s="13">
        <v>0.1</v>
      </c>
      <c r="C9" s="13">
        <v>1</v>
      </c>
      <c r="D9" s="13"/>
      <c r="E9" s="13">
        <f t="shared" si="0"/>
        <v>1.1</v>
      </c>
      <c r="F9" s="29">
        <f t="shared" si="1"/>
        <v>30.745</v>
      </c>
      <c r="G9" s="30">
        <v>0</v>
      </c>
      <c r="H9" s="31" t="e">
        <f>+#REF!</f>
        <v>#REF!</v>
      </c>
      <c r="I9" s="31" t="e">
        <f t="shared" si="2"/>
        <v>#REF!</v>
      </c>
      <c r="J9" s="36" t="e">
        <f t="shared" si="3"/>
        <v>#REF!</v>
      </c>
      <c r="K9" s="21" t="s">
        <v>95</v>
      </c>
    </row>
    <row r="10" spans="1:11" ht="12.75">
      <c r="A10" s="35" t="s">
        <v>82</v>
      </c>
      <c r="B10" s="13"/>
      <c r="C10" s="13">
        <v>0.1</v>
      </c>
      <c r="D10" s="13"/>
      <c r="E10" s="13">
        <f t="shared" si="0"/>
        <v>0.1</v>
      </c>
      <c r="F10" s="29">
        <f t="shared" si="1"/>
        <v>2.6910000000000003</v>
      </c>
      <c r="G10" s="30">
        <v>0</v>
      </c>
      <c r="H10" s="31" t="e">
        <f>+#REF!</f>
        <v>#REF!</v>
      </c>
      <c r="I10" s="31" t="e">
        <f t="shared" si="2"/>
        <v>#REF!</v>
      </c>
      <c r="J10" s="36" t="e">
        <f t="shared" si="3"/>
        <v>#REF!</v>
      </c>
      <c r="K10" s="21" t="s">
        <v>96</v>
      </c>
    </row>
    <row r="11" spans="1:11" ht="12.75">
      <c r="A11" s="35" t="s">
        <v>83</v>
      </c>
      <c r="B11" s="13"/>
      <c r="C11" s="13">
        <v>0.1</v>
      </c>
      <c r="D11" s="13">
        <v>0.1</v>
      </c>
      <c r="E11" s="13">
        <f t="shared" si="0"/>
        <v>0.2</v>
      </c>
      <c r="F11" s="29">
        <f t="shared" si="1"/>
        <v>4.327</v>
      </c>
      <c r="G11" s="30">
        <v>0</v>
      </c>
      <c r="H11" s="31" t="e">
        <f>SUM(H8:H10)</f>
        <v>#REF!</v>
      </c>
      <c r="I11" s="31" t="e">
        <f t="shared" si="2"/>
        <v>#REF!</v>
      </c>
      <c r="J11" s="36" t="e">
        <f t="shared" si="3"/>
        <v>#REF!</v>
      </c>
      <c r="K11" s="21" t="s">
        <v>97</v>
      </c>
    </row>
    <row r="12" spans="1:11" ht="12.75">
      <c r="A12" s="35" t="s">
        <v>84</v>
      </c>
      <c r="B12" s="13"/>
      <c r="C12" s="13"/>
      <c r="D12" s="13">
        <v>0.1</v>
      </c>
      <c r="E12" s="13">
        <f t="shared" si="0"/>
        <v>0.1</v>
      </c>
      <c r="F12" s="29">
        <f t="shared" si="1"/>
        <v>1.6360000000000001</v>
      </c>
      <c r="G12" s="30">
        <v>0</v>
      </c>
      <c r="H12" s="31" t="e">
        <f>+H11</f>
        <v>#REF!</v>
      </c>
      <c r="I12" s="31" t="e">
        <f t="shared" si="2"/>
        <v>#REF!</v>
      </c>
      <c r="J12" s="36" t="e">
        <f t="shared" si="3"/>
        <v>#REF!</v>
      </c>
      <c r="K12" s="21" t="s">
        <v>97</v>
      </c>
    </row>
    <row r="13" spans="1:10" ht="13.5" thickBot="1">
      <c r="A13" s="37" t="s">
        <v>1</v>
      </c>
      <c r="B13" s="14"/>
      <c r="C13" s="14"/>
      <c r="D13" s="14"/>
      <c r="E13" s="14"/>
      <c r="F13" s="14"/>
      <c r="G13" s="14"/>
      <c r="H13" s="38"/>
      <c r="I13" s="38" t="e">
        <f>SUM(I7:I12)</f>
        <v>#REF!</v>
      </c>
      <c r="J13" s="39" t="e">
        <f>SUM(J7:J12)</f>
        <v>#REF!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D4" sqref="D4"/>
    </sheetView>
  </sheetViews>
  <sheetFormatPr defaultColWidth="9.140625" defaultRowHeight="12.75"/>
  <cols>
    <col min="1" max="1" width="25.421875" style="0" customWidth="1"/>
    <col min="3" max="3" width="14.57421875" style="0" customWidth="1"/>
    <col min="4" max="4" width="11.140625" style="0" customWidth="1"/>
  </cols>
  <sheetData>
    <row r="1" ht="12.75">
      <c r="A1" s="41" t="s">
        <v>98</v>
      </c>
    </row>
    <row r="2" spans="2:5" ht="48" customHeight="1">
      <c r="B2" s="43" t="s">
        <v>99</v>
      </c>
      <c r="C2" s="43" t="s">
        <v>100</v>
      </c>
      <c r="D2" s="43" t="s">
        <v>101</v>
      </c>
      <c r="E2" s="43" t="s">
        <v>102</v>
      </c>
    </row>
    <row r="3" spans="2:5" ht="12.75">
      <c r="B3" t="s">
        <v>103</v>
      </c>
      <c r="C3" t="s">
        <v>103</v>
      </c>
      <c r="D3" t="s">
        <v>114</v>
      </c>
      <c r="E3" t="s">
        <v>104</v>
      </c>
    </row>
    <row r="4" spans="2:5" ht="12.75">
      <c r="B4" s="20" t="s">
        <v>105</v>
      </c>
      <c r="C4" s="20" t="s">
        <v>106</v>
      </c>
      <c r="D4" s="20" t="s">
        <v>107</v>
      </c>
      <c r="E4" s="20" t="s">
        <v>108</v>
      </c>
    </row>
    <row r="5" ht="12.75">
      <c r="A5" t="s">
        <v>109</v>
      </c>
    </row>
    <row r="6" spans="1:5" ht="12.75">
      <c r="A6" s="12" t="s">
        <v>16</v>
      </c>
      <c r="B6" s="19">
        <v>16367</v>
      </c>
      <c r="C6" s="19">
        <v>101580</v>
      </c>
      <c r="D6" s="42" t="e">
        <f>MAX(D23,D27,D31)</f>
        <v>#REF!</v>
      </c>
      <c r="E6" s="22" t="e">
        <f>+D6/C6</f>
        <v>#REF!</v>
      </c>
    </row>
    <row r="7" spans="1:5" ht="12.75">
      <c r="A7" s="12" t="s">
        <v>17</v>
      </c>
      <c r="B7" s="19">
        <v>5971</v>
      </c>
      <c r="C7" s="19">
        <v>1526105</v>
      </c>
      <c r="D7" s="42" t="e">
        <f>MAX(D24,D28,D32)</f>
        <v>#REF!</v>
      </c>
      <c r="E7" s="22" t="e">
        <f>+D7/C7</f>
        <v>#REF!</v>
      </c>
    </row>
    <row r="8" spans="1:5" ht="12.75">
      <c r="A8" s="12" t="s">
        <v>18</v>
      </c>
      <c r="B8" s="19">
        <v>1697</v>
      </c>
      <c r="C8" s="19">
        <v>8214020</v>
      </c>
      <c r="D8" s="42" t="e">
        <f>MAX(D25,D29,D33)</f>
        <v>#REF!</v>
      </c>
      <c r="E8" s="22" t="e">
        <f>+D8/C8</f>
        <v>#REF!</v>
      </c>
    </row>
    <row r="9" ht="12.75">
      <c r="A9" t="s">
        <v>110</v>
      </c>
    </row>
    <row r="10" spans="1:5" ht="12.75">
      <c r="A10" s="12" t="s">
        <v>16</v>
      </c>
      <c r="B10" s="19">
        <v>23762</v>
      </c>
      <c r="C10" s="19">
        <v>1334207</v>
      </c>
      <c r="D10" s="42" t="e">
        <f>+D6</f>
        <v>#REF!</v>
      </c>
      <c r="E10" s="22" t="e">
        <f>+D10/C10</f>
        <v>#REF!</v>
      </c>
    </row>
    <row r="11" spans="1:5" ht="12.75">
      <c r="A11" s="12" t="s">
        <v>17</v>
      </c>
      <c r="B11" s="19">
        <v>5934</v>
      </c>
      <c r="C11" s="19">
        <v>2668500</v>
      </c>
      <c r="D11" s="42" t="e">
        <f>+D7</f>
        <v>#REF!</v>
      </c>
      <c r="E11" s="22" t="e">
        <f>+D11/C11</f>
        <v>#REF!</v>
      </c>
    </row>
    <row r="12" spans="1:5" ht="12.75">
      <c r="A12" s="12" t="s">
        <v>18</v>
      </c>
      <c r="B12" s="19">
        <v>1596</v>
      </c>
      <c r="C12" s="19">
        <v>4540321</v>
      </c>
      <c r="D12" s="42" t="e">
        <f>+D8</f>
        <v>#REF!</v>
      </c>
      <c r="E12" s="22" t="e">
        <f>+D12/C12</f>
        <v>#REF!</v>
      </c>
    </row>
    <row r="13" ht="12.75">
      <c r="A13" t="s">
        <v>111</v>
      </c>
    </row>
    <row r="14" spans="1:5" ht="12.75">
      <c r="A14" s="12" t="s">
        <v>16</v>
      </c>
      <c r="B14" s="19">
        <v>6286</v>
      </c>
      <c r="C14" s="19">
        <v>328559</v>
      </c>
      <c r="D14" s="42" t="e">
        <f>+D6</f>
        <v>#REF!</v>
      </c>
      <c r="E14" s="22" t="e">
        <f>+D14/C14</f>
        <v>#REF!</v>
      </c>
    </row>
    <row r="15" spans="1:5" ht="12.75">
      <c r="A15" s="12" t="s">
        <v>17</v>
      </c>
      <c r="B15" s="19">
        <v>2221</v>
      </c>
      <c r="C15" s="19">
        <v>4384566</v>
      </c>
      <c r="D15" s="42" t="e">
        <f>+D7</f>
        <v>#REF!</v>
      </c>
      <c r="E15" s="22" t="e">
        <f>+D15/C15</f>
        <v>#REF!</v>
      </c>
    </row>
    <row r="16" spans="1:5" ht="12.75">
      <c r="A16" s="12" t="s">
        <v>18</v>
      </c>
      <c r="B16">
        <v>118</v>
      </c>
      <c r="C16" s="19">
        <v>16277444</v>
      </c>
      <c r="D16" s="42" t="e">
        <f>+D8</f>
        <v>#REF!</v>
      </c>
      <c r="E16" s="22" t="e">
        <f>+D16/C16</f>
        <v>#REF!</v>
      </c>
    </row>
    <row r="18" ht="21.75" customHeight="1">
      <c r="A18" s="41" t="s">
        <v>112</v>
      </c>
    </row>
    <row r="19" spans="2:5" ht="52.5" customHeight="1">
      <c r="B19" s="43" t="s">
        <v>99</v>
      </c>
      <c r="C19" s="43" t="s">
        <v>100</v>
      </c>
      <c r="D19" s="43" t="s">
        <v>101</v>
      </c>
      <c r="E19" s="43" t="s">
        <v>102</v>
      </c>
    </row>
    <row r="20" spans="2:5" ht="12.75">
      <c r="B20" t="s">
        <v>103</v>
      </c>
      <c r="C20" t="s">
        <v>103</v>
      </c>
      <c r="D20" t="s">
        <v>113</v>
      </c>
      <c r="E20" s="20" t="s">
        <v>104</v>
      </c>
    </row>
    <row r="21" spans="2:5" ht="12.75">
      <c r="B21" s="20" t="s">
        <v>105</v>
      </c>
      <c r="C21" s="20" t="s">
        <v>106</v>
      </c>
      <c r="D21" s="20" t="s">
        <v>107</v>
      </c>
      <c r="E21" s="20" t="s">
        <v>108</v>
      </c>
    </row>
    <row r="22" ht="12.75">
      <c r="A22" t="s">
        <v>0</v>
      </c>
    </row>
    <row r="23" spans="1:5" ht="12.75">
      <c r="A23" s="12" t="s">
        <v>16</v>
      </c>
      <c r="B23" s="19">
        <v>32430</v>
      </c>
      <c r="C23" s="19">
        <v>93743</v>
      </c>
      <c r="D23" s="42" t="e">
        <f>+#REF!</f>
        <v>#REF!</v>
      </c>
      <c r="E23" s="22" t="e">
        <f>+D23/C23</f>
        <v>#REF!</v>
      </c>
    </row>
    <row r="24" spans="1:5" ht="12.75">
      <c r="A24" s="12" t="s">
        <v>17</v>
      </c>
      <c r="B24" s="19">
        <v>14043</v>
      </c>
      <c r="C24" s="19">
        <v>1302218</v>
      </c>
      <c r="D24" s="42" t="e">
        <f>+#REF!</f>
        <v>#REF!</v>
      </c>
      <c r="E24" s="22" t="e">
        <f>+D24/C24</f>
        <v>#REF!</v>
      </c>
    </row>
    <row r="25" spans="1:5" ht="12.75">
      <c r="A25" s="12" t="s">
        <v>18</v>
      </c>
      <c r="B25" s="19">
        <v>4303</v>
      </c>
      <c r="C25" s="19">
        <v>6727603</v>
      </c>
      <c r="D25" s="42" t="e">
        <f>+#REF!</f>
        <v>#REF!</v>
      </c>
      <c r="E25" s="22" t="e">
        <f>+D25/C25</f>
        <v>#REF!</v>
      </c>
    </row>
    <row r="26" ht="12.75">
      <c r="A26" t="s">
        <v>2</v>
      </c>
    </row>
    <row r="27" spans="1:5" ht="12.75">
      <c r="A27" s="12" t="s">
        <v>16</v>
      </c>
      <c r="B27" s="19">
        <v>17294</v>
      </c>
      <c r="C27" s="19">
        <v>2104611</v>
      </c>
      <c r="D27" s="42" t="e">
        <f>+#REF!</f>
        <v>#REF!</v>
      </c>
      <c r="E27" s="22" t="e">
        <f>+D27/C27</f>
        <v>#REF!</v>
      </c>
    </row>
    <row r="28" spans="1:5" ht="12.75">
      <c r="A28" s="12" t="s">
        <v>17</v>
      </c>
      <c r="B28" s="19">
        <v>2856</v>
      </c>
      <c r="C28" s="19">
        <v>8027782</v>
      </c>
      <c r="D28" s="42" t="e">
        <f>+#REF!</f>
        <v>#REF!</v>
      </c>
      <c r="E28" s="22" t="e">
        <f>+D28/C28</f>
        <v>#REF!</v>
      </c>
    </row>
    <row r="29" spans="1:5" ht="12.75">
      <c r="A29" s="12" t="s">
        <v>18</v>
      </c>
      <c r="B29">
        <v>85</v>
      </c>
      <c r="C29" s="19">
        <v>8903617</v>
      </c>
      <c r="D29" s="42" t="e">
        <f>+#REF!</f>
        <v>#REF!</v>
      </c>
      <c r="E29" s="22" t="e">
        <f>+D29/C29</f>
        <v>#REF!</v>
      </c>
    </row>
    <row r="30" spans="1:4" ht="12.75">
      <c r="A30" t="s">
        <v>48</v>
      </c>
      <c r="D30" s="42"/>
    </row>
    <row r="31" spans="1:5" ht="12.75">
      <c r="A31" s="12" t="s">
        <v>16</v>
      </c>
      <c r="B31" s="19">
        <v>92784</v>
      </c>
      <c r="C31" s="19">
        <v>182500</v>
      </c>
      <c r="D31" s="42" t="e">
        <f>+#REF!</f>
        <v>#REF!</v>
      </c>
      <c r="E31" s="22" t="e">
        <f>+D31/C31</f>
        <v>#REF!</v>
      </c>
    </row>
    <row r="32" spans="1:5" ht="12.75">
      <c r="A32" s="12" t="s">
        <v>17</v>
      </c>
      <c r="B32" s="19">
        <v>2690</v>
      </c>
      <c r="C32" s="19">
        <v>182500</v>
      </c>
      <c r="D32" s="42" t="e">
        <f>+#REF!</f>
        <v>#REF!</v>
      </c>
      <c r="E32" s="22" t="e">
        <f>+D32/C32</f>
        <v>#REF!</v>
      </c>
    </row>
    <row r="33" spans="1:5" ht="12.75">
      <c r="A33" s="12" t="s">
        <v>18</v>
      </c>
      <c r="B33">
        <v>178</v>
      </c>
      <c r="C33" s="19">
        <v>182500</v>
      </c>
      <c r="D33" s="42" t="e">
        <f>+#REF!</f>
        <v>#REF!</v>
      </c>
      <c r="E33" s="22" t="e">
        <f>+D33/C33</f>
        <v>#REF!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2"/>
  <sheetViews>
    <sheetView view="pageBreakPreview" zoomScale="60" workbookViewId="0" topLeftCell="A1">
      <selection activeCell="I20" sqref="I20"/>
    </sheetView>
  </sheetViews>
  <sheetFormatPr defaultColWidth="9.140625" defaultRowHeight="12.75"/>
  <cols>
    <col min="2" max="2" width="11.7109375" style="0" customWidth="1"/>
    <col min="3" max="3" width="14.7109375" style="0" customWidth="1"/>
    <col min="4" max="4" width="13.7109375" style="0" customWidth="1"/>
    <col min="5" max="5" width="19.8515625" style="0" customWidth="1"/>
  </cols>
  <sheetData>
    <row r="1" spans="2:5" ht="24" customHeight="1">
      <c r="B1" s="556" t="s">
        <v>298</v>
      </c>
      <c r="C1" s="556"/>
      <c r="D1" s="556"/>
      <c r="E1" s="556"/>
    </row>
    <row r="2" spans="2:5" ht="27" customHeight="1">
      <c r="B2" s="560" t="s">
        <v>125</v>
      </c>
      <c r="C2" s="560"/>
      <c r="D2" s="560"/>
      <c r="E2" s="561"/>
    </row>
    <row r="3" spans="2:5" ht="32.25" customHeight="1" thickBot="1">
      <c r="B3" s="510" t="s">
        <v>116</v>
      </c>
      <c r="C3" s="510" t="s">
        <v>117</v>
      </c>
      <c r="D3" s="510" t="s">
        <v>121</v>
      </c>
      <c r="E3" s="510" t="s">
        <v>263</v>
      </c>
    </row>
    <row r="4" spans="2:5" ht="19.5" customHeight="1">
      <c r="B4" s="557" t="s">
        <v>0</v>
      </c>
      <c r="C4" s="508" t="s">
        <v>118</v>
      </c>
      <c r="D4" s="509">
        <f>'[1]CWSs'!C33+'[1]CWSs'!D33+'[1]CWSs'!E33</f>
        <v>31688</v>
      </c>
      <c r="E4" s="509">
        <v>86</v>
      </c>
    </row>
    <row r="5" spans="2:5" ht="19.5" customHeight="1">
      <c r="B5" s="558"/>
      <c r="C5" s="46" t="s">
        <v>119</v>
      </c>
      <c r="D5" s="49">
        <f>'[1]CWSs'!F33+'[1]CWSs'!G33</f>
        <v>14149</v>
      </c>
      <c r="E5" s="49">
        <v>505</v>
      </c>
    </row>
    <row r="6" spans="2:5" ht="19.5" customHeight="1">
      <c r="B6" s="558"/>
      <c r="C6" s="46" t="s">
        <v>122</v>
      </c>
      <c r="D6" s="49">
        <f>'[1]CWSs'!H33</f>
        <v>4458</v>
      </c>
      <c r="E6" s="49">
        <v>1958</v>
      </c>
    </row>
    <row r="7" spans="2:5" ht="19.5" customHeight="1">
      <c r="B7" s="558"/>
      <c r="C7" s="46" t="s">
        <v>123</v>
      </c>
      <c r="D7" s="49">
        <f>'[1]CWSs'!I33+'[1]CWSs'!J33</f>
        <v>3416</v>
      </c>
      <c r="E7" s="49">
        <v>8619</v>
      </c>
    </row>
    <row r="8" spans="2:5" ht="19.5" customHeight="1">
      <c r="B8" s="558"/>
      <c r="C8" s="46" t="s">
        <v>120</v>
      </c>
      <c r="D8" s="49">
        <f>'[1]CWSs'!K33+'[1]CWSs'!L33</f>
        <v>353</v>
      </c>
      <c r="E8" s="49">
        <v>110258</v>
      </c>
    </row>
    <row r="9" spans="2:5" ht="19.5" customHeight="1" thickBot="1">
      <c r="B9" s="559" t="s">
        <v>60</v>
      </c>
      <c r="C9" s="559"/>
      <c r="D9" s="512">
        <f>SUM(D4:D8)</f>
        <v>54064</v>
      </c>
      <c r="E9" s="512">
        <v>1608</v>
      </c>
    </row>
    <row r="10" spans="2:5" ht="19.5" customHeight="1">
      <c r="B10" s="557" t="s">
        <v>2</v>
      </c>
      <c r="C10" s="511" t="s">
        <v>118</v>
      </c>
      <c r="D10" s="509">
        <f>'[1]NTNCWSs'!C33+'[1]NTNCWSs'!D33+'[1]NTNCWSs'!E33</f>
        <v>17598</v>
      </c>
      <c r="E10" s="509">
        <v>7</v>
      </c>
    </row>
    <row r="11" spans="2:5" ht="19.5" customHeight="1">
      <c r="B11" s="558"/>
      <c r="C11" s="46" t="s">
        <v>119</v>
      </c>
      <c r="D11" s="49">
        <f>'[1]NTNCWSs'!F33+'[1]NTNCWSs'!G33</f>
        <v>2839</v>
      </c>
      <c r="E11" s="49">
        <v>31</v>
      </c>
    </row>
    <row r="12" spans="2:5" ht="19.5" customHeight="1">
      <c r="B12" s="558"/>
      <c r="C12" s="46" t="s">
        <v>122</v>
      </c>
      <c r="D12" s="49">
        <f>'[1]NTNCWSs'!H33</f>
        <v>96</v>
      </c>
      <c r="E12" s="49">
        <v>147</v>
      </c>
    </row>
    <row r="13" spans="2:5" ht="19.5" customHeight="1">
      <c r="B13" s="558"/>
      <c r="C13" s="46" t="s">
        <v>123</v>
      </c>
      <c r="D13" s="49">
        <f>'[1]NTNCWSs'!I33+'[1]NTNCWSs'!J33</f>
        <v>23</v>
      </c>
      <c r="E13" s="49">
        <v>152</v>
      </c>
    </row>
    <row r="14" spans="2:5" ht="19.5" customHeight="1">
      <c r="B14" s="558"/>
      <c r="C14" s="46" t="s">
        <v>120</v>
      </c>
      <c r="D14" s="49">
        <f>'[1]NTNCWSs'!K33+'[1]NTNCWSs'!L33</f>
        <v>3</v>
      </c>
      <c r="E14" s="49">
        <v>32</v>
      </c>
    </row>
    <row r="15" spans="2:5" ht="19.5" customHeight="1" thickBot="1">
      <c r="B15" s="559" t="s">
        <v>60</v>
      </c>
      <c r="C15" s="559"/>
      <c r="D15" s="512">
        <f>SUM(D10:D14)</f>
        <v>20559</v>
      </c>
      <c r="E15" s="512">
        <v>11</v>
      </c>
    </row>
    <row r="16" spans="2:5" ht="19.5" customHeight="1">
      <c r="B16" s="562" t="s">
        <v>124</v>
      </c>
      <c r="C16" s="46" t="s">
        <v>118</v>
      </c>
      <c r="D16" s="49">
        <f>'[1]TNCWSs'!C33+'[1]TNCWSs'!D33+'[1]TNCWSs'!E33</f>
        <v>90391</v>
      </c>
      <c r="E16" s="49">
        <v>7</v>
      </c>
    </row>
    <row r="17" spans="2:5" ht="19.5" customHeight="1">
      <c r="B17" s="563"/>
      <c r="C17" s="46" t="s">
        <v>119</v>
      </c>
      <c r="D17" s="49">
        <f>'[1]TNCWSs'!F33+'[1]TNCWSs'!G33</f>
        <v>2632</v>
      </c>
      <c r="E17" s="49">
        <v>32</v>
      </c>
    </row>
    <row r="18" spans="2:5" ht="19.5" customHeight="1">
      <c r="B18" s="563"/>
      <c r="C18" s="46" t="s">
        <v>122</v>
      </c>
      <c r="D18" s="49">
        <f>'[1]TNCWSs'!H33</f>
        <v>130</v>
      </c>
      <c r="E18" s="49">
        <v>38</v>
      </c>
    </row>
    <row r="19" spans="2:5" ht="19.5" customHeight="1">
      <c r="B19" s="563"/>
      <c r="C19" s="46" t="s">
        <v>123</v>
      </c>
      <c r="D19" s="49">
        <f>'[1]TNCWSs'!I33+'[1]TNCWSs'!J33</f>
        <v>54</v>
      </c>
      <c r="E19" s="49">
        <v>7</v>
      </c>
    </row>
    <row r="20" spans="2:5" ht="19.5" customHeight="1">
      <c r="B20" s="557"/>
      <c r="C20" s="46" t="s">
        <v>120</v>
      </c>
      <c r="D20" s="49">
        <f>'[1]TNCWSs'!K33+'[1]TNCWSs'!L33</f>
        <v>3</v>
      </c>
      <c r="E20" s="49">
        <v>59</v>
      </c>
    </row>
    <row r="21" spans="2:5" ht="19.5" customHeight="1" thickBot="1">
      <c r="B21" s="559" t="s">
        <v>60</v>
      </c>
      <c r="C21" s="559"/>
      <c r="D21" s="512">
        <f>SUM(D16:D20)</f>
        <v>93210</v>
      </c>
      <c r="E21" s="512">
        <v>8</v>
      </c>
    </row>
    <row r="22" spans="2:4" ht="13.5" customHeight="1">
      <c r="B22" s="564" t="s">
        <v>126</v>
      </c>
      <c r="C22" s="564"/>
      <c r="D22" s="564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mergeCells count="9">
    <mergeCell ref="B16:B20"/>
    <mergeCell ref="B21:C21"/>
    <mergeCell ref="B22:D22"/>
    <mergeCell ref="B9:C9"/>
    <mergeCell ref="B1:E1"/>
    <mergeCell ref="B4:B8"/>
    <mergeCell ref="B10:B14"/>
    <mergeCell ref="B15:C15"/>
    <mergeCell ref="B2:E2"/>
  </mergeCells>
  <printOptions horizontalCentered="1" verticalCentered="1"/>
  <pageMargins left="0.5" right="0.75" top="0.7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75" zoomScaleNormal="75" workbookViewId="0" topLeftCell="A19">
      <selection activeCell="F36" sqref="F36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6.00390625" style="0" bestFit="1" customWidth="1"/>
    <col min="5" max="5" width="8.57421875" style="0" bestFit="1" customWidth="1"/>
    <col min="6" max="6" width="15.00390625" style="0" bestFit="1" customWidth="1"/>
    <col min="7" max="7" width="6.140625" style="0" bestFit="1" customWidth="1"/>
    <col min="8" max="8" width="14.140625" style="0" bestFit="1" customWidth="1"/>
    <col min="9" max="9" width="5.7109375" style="0" bestFit="1" customWidth="1"/>
    <col min="10" max="10" width="4.7109375" style="0" bestFit="1" customWidth="1"/>
    <col min="11" max="11" width="12.57421875" style="0" bestFit="1" customWidth="1"/>
    <col min="12" max="12" width="7.8515625" style="0" bestFit="1" customWidth="1"/>
    <col min="13" max="13" width="11.421875" style="0" bestFit="1" customWidth="1"/>
    <col min="14" max="14" width="13.7109375" style="0" customWidth="1"/>
    <col min="15" max="15" width="12.28125" style="0" bestFit="1" customWidth="1"/>
  </cols>
  <sheetData>
    <row r="1" spans="1:18" ht="21.75" customHeight="1">
      <c r="A1" s="25"/>
      <c r="B1" s="556" t="s">
        <v>296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25"/>
      <c r="P1" s="25"/>
      <c r="Q1" s="25"/>
      <c r="R1" s="25"/>
    </row>
    <row r="2" spans="1:18" ht="27" customHeight="1">
      <c r="A2" s="25"/>
      <c r="B2" s="570" t="s">
        <v>150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25"/>
      <c r="P2" s="25"/>
      <c r="Q2" s="25"/>
      <c r="R2" s="25"/>
    </row>
    <row r="3" spans="1:18" ht="39.75" customHeight="1" thickBot="1">
      <c r="A3" s="25"/>
      <c r="B3" s="77" t="s">
        <v>116</v>
      </c>
      <c r="C3" s="77" t="s">
        <v>117</v>
      </c>
      <c r="D3" s="78" t="s">
        <v>163</v>
      </c>
      <c r="E3" s="78" t="s">
        <v>160</v>
      </c>
      <c r="F3" s="77" t="s">
        <v>161</v>
      </c>
      <c r="G3" s="78" t="s">
        <v>162</v>
      </c>
      <c r="H3" s="78" t="s">
        <v>153</v>
      </c>
      <c r="I3" s="78" t="s">
        <v>164</v>
      </c>
      <c r="J3" s="78" t="s">
        <v>165</v>
      </c>
      <c r="K3" s="78" t="s">
        <v>166</v>
      </c>
      <c r="L3" s="78" t="s">
        <v>167</v>
      </c>
      <c r="M3" s="77" t="s">
        <v>154</v>
      </c>
      <c r="N3" s="77" t="s">
        <v>155</v>
      </c>
      <c r="O3" s="77" t="s">
        <v>326</v>
      </c>
      <c r="P3" s="25"/>
      <c r="Q3" s="25"/>
      <c r="R3" s="25"/>
    </row>
    <row r="4" spans="1:18" ht="19.5" customHeight="1">
      <c r="A4" s="25"/>
      <c r="B4" s="571" t="s">
        <v>0</v>
      </c>
      <c r="C4" s="74" t="s">
        <v>118</v>
      </c>
      <c r="D4" s="75">
        <v>2508</v>
      </c>
      <c r="E4" s="75">
        <v>390</v>
      </c>
      <c r="F4" s="76">
        <f>D4*0.01</f>
        <v>25.080000000000002</v>
      </c>
      <c r="G4" s="75">
        <v>235</v>
      </c>
      <c r="H4" s="75">
        <f>G4*0.1</f>
        <v>23.5</v>
      </c>
      <c r="I4" s="75">
        <v>1</v>
      </c>
      <c r="J4" s="75">
        <v>30</v>
      </c>
      <c r="K4" s="75">
        <f>(G4+I4+J4)*0.05</f>
        <v>13.3</v>
      </c>
      <c r="L4" s="75">
        <f>'Existing Tier 2'!I5*0.05</f>
        <v>27.5</v>
      </c>
      <c r="M4" s="74">
        <v>4.25</v>
      </c>
      <c r="N4" s="76">
        <f>SUM(E4:M4)</f>
        <v>749.6299999999999</v>
      </c>
      <c r="O4" s="555">
        <v>395</v>
      </c>
      <c r="P4" s="25"/>
      <c r="Q4" s="25"/>
      <c r="R4" s="25"/>
    </row>
    <row r="5" spans="1:18" ht="19.5" customHeight="1">
      <c r="A5" s="25"/>
      <c r="B5" s="572"/>
      <c r="C5" s="45" t="s">
        <v>119</v>
      </c>
      <c r="D5" s="73">
        <v>807</v>
      </c>
      <c r="E5" s="73">
        <v>106</v>
      </c>
      <c r="F5" s="26">
        <f aca="true" t="shared" si="0" ref="F5:F20">D5*0.01</f>
        <v>8.07</v>
      </c>
      <c r="G5" s="73">
        <v>130</v>
      </c>
      <c r="H5" s="75">
        <f aca="true" t="shared" si="1" ref="H5:H20">G5*0.1</f>
        <v>13</v>
      </c>
      <c r="I5" s="73">
        <v>1</v>
      </c>
      <c r="J5" s="73">
        <v>8</v>
      </c>
      <c r="K5" s="75">
        <f aca="true" t="shared" si="2" ref="K5:K20">(G5+I5+J5)*0.05</f>
        <v>6.95</v>
      </c>
      <c r="L5" s="75">
        <f>'Existing Tier 2'!I6*0.05</f>
        <v>21</v>
      </c>
      <c r="M5" s="45">
        <v>0.5</v>
      </c>
      <c r="N5" s="76">
        <f aca="true" t="shared" si="3" ref="N5:N20">SUM(E5:M5)</f>
        <v>294.52</v>
      </c>
      <c r="O5" s="554">
        <v>128</v>
      </c>
      <c r="P5" s="25"/>
      <c r="Q5" s="25"/>
      <c r="R5" s="25"/>
    </row>
    <row r="6" spans="1:18" ht="19.5" customHeight="1">
      <c r="A6" s="25"/>
      <c r="B6" s="572"/>
      <c r="C6" s="45" t="s">
        <v>130</v>
      </c>
      <c r="D6" s="73">
        <v>268</v>
      </c>
      <c r="E6" s="73">
        <v>20</v>
      </c>
      <c r="F6" s="26">
        <f t="shared" si="0"/>
        <v>2.68</v>
      </c>
      <c r="G6" s="73">
        <v>12</v>
      </c>
      <c r="H6" s="75">
        <f t="shared" si="1"/>
        <v>1.2000000000000002</v>
      </c>
      <c r="I6" s="73">
        <v>0</v>
      </c>
      <c r="J6" s="73">
        <v>1</v>
      </c>
      <c r="K6" s="75">
        <f t="shared" si="2"/>
        <v>0.65</v>
      </c>
      <c r="L6" s="75">
        <f>'Existing Tier 2'!I7*0.05</f>
        <v>6.65</v>
      </c>
      <c r="M6" s="45">
        <v>0.13</v>
      </c>
      <c r="N6" s="76">
        <f t="shared" si="3"/>
        <v>44.31</v>
      </c>
      <c r="O6" s="554">
        <v>23</v>
      </c>
      <c r="P6" s="25"/>
      <c r="Q6" s="25"/>
      <c r="R6" s="25"/>
    </row>
    <row r="7" spans="1:18" ht="19.5" customHeight="1">
      <c r="A7" s="25"/>
      <c r="B7" s="572"/>
      <c r="C7" s="45" t="s">
        <v>131</v>
      </c>
      <c r="D7" s="73">
        <v>189</v>
      </c>
      <c r="E7" s="73">
        <v>8</v>
      </c>
      <c r="F7" s="26">
        <f t="shared" si="0"/>
        <v>1.8900000000000001</v>
      </c>
      <c r="G7" s="73">
        <v>8</v>
      </c>
      <c r="H7" s="75">
        <f t="shared" si="1"/>
        <v>0.8</v>
      </c>
      <c r="I7" s="73">
        <v>0</v>
      </c>
      <c r="J7" s="73">
        <v>0</v>
      </c>
      <c r="K7" s="75">
        <f t="shared" si="2"/>
        <v>0.4</v>
      </c>
      <c r="L7" s="75">
        <f>'Existing Tier 2'!I8*0.05</f>
        <v>7.300000000000001</v>
      </c>
      <c r="M7" s="45">
        <v>0.25</v>
      </c>
      <c r="N7" s="76">
        <f t="shared" si="3"/>
        <v>26.64</v>
      </c>
      <c r="O7" s="554">
        <v>12</v>
      </c>
      <c r="P7" s="25"/>
      <c r="Q7" s="25"/>
      <c r="R7" s="25"/>
    </row>
    <row r="8" spans="1:18" ht="19.5" customHeight="1">
      <c r="A8" s="25"/>
      <c r="B8" s="572"/>
      <c r="C8" s="45" t="s">
        <v>132</v>
      </c>
      <c r="D8" s="73">
        <v>11</v>
      </c>
      <c r="E8" s="73">
        <v>5</v>
      </c>
      <c r="F8" s="26">
        <f t="shared" si="0"/>
        <v>0.11</v>
      </c>
      <c r="G8" s="73">
        <v>1</v>
      </c>
      <c r="H8" s="75">
        <f t="shared" si="1"/>
        <v>0.1</v>
      </c>
      <c r="I8" s="73">
        <v>0</v>
      </c>
      <c r="J8" s="73">
        <v>0</v>
      </c>
      <c r="K8" s="75">
        <f t="shared" si="2"/>
        <v>0.05</v>
      </c>
      <c r="L8" s="75">
        <f>'Existing Tier 2'!I9*0.05</f>
        <v>1.35</v>
      </c>
      <c r="M8" s="45">
        <v>0.13</v>
      </c>
      <c r="N8" s="76">
        <f t="shared" si="3"/>
        <v>7.739999999999999</v>
      </c>
      <c r="O8" s="554">
        <v>6</v>
      </c>
      <c r="P8" s="25"/>
      <c r="Q8" s="25"/>
      <c r="R8" s="25"/>
    </row>
    <row r="9" spans="1:18" ht="19.5" customHeight="1" thickBot="1">
      <c r="A9" s="25"/>
      <c r="B9" s="569" t="s">
        <v>127</v>
      </c>
      <c r="C9" s="569"/>
      <c r="D9" s="85">
        <f aca="true" t="shared" si="4" ref="D9:O9">SUM(D4:D8)</f>
        <v>3783</v>
      </c>
      <c r="E9" s="85">
        <f t="shared" si="4"/>
        <v>529</v>
      </c>
      <c r="F9" s="85">
        <f t="shared" si="4"/>
        <v>37.830000000000005</v>
      </c>
      <c r="G9" s="85">
        <f t="shared" si="4"/>
        <v>386</v>
      </c>
      <c r="H9" s="85">
        <f t="shared" si="4"/>
        <v>38.6</v>
      </c>
      <c r="I9" s="85">
        <f t="shared" si="4"/>
        <v>2</v>
      </c>
      <c r="J9" s="85">
        <f t="shared" si="4"/>
        <v>39</v>
      </c>
      <c r="K9" s="85">
        <f t="shared" si="4"/>
        <v>21.349999999999998</v>
      </c>
      <c r="L9" s="85">
        <f t="shared" si="4"/>
        <v>63.800000000000004</v>
      </c>
      <c r="M9" s="86">
        <f t="shared" si="4"/>
        <v>5.26</v>
      </c>
      <c r="N9" s="85">
        <f t="shared" si="4"/>
        <v>1122.84</v>
      </c>
      <c r="O9" s="85">
        <f t="shared" si="4"/>
        <v>564</v>
      </c>
      <c r="P9" s="25"/>
      <c r="Q9" s="25"/>
      <c r="R9" s="25"/>
    </row>
    <row r="10" spans="1:18" ht="19.5" customHeight="1">
      <c r="A10" s="25"/>
      <c r="B10" s="571" t="s">
        <v>2</v>
      </c>
      <c r="C10" s="74" t="s">
        <v>118</v>
      </c>
      <c r="D10" s="75">
        <v>976</v>
      </c>
      <c r="E10" s="75">
        <v>123</v>
      </c>
      <c r="F10" s="76">
        <f t="shared" si="0"/>
        <v>9.76</v>
      </c>
      <c r="G10" s="75">
        <v>55</v>
      </c>
      <c r="H10" s="75">
        <f t="shared" si="1"/>
        <v>5.5</v>
      </c>
      <c r="I10" s="75">
        <v>0</v>
      </c>
      <c r="J10" s="75">
        <v>9</v>
      </c>
      <c r="K10" s="75">
        <f t="shared" si="2"/>
        <v>3.2</v>
      </c>
      <c r="L10" s="75">
        <f>'Existing Tier 2'!I11*0.05</f>
        <v>5.800000000000001</v>
      </c>
      <c r="M10" s="74">
        <v>0.13</v>
      </c>
      <c r="N10" s="76">
        <f t="shared" si="3"/>
        <v>211.39</v>
      </c>
      <c r="O10" s="555">
        <v>136</v>
      </c>
      <c r="P10" s="25"/>
      <c r="Q10" s="25"/>
      <c r="R10" s="25"/>
    </row>
    <row r="11" spans="1:18" ht="19.5" customHeight="1">
      <c r="A11" s="25"/>
      <c r="B11" s="572"/>
      <c r="C11" s="45" t="s">
        <v>119</v>
      </c>
      <c r="D11" s="73">
        <v>133</v>
      </c>
      <c r="E11" s="73">
        <v>23</v>
      </c>
      <c r="F11" s="26">
        <f t="shared" si="0"/>
        <v>1.33</v>
      </c>
      <c r="G11" s="73">
        <v>9</v>
      </c>
      <c r="H11" s="75">
        <f t="shared" si="1"/>
        <v>0.9</v>
      </c>
      <c r="I11" s="73">
        <v>0</v>
      </c>
      <c r="J11" s="73">
        <v>2</v>
      </c>
      <c r="K11" s="75">
        <f t="shared" si="2"/>
        <v>0.55</v>
      </c>
      <c r="L11" s="75">
        <f>'Existing Tier 2'!I12*0.05</f>
        <v>0.15000000000000002</v>
      </c>
      <c r="M11" s="45">
        <v>0.13</v>
      </c>
      <c r="N11" s="76">
        <f t="shared" si="3"/>
        <v>37.059999999999995</v>
      </c>
      <c r="O11" s="554">
        <v>20</v>
      </c>
      <c r="P11" s="25"/>
      <c r="Q11" s="25"/>
      <c r="R11" s="25"/>
    </row>
    <row r="12" spans="1:18" ht="19.5" customHeight="1">
      <c r="A12" s="25"/>
      <c r="B12" s="572"/>
      <c r="C12" s="45" t="s">
        <v>130</v>
      </c>
      <c r="D12" s="73">
        <v>7</v>
      </c>
      <c r="E12" s="73">
        <v>2</v>
      </c>
      <c r="F12" s="26">
        <f t="shared" si="0"/>
        <v>0.07</v>
      </c>
      <c r="G12" s="73">
        <v>0</v>
      </c>
      <c r="H12" s="75">
        <f t="shared" si="1"/>
        <v>0</v>
      </c>
      <c r="I12" s="73">
        <v>0</v>
      </c>
      <c r="J12" s="73">
        <v>0</v>
      </c>
      <c r="K12" s="75">
        <f t="shared" si="2"/>
        <v>0</v>
      </c>
      <c r="L12" s="75">
        <f>'Existing Tier 2'!I13*0.05</f>
        <v>0</v>
      </c>
      <c r="M12" s="45">
        <v>0</v>
      </c>
      <c r="N12" s="76">
        <f t="shared" si="3"/>
        <v>2.07</v>
      </c>
      <c r="O12" s="554">
        <v>1</v>
      </c>
      <c r="P12" s="25"/>
      <c r="Q12" s="25"/>
      <c r="R12" s="25"/>
    </row>
    <row r="13" spans="1:18" ht="19.5" customHeight="1">
      <c r="A13" s="25"/>
      <c r="B13" s="572"/>
      <c r="C13" s="45" t="s">
        <v>131</v>
      </c>
      <c r="D13" s="73">
        <v>2</v>
      </c>
      <c r="E13" s="73">
        <v>0</v>
      </c>
      <c r="F13" s="26">
        <f t="shared" si="0"/>
        <v>0.02</v>
      </c>
      <c r="G13" s="73">
        <v>0</v>
      </c>
      <c r="H13" s="75">
        <f t="shared" si="1"/>
        <v>0</v>
      </c>
      <c r="I13" s="73">
        <v>0</v>
      </c>
      <c r="J13" s="73">
        <v>0</v>
      </c>
      <c r="K13" s="75">
        <f t="shared" si="2"/>
        <v>0</v>
      </c>
      <c r="L13" s="75">
        <f>'Existing Tier 2'!I14*0.05</f>
        <v>0</v>
      </c>
      <c r="M13" s="45">
        <v>0</v>
      </c>
      <c r="N13" s="76">
        <f t="shared" si="3"/>
        <v>0.02</v>
      </c>
      <c r="O13" s="554">
        <v>0</v>
      </c>
      <c r="P13" s="25"/>
      <c r="Q13" s="25"/>
      <c r="R13" s="25"/>
    </row>
    <row r="14" spans="1:18" ht="19.5" customHeight="1">
      <c r="A14" s="25"/>
      <c r="B14" s="572"/>
      <c r="C14" s="45" t="s">
        <v>132</v>
      </c>
      <c r="D14" s="73">
        <v>0</v>
      </c>
      <c r="E14" s="73">
        <v>0</v>
      </c>
      <c r="F14" s="26">
        <f t="shared" si="0"/>
        <v>0</v>
      </c>
      <c r="G14" s="73">
        <v>0</v>
      </c>
      <c r="H14" s="75">
        <f t="shared" si="1"/>
        <v>0</v>
      </c>
      <c r="I14" s="73">
        <v>0</v>
      </c>
      <c r="J14" s="73">
        <v>0</v>
      </c>
      <c r="K14" s="75">
        <f t="shared" si="2"/>
        <v>0</v>
      </c>
      <c r="L14" s="75">
        <f>'Existing Tier 2'!I15*0.05</f>
        <v>0</v>
      </c>
      <c r="M14" s="45">
        <v>0</v>
      </c>
      <c r="N14" s="76">
        <f t="shared" si="3"/>
        <v>0</v>
      </c>
      <c r="O14" s="554">
        <v>0</v>
      </c>
      <c r="P14" s="25"/>
      <c r="Q14" s="25"/>
      <c r="R14" s="25"/>
    </row>
    <row r="15" spans="1:18" ht="19.5" customHeight="1" thickBot="1">
      <c r="A15" s="25"/>
      <c r="B15" s="569" t="s">
        <v>127</v>
      </c>
      <c r="C15" s="569"/>
      <c r="D15" s="85">
        <f aca="true" t="shared" si="5" ref="D15:O15">SUM(D10:D14)</f>
        <v>1118</v>
      </c>
      <c r="E15" s="85">
        <f t="shared" si="5"/>
        <v>148</v>
      </c>
      <c r="F15" s="85">
        <f t="shared" si="5"/>
        <v>11.18</v>
      </c>
      <c r="G15" s="85">
        <f t="shared" si="5"/>
        <v>64</v>
      </c>
      <c r="H15" s="85">
        <f t="shared" si="5"/>
        <v>6.4</v>
      </c>
      <c r="I15" s="85">
        <f t="shared" si="5"/>
        <v>0</v>
      </c>
      <c r="J15" s="85">
        <f t="shared" si="5"/>
        <v>11</v>
      </c>
      <c r="K15" s="85">
        <f t="shared" si="5"/>
        <v>3.75</v>
      </c>
      <c r="L15" s="85">
        <f t="shared" si="5"/>
        <v>5.950000000000001</v>
      </c>
      <c r="M15" s="86">
        <f t="shared" si="5"/>
        <v>0.26</v>
      </c>
      <c r="N15" s="85">
        <f t="shared" si="5"/>
        <v>250.54</v>
      </c>
      <c r="O15" s="85">
        <f t="shared" si="5"/>
        <v>157</v>
      </c>
      <c r="P15" s="25"/>
      <c r="Q15" s="25"/>
      <c r="R15" s="25"/>
    </row>
    <row r="16" spans="1:18" ht="19.5" customHeight="1">
      <c r="A16" s="25"/>
      <c r="B16" s="571" t="s">
        <v>124</v>
      </c>
      <c r="C16" s="74" t="s">
        <v>118</v>
      </c>
      <c r="D16" s="75">
        <v>3961</v>
      </c>
      <c r="E16" s="75">
        <v>358</v>
      </c>
      <c r="F16" s="76">
        <f t="shared" si="0"/>
        <v>39.61</v>
      </c>
      <c r="G16" s="75">
        <v>213</v>
      </c>
      <c r="H16" s="75">
        <f t="shared" si="1"/>
        <v>21.3</v>
      </c>
      <c r="I16" s="75">
        <v>3</v>
      </c>
      <c r="J16" s="75">
        <v>78</v>
      </c>
      <c r="K16" s="75">
        <f t="shared" si="2"/>
        <v>14.700000000000001</v>
      </c>
      <c r="L16" s="75">
        <f>'Existing Tier 2'!I17*0.05</f>
        <v>8.9</v>
      </c>
      <c r="M16" s="74">
        <v>5.38</v>
      </c>
      <c r="N16" s="76">
        <f t="shared" si="3"/>
        <v>741.89</v>
      </c>
      <c r="O16" s="555">
        <v>560</v>
      </c>
      <c r="P16" s="25"/>
      <c r="Q16" s="25"/>
      <c r="R16" s="25"/>
    </row>
    <row r="17" spans="1:18" ht="19.5" customHeight="1">
      <c r="A17" s="25"/>
      <c r="B17" s="572"/>
      <c r="C17" s="45" t="s">
        <v>119</v>
      </c>
      <c r="D17" s="73">
        <v>112</v>
      </c>
      <c r="E17" s="73">
        <v>9</v>
      </c>
      <c r="F17" s="26">
        <f t="shared" si="0"/>
        <v>1.12</v>
      </c>
      <c r="G17" s="73">
        <v>5</v>
      </c>
      <c r="H17" s="75">
        <f t="shared" si="1"/>
        <v>0.5</v>
      </c>
      <c r="I17" s="73">
        <v>0</v>
      </c>
      <c r="J17" s="73">
        <v>2</v>
      </c>
      <c r="K17" s="75">
        <f t="shared" si="2"/>
        <v>0.35000000000000003</v>
      </c>
      <c r="L17" s="75">
        <f>'Existing Tier 2'!I18*0.05</f>
        <v>0.2</v>
      </c>
      <c r="M17" s="45">
        <v>0</v>
      </c>
      <c r="N17" s="76">
        <f t="shared" si="3"/>
        <v>18.17</v>
      </c>
      <c r="O17" s="554">
        <v>13</v>
      </c>
      <c r="P17" s="25"/>
      <c r="Q17" s="25"/>
      <c r="R17" s="25"/>
    </row>
    <row r="18" spans="1:18" ht="19.5" customHeight="1">
      <c r="A18" s="25"/>
      <c r="B18" s="572"/>
      <c r="C18" s="45" t="s">
        <v>130</v>
      </c>
      <c r="D18" s="73">
        <v>8</v>
      </c>
      <c r="E18" s="73">
        <v>2</v>
      </c>
      <c r="F18" s="26">
        <f t="shared" si="0"/>
        <v>0.08</v>
      </c>
      <c r="G18" s="73">
        <v>0</v>
      </c>
      <c r="H18" s="75">
        <f t="shared" si="1"/>
        <v>0</v>
      </c>
      <c r="I18" s="73">
        <v>0</v>
      </c>
      <c r="J18" s="73">
        <v>0</v>
      </c>
      <c r="K18" s="75">
        <f t="shared" si="2"/>
        <v>0</v>
      </c>
      <c r="L18" s="75">
        <f>'Existing Tier 2'!I19*0.05</f>
        <v>0.15000000000000002</v>
      </c>
      <c r="M18" s="45">
        <v>0</v>
      </c>
      <c r="N18" s="76">
        <f t="shared" si="3"/>
        <v>2.23</v>
      </c>
      <c r="O18" s="554">
        <v>2</v>
      </c>
      <c r="P18" s="25"/>
      <c r="Q18" s="25"/>
      <c r="R18" s="25"/>
    </row>
    <row r="19" spans="1:18" ht="19.5" customHeight="1">
      <c r="A19" s="25"/>
      <c r="B19" s="572"/>
      <c r="C19" s="45" t="s">
        <v>131</v>
      </c>
      <c r="D19" s="73">
        <v>5</v>
      </c>
      <c r="E19" s="73">
        <v>0</v>
      </c>
      <c r="F19" s="26">
        <f t="shared" si="0"/>
        <v>0.05</v>
      </c>
      <c r="G19" s="73">
        <v>1</v>
      </c>
      <c r="H19" s="75">
        <f t="shared" si="1"/>
        <v>0.1</v>
      </c>
      <c r="I19" s="73">
        <v>0</v>
      </c>
      <c r="J19" s="73">
        <v>0</v>
      </c>
      <c r="K19" s="75">
        <f t="shared" si="2"/>
        <v>0.05</v>
      </c>
      <c r="L19" s="75">
        <f>'Existing Tier 2'!I20*0.05</f>
        <v>0.05</v>
      </c>
      <c r="M19" s="45">
        <v>0</v>
      </c>
      <c r="N19" s="76">
        <f t="shared" si="3"/>
        <v>1.2500000000000002</v>
      </c>
      <c r="O19" s="554">
        <v>1</v>
      </c>
      <c r="P19" s="25"/>
      <c r="Q19" s="25"/>
      <c r="R19" s="25"/>
    </row>
    <row r="20" spans="1:18" ht="19.5" customHeight="1">
      <c r="A20" s="25"/>
      <c r="B20" s="572"/>
      <c r="C20" s="45" t="s">
        <v>132</v>
      </c>
      <c r="D20" s="73">
        <v>0</v>
      </c>
      <c r="E20" s="73">
        <v>0</v>
      </c>
      <c r="F20" s="26">
        <f t="shared" si="0"/>
        <v>0</v>
      </c>
      <c r="G20" s="73">
        <v>0</v>
      </c>
      <c r="H20" s="75">
        <f t="shared" si="1"/>
        <v>0</v>
      </c>
      <c r="I20" s="73">
        <v>0</v>
      </c>
      <c r="J20" s="73">
        <v>0</v>
      </c>
      <c r="K20" s="75">
        <f t="shared" si="2"/>
        <v>0</v>
      </c>
      <c r="L20" s="75">
        <f>'Existing Tier 2'!I21*0.05</f>
        <v>0</v>
      </c>
      <c r="M20" s="45">
        <v>0</v>
      </c>
      <c r="N20" s="76">
        <f t="shared" si="3"/>
        <v>0</v>
      </c>
      <c r="O20" s="554">
        <v>0</v>
      </c>
      <c r="P20" s="25"/>
      <c r="Q20" s="25"/>
      <c r="R20" s="25"/>
    </row>
    <row r="21" spans="1:18" ht="19.5" customHeight="1" thickBot="1">
      <c r="A21" s="25"/>
      <c r="B21" s="569" t="s">
        <v>127</v>
      </c>
      <c r="C21" s="569"/>
      <c r="D21" s="85">
        <f aca="true" t="shared" si="6" ref="D21:O21">SUM(D16:D20)</f>
        <v>4086</v>
      </c>
      <c r="E21" s="85">
        <f t="shared" si="6"/>
        <v>369</v>
      </c>
      <c r="F21" s="85">
        <f t="shared" si="6"/>
        <v>40.85999999999999</v>
      </c>
      <c r="G21" s="85">
        <f t="shared" si="6"/>
        <v>219</v>
      </c>
      <c r="H21" s="85">
        <f t="shared" si="6"/>
        <v>21.900000000000002</v>
      </c>
      <c r="I21" s="85">
        <f t="shared" si="6"/>
        <v>3</v>
      </c>
      <c r="J21" s="85">
        <f t="shared" si="6"/>
        <v>80</v>
      </c>
      <c r="K21" s="85">
        <f t="shared" si="6"/>
        <v>15.100000000000001</v>
      </c>
      <c r="L21" s="85">
        <f t="shared" si="6"/>
        <v>9.3</v>
      </c>
      <c r="M21" s="86">
        <f t="shared" si="6"/>
        <v>5.38</v>
      </c>
      <c r="N21" s="85">
        <f t="shared" si="6"/>
        <v>763.54</v>
      </c>
      <c r="O21" s="85">
        <f t="shared" si="6"/>
        <v>576</v>
      </c>
      <c r="P21" s="25"/>
      <c r="Q21" s="25"/>
      <c r="R21" s="25"/>
    </row>
    <row r="22" spans="1:18" ht="19.5" customHeight="1">
      <c r="A22" s="25"/>
      <c r="B22" s="567" t="s">
        <v>128</v>
      </c>
      <c r="C22" s="567"/>
      <c r="D22" s="87">
        <f aca="true" t="shared" si="7" ref="D22:O22">D9+D15+D21</f>
        <v>8987</v>
      </c>
      <c r="E22" s="87">
        <f t="shared" si="7"/>
        <v>1046</v>
      </c>
      <c r="F22" s="87">
        <f t="shared" si="7"/>
        <v>89.87</v>
      </c>
      <c r="G22" s="87">
        <f t="shared" si="7"/>
        <v>669</v>
      </c>
      <c r="H22" s="87">
        <f t="shared" si="7"/>
        <v>66.9</v>
      </c>
      <c r="I22" s="87">
        <f t="shared" si="7"/>
        <v>5</v>
      </c>
      <c r="J22" s="87">
        <f t="shared" si="7"/>
        <v>130</v>
      </c>
      <c r="K22" s="87">
        <f t="shared" si="7"/>
        <v>40.2</v>
      </c>
      <c r="L22" s="87">
        <f t="shared" si="7"/>
        <v>79.05</v>
      </c>
      <c r="M22" s="88">
        <f t="shared" si="7"/>
        <v>10.899999999999999</v>
      </c>
      <c r="N22" s="87">
        <f t="shared" si="7"/>
        <v>2136.92</v>
      </c>
      <c r="O22" s="87">
        <f t="shared" si="7"/>
        <v>1297</v>
      </c>
      <c r="P22" s="25"/>
      <c r="Q22" s="25"/>
      <c r="R22" s="25"/>
    </row>
    <row r="23" spans="1:18" ht="13.5" customHeight="1">
      <c r="A23" s="25"/>
      <c r="B23" s="48" t="s">
        <v>129</v>
      </c>
      <c r="C23" s="564" t="s">
        <v>277</v>
      </c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25"/>
      <c r="P23" s="25"/>
      <c r="Q23" s="25"/>
      <c r="R23" s="25"/>
    </row>
    <row r="24" spans="1:18" ht="13.5" customHeight="1">
      <c r="A24" s="25"/>
      <c r="B24" s="25"/>
      <c r="C24" s="565" t="s">
        <v>272</v>
      </c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25"/>
      <c r="P24" s="25"/>
      <c r="Q24" s="25"/>
      <c r="R24" s="25"/>
    </row>
    <row r="25" spans="1:18" ht="13.5" customHeight="1">
      <c r="A25" s="25"/>
      <c r="B25" s="25"/>
      <c r="C25" s="565" t="s">
        <v>273</v>
      </c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25"/>
      <c r="P25" s="25"/>
      <c r="Q25" s="25"/>
      <c r="R25" s="25"/>
    </row>
    <row r="26" spans="1:20" ht="13.5" customHeight="1">
      <c r="A26" s="25"/>
      <c r="B26" s="25"/>
      <c r="C26" s="565" t="s">
        <v>274</v>
      </c>
      <c r="D26" s="565"/>
      <c r="E26" s="565"/>
      <c r="F26" s="565"/>
      <c r="G26" s="565"/>
      <c r="H26" s="565"/>
      <c r="I26" s="565"/>
      <c r="J26" s="565"/>
      <c r="K26" s="565"/>
      <c r="L26" s="565"/>
      <c r="M26" s="565"/>
      <c r="N26" s="565"/>
      <c r="O26" s="25"/>
      <c r="P26" s="25"/>
      <c r="Q26" s="25"/>
      <c r="R26" s="25"/>
      <c r="S26" s="25"/>
      <c r="T26" s="25"/>
    </row>
    <row r="27" spans="1:20" ht="13.5" customHeight="1">
      <c r="A27" s="25"/>
      <c r="B27" s="25"/>
      <c r="C27" s="566" t="s">
        <v>275</v>
      </c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25"/>
      <c r="P27" s="25"/>
      <c r="Q27" s="25"/>
      <c r="R27" s="25"/>
      <c r="S27" s="25"/>
      <c r="T27" s="25"/>
    </row>
    <row r="28" spans="1:20" ht="23.25" customHeight="1">
      <c r="A28" s="25"/>
      <c r="B28" s="25"/>
      <c r="C28" s="568" t="s">
        <v>281</v>
      </c>
      <c r="D28" s="568"/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25"/>
      <c r="P28" s="25"/>
      <c r="Q28" s="25"/>
      <c r="R28" s="25"/>
      <c r="S28" s="25"/>
      <c r="T28" s="25"/>
    </row>
    <row r="29" spans="2:20" ht="13.5" customHeight="1">
      <c r="B29" s="83" t="s">
        <v>173</v>
      </c>
      <c r="C29" s="566" t="s">
        <v>209</v>
      </c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25"/>
      <c r="P29" s="25"/>
      <c r="Q29" s="25"/>
      <c r="R29" s="25"/>
      <c r="S29" s="25"/>
      <c r="T29" s="25"/>
    </row>
    <row r="30" spans="3:20" ht="13.5" customHeight="1"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25"/>
      <c r="P30" s="25"/>
      <c r="Q30" s="25"/>
      <c r="R30" s="25"/>
      <c r="S30" s="25"/>
      <c r="T30" s="25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</sheetData>
  <mergeCells count="17">
    <mergeCell ref="B2:N2"/>
    <mergeCell ref="C23:N23"/>
    <mergeCell ref="B4:B8"/>
    <mergeCell ref="B10:B14"/>
    <mergeCell ref="B15:C15"/>
    <mergeCell ref="B21:C21"/>
    <mergeCell ref="B16:B20"/>
    <mergeCell ref="C30:N30"/>
    <mergeCell ref="C29:N29"/>
    <mergeCell ref="B22:C22"/>
    <mergeCell ref="B1:N1"/>
    <mergeCell ref="C28:N28"/>
    <mergeCell ref="C24:N24"/>
    <mergeCell ref="C25:N25"/>
    <mergeCell ref="C26:N26"/>
    <mergeCell ref="B9:C9"/>
    <mergeCell ref="C27:N27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21">
      <selection activeCell="C31" sqref="C31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6.00390625" style="0" bestFit="1" customWidth="1"/>
    <col min="5" max="5" width="4.8515625" style="0" bestFit="1" customWidth="1"/>
    <col min="6" max="6" width="5.421875" style="0" bestFit="1" customWidth="1"/>
    <col min="7" max="7" width="10.7109375" style="0" customWidth="1"/>
    <col min="8" max="9" width="6.00390625" style="0" bestFit="1" customWidth="1"/>
    <col min="10" max="10" width="9.7109375" style="0" customWidth="1"/>
    <col min="11" max="11" width="11.421875" style="0" customWidth="1"/>
    <col min="12" max="12" width="15.140625" style="0" bestFit="1" customWidth="1"/>
    <col min="13" max="13" width="9.7109375" style="0" bestFit="1" customWidth="1"/>
    <col min="14" max="14" width="8.8515625" style="0" bestFit="1" customWidth="1"/>
  </cols>
  <sheetData>
    <row r="1" spans="1:17" ht="24" customHeight="1">
      <c r="A1" s="25"/>
      <c r="B1" s="556" t="s">
        <v>297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25"/>
      <c r="O1" s="25"/>
      <c r="P1" s="25"/>
      <c r="Q1" s="25"/>
    </row>
    <row r="2" spans="1:17" ht="27" customHeight="1">
      <c r="A2" s="25"/>
      <c r="B2" s="560" t="s">
        <v>156</v>
      </c>
      <c r="C2" s="560"/>
      <c r="D2" s="560"/>
      <c r="E2" s="560"/>
      <c r="F2" s="560"/>
      <c r="G2" s="560"/>
      <c r="H2" s="570"/>
      <c r="I2" s="570"/>
      <c r="J2" s="570"/>
      <c r="K2" s="570"/>
      <c r="L2" s="570"/>
      <c r="M2" s="570"/>
      <c r="N2" s="25"/>
      <c r="O2" s="25"/>
      <c r="P2" s="25"/>
      <c r="Q2" s="25"/>
    </row>
    <row r="3" spans="1:17" ht="20.25" customHeight="1">
      <c r="A3" s="25"/>
      <c r="B3" s="552" t="s">
        <v>116</v>
      </c>
      <c r="C3" s="552" t="s">
        <v>117</v>
      </c>
      <c r="D3" s="545" t="s">
        <v>158</v>
      </c>
      <c r="E3" s="546"/>
      <c r="F3" s="546"/>
      <c r="G3" s="547"/>
      <c r="H3" s="545" t="s">
        <v>168</v>
      </c>
      <c r="I3" s="548"/>
      <c r="J3" s="548"/>
      <c r="K3" s="549"/>
      <c r="L3" s="69" t="s">
        <v>169</v>
      </c>
      <c r="M3" s="573" t="s">
        <v>217</v>
      </c>
      <c r="N3" s="573" t="s">
        <v>325</v>
      </c>
      <c r="O3" s="25"/>
      <c r="P3" s="25"/>
      <c r="Q3" s="25"/>
    </row>
    <row r="4" spans="1:17" ht="45.75" customHeight="1" thickBot="1">
      <c r="A4" s="25"/>
      <c r="B4" s="553"/>
      <c r="C4" s="553"/>
      <c r="D4" s="78" t="s">
        <v>157</v>
      </c>
      <c r="E4" s="78" t="s">
        <v>172</v>
      </c>
      <c r="F4" s="78" t="s">
        <v>159</v>
      </c>
      <c r="G4" s="78" t="s">
        <v>211</v>
      </c>
      <c r="H4" s="78" t="s">
        <v>212</v>
      </c>
      <c r="I4" s="78" t="s">
        <v>213</v>
      </c>
      <c r="J4" s="78" t="s">
        <v>214</v>
      </c>
      <c r="K4" s="78" t="s">
        <v>215</v>
      </c>
      <c r="L4" s="78" t="s">
        <v>216</v>
      </c>
      <c r="M4" s="550"/>
      <c r="N4" s="550"/>
      <c r="O4" s="25"/>
      <c r="P4" s="25"/>
      <c r="Q4" s="25"/>
    </row>
    <row r="5" spans="1:17" ht="19.5" customHeight="1">
      <c r="A5" s="25"/>
      <c r="B5" s="571" t="s">
        <v>0</v>
      </c>
      <c r="C5" s="74" t="s">
        <v>118</v>
      </c>
      <c r="D5" s="75">
        <v>2318</v>
      </c>
      <c r="E5" s="75">
        <v>167</v>
      </c>
      <c r="F5" s="75">
        <v>0</v>
      </c>
      <c r="G5" s="75">
        <f>D5-E5-F5</f>
        <v>2151</v>
      </c>
      <c r="H5" s="75">
        <f>1088+I5</f>
        <v>1638</v>
      </c>
      <c r="I5" s="75">
        <v>550</v>
      </c>
      <c r="J5" s="75">
        <f>I5*0.95</f>
        <v>522.5</v>
      </c>
      <c r="K5" s="75">
        <f>H5-I5+J5</f>
        <v>1610.5</v>
      </c>
      <c r="L5" s="75">
        <f>('Existing Tier 3'!D5-'Existing Tier 3'!E5-'Existing Tier 3'!F5)*0.05</f>
        <v>1593.45</v>
      </c>
      <c r="M5" s="76">
        <f>G5+K5+L5</f>
        <v>5354.95</v>
      </c>
      <c r="N5" s="555">
        <v>2590</v>
      </c>
      <c r="O5" s="25"/>
      <c r="P5" s="25"/>
      <c r="Q5" s="25"/>
    </row>
    <row r="6" spans="1:17" ht="19.5" customHeight="1">
      <c r="A6" s="25"/>
      <c r="B6" s="572"/>
      <c r="C6" s="45" t="s">
        <v>119</v>
      </c>
      <c r="D6" s="73">
        <v>845</v>
      </c>
      <c r="E6" s="73">
        <v>130</v>
      </c>
      <c r="F6" s="73">
        <v>0</v>
      </c>
      <c r="G6" s="75">
        <f aca="true" t="shared" si="0" ref="G6:G21">D6-E6-F6</f>
        <v>715</v>
      </c>
      <c r="H6" s="75">
        <f>444+I6</f>
        <v>864</v>
      </c>
      <c r="I6" s="73">
        <v>420</v>
      </c>
      <c r="J6" s="75">
        <f>I6*0.95</f>
        <v>399</v>
      </c>
      <c r="K6" s="75">
        <f>H6-I6+J6</f>
        <v>843</v>
      </c>
      <c r="L6" s="75">
        <f>('Existing Tier 3'!D6-'Existing Tier 3'!E6-'Existing Tier 3'!F6)*0.05</f>
        <v>324.45000000000005</v>
      </c>
      <c r="M6" s="76">
        <f aca="true" t="shared" si="1" ref="M6:M21">G6+K6+L6</f>
        <v>1882.45</v>
      </c>
      <c r="N6" s="554">
        <v>1018</v>
      </c>
      <c r="O6" s="25"/>
      <c r="P6" s="25"/>
      <c r="Q6" s="25"/>
    </row>
    <row r="7" spans="1:17" ht="19.5" customHeight="1">
      <c r="A7" s="25"/>
      <c r="B7" s="572"/>
      <c r="C7" s="45" t="s">
        <v>130</v>
      </c>
      <c r="D7" s="73">
        <v>281</v>
      </c>
      <c r="E7" s="73">
        <v>25</v>
      </c>
      <c r="F7" s="73">
        <v>0</v>
      </c>
      <c r="G7" s="75">
        <f t="shared" si="0"/>
        <v>256</v>
      </c>
      <c r="H7" s="75">
        <f>117+I7</f>
        <v>250</v>
      </c>
      <c r="I7" s="73">
        <v>133</v>
      </c>
      <c r="J7" s="75">
        <f>I7*0.95</f>
        <v>126.35</v>
      </c>
      <c r="K7" s="75">
        <f>H7-I7+J7</f>
        <v>243.35</v>
      </c>
      <c r="L7" s="75">
        <f>('Existing Tier 3'!D7-'Existing Tier 3'!E7-'Existing Tier 3'!F7)*0.05</f>
        <v>81.5</v>
      </c>
      <c r="M7" s="76">
        <f t="shared" si="1"/>
        <v>580.85</v>
      </c>
      <c r="N7" s="554">
        <v>345</v>
      </c>
      <c r="O7" s="25"/>
      <c r="P7" s="25"/>
      <c r="Q7" s="25"/>
    </row>
    <row r="8" spans="1:17" ht="19.5" customHeight="1">
      <c r="A8" s="25"/>
      <c r="B8" s="572"/>
      <c r="C8" s="45" t="s">
        <v>131</v>
      </c>
      <c r="D8" s="73">
        <v>233</v>
      </c>
      <c r="E8" s="73">
        <v>25</v>
      </c>
      <c r="F8" s="73">
        <v>20</v>
      </c>
      <c r="G8" s="75">
        <f t="shared" si="0"/>
        <v>188</v>
      </c>
      <c r="H8" s="75">
        <f>148+I8</f>
        <v>294</v>
      </c>
      <c r="I8" s="73">
        <v>146</v>
      </c>
      <c r="J8" s="75">
        <f>I8*0.95</f>
        <v>138.7</v>
      </c>
      <c r="K8" s="75">
        <f>H8-I8+J8</f>
        <v>286.7</v>
      </c>
      <c r="L8" s="75">
        <f>('Existing Tier 3'!D8-'Existing Tier 3'!E8-'Existing Tier 3'!F8)*0.05</f>
        <v>80.65</v>
      </c>
      <c r="M8" s="76">
        <f t="shared" si="1"/>
        <v>555.35</v>
      </c>
      <c r="N8" s="554">
        <v>311</v>
      </c>
      <c r="O8" s="25"/>
      <c r="P8" s="25"/>
      <c r="Q8" s="25"/>
    </row>
    <row r="9" spans="1:17" ht="19.5" customHeight="1">
      <c r="A9" s="25"/>
      <c r="B9" s="572"/>
      <c r="C9" s="45" t="s">
        <v>132</v>
      </c>
      <c r="D9" s="73">
        <v>10</v>
      </c>
      <c r="E9" s="73">
        <v>0</v>
      </c>
      <c r="F9" s="73">
        <v>0</v>
      </c>
      <c r="G9" s="75">
        <f t="shared" si="0"/>
        <v>10</v>
      </c>
      <c r="H9" s="75">
        <f>21+I9</f>
        <v>48</v>
      </c>
      <c r="I9" s="73">
        <v>27</v>
      </c>
      <c r="J9" s="75">
        <f>I9*0.95</f>
        <v>25.65</v>
      </c>
      <c r="K9" s="75">
        <f>H9-I9+J9</f>
        <v>46.65</v>
      </c>
      <c r="L9" s="75">
        <f>('Existing Tier 3'!D9-'Existing Tier 3'!E9-'Existing Tier 3'!F9)*0.05</f>
        <v>5.95</v>
      </c>
      <c r="M9" s="76">
        <f t="shared" si="1"/>
        <v>62.6</v>
      </c>
      <c r="N9" s="554">
        <v>28</v>
      </c>
      <c r="O9" s="25"/>
      <c r="P9" s="25"/>
      <c r="Q9" s="25"/>
    </row>
    <row r="10" spans="1:17" ht="19.5" customHeight="1" thickBot="1">
      <c r="A10" s="25"/>
      <c r="B10" s="569" t="s">
        <v>127</v>
      </c>
      <c r="C10" s="569"/>
      <c r="D10" s="85">
        <f>SUM(D5:D9)</f>
        <v>3687</v>
      </c>
      <c r="E10" s="85">
        <f>SUM(E5:E9)</f>
        <v>347</v>
      </c>
      <c r="F10" s="85">
        <f aca="true" t="shared" si="2" ref="F10:N10">SUM(F5:F9)</f>
        <v>20</v>
      </c>
      <c r="G10" s="85">
        <f t="shared" si="2"/>
        <v>3320</v>
      </c>
      <c r="H10" s="85">
        <f t="shared" si="2"/>
        <v>3094</v>
      </c>
      <c r="I10" s="85">
        <f t="shared" si="2"/>
        <v>1276</v>
      </c>
      <c r="J10" s="85">
        <f t="shared" si="2"/>
        <v>1212.2</v>
      </c>
      <c r="K10" s="85">
        <f t="shared" si="2"/>
        <v>3030.2</v>
      </c>
      <c r="L10" s="85">
        <f t="shared" si="2"/>
        <v>2086</v>
      </c>
      <c r="M10" s="85">
        <f t="shared" si="2"/>
        <v>8436.2</v>
      </c>
      <c r="N10" s="85">
        <f t="shared" si="2"/>
        <v>4292</v>
      </c>
      <c r="O10" s="25"/>
      <c r="P10" s="25"/>
      <c r="Q10" s="25"/>
    </row>
    <row r="11" spans="1:17" ht="19.5" customHeight="1">
      <c r="A11" s="25"/>
      <c r="B11" s="571" t="s">
        <v>2</v>
      </c>
      <c r="C11" s="74" t="s">
        <v>118</v>
      </c>
      <c r="D11" s="75">
        <v>897</v>
      </c>
      <c r="E11" s="75">
        <v>0</v>
      </c>
      <c r="F11" s="75">
        <v>0</v>
      </c>
      <c r="G11" s="75">
        <f t="shared" si="0"/>
        <v>897</v>
      </c>
      <c r="H11" s="75">
        <f>597+I11</f>
        <v>713</v>
      </c>
      <c r="I11" s="75">
        <v>116</v>
      </c>
      <c r="J11" s="75">
        <f>I11*0.95</f>
        <v>110.19999999999999</v>
      </c>
      <c r="K11" s="75">
        <f>H11-I11+J11</f>
        <v>707.2</v>
      </c>
      <c r="L11" s="75">
        <f>'Existing Tier 3'!D11*0.05</f>
        <v>724.45</v>
      </c>
      <c r="M11" s="76">
        <f t="shared" si="1"/>
        <v>2328.65</v>
      </c>
      <c r="N11" s="554">
        <v>1157</v>
      </c>
      <c r="O11" s="25"/>
      <c r="P11" s="25"/>
      <c r="Q11" s="25"/>
    </row>
    <row r="12" spans="1:17" ht="19.5" customHeight="1">
      <c r="A12" s="25"/>
      <c r="B12" s="572"/>
      <c r="C12" s="45" t="s">
        <v>119</v>
      </c>
      <c r="D12" s="73">
        <v>114</v>
      </c>
      <c r="E12" s="73">
        <v>0</v>
      </c>
      <c r="F12" s="73">
        <v>0</v>
      </c>
      <c r="G12" s="75">
        <f t="shared" si="0"/>
        <v>114</v>
      </c>
      <c r="H12" s="75">
        <f>115+I12</f>
        <v>118</v>
      </c>
      <c r="I12" s="73">
        <v>3</v>
      </c>
      <c r="J12" s="75">
        <f aca="true" t="shared" si="3" ref="J12:J21">I12*0.95</f>
        <v>2.8499999999999996</v>
      </c>
      <c r="K12" s="75">
        <f>H12-I12+J12</f>
        <v>117.85</v>
      </c>
      <c r="L12" s="75">
        <f>'Existing Tier 3'!D12*0.05</f>
        <v>111.7</v>
      </c>
      <c r="M12" s="76">
        <f t="shared" si="1"/>
        <v>343.55</v>
      </c>
      <c r="N12" s="554">
        <v>188</v>
      </c>
      <c r="O12" s="25"/>
      <c r="P12" s="25"/>
      <c r="Q12" s="25"/>
    </row>
    <row r="13" spans="1:17" ht="19.5" customHeight="1">
      <c r="A13" s="25"/>
      <c r="B13" s="572"/>
      <c r="C13" s="45" t="s">
        <v>130</v>
      </c>
      <c r="D13" s="73">
        <v>5</v>
      </c>
      <c r="E13" s="73">
        <v>0</v>
      </c>
      <c r="F13" s="73">
        <v>0</v>
      </c>
      <c r="G13" s="75">
        <f t="shared" si="0"/>
        <v>5</v>
      </c>
      <c r="H13" s="75">
        <f>4+I13</f>
        <v>4</v>
      </c>
      <c r="I13" s="73">
        <v>0</v>
      </c>
      <c r="J13" s="75">
        <f t="shared" si="3"/>
        <v>0</v>
      </c>
      <c r="K13" s="75">
        <f>H13-I13+J13</f>
        <v>4</v>
      </c>
      <c r="L13" s="75">
        <f>'Existing Tier 3'!D13*0.05</f>
        <v>4.1000000000000005</v>
      </c>
      <c r="M13" s="76">
        <f t="shared" si="1"/>
        <v>13.100000000000001</v>
      </c>
      <c r="N13" s="554">
        <v>8</v>
      </c>
      <c r="O13" s="25"/>
      <c r="P13" s="25"/>
      <c r="Q13" s="25"/>
    </row>
    <row r="14" spans="1:17" ht="19.5" customHeight="1">
      <c r="A14" s="25"/>
      <c r="B14" s="572"/>
      <c r="C14" s="45" t="s">
        <v>131</v>
      </c>
      <c r="D14" s="73">
        <v>2</v>
      </c>
      <c r="E14" s="73">
        <v>0</v>
      </c>
      <c r="F14" s="73">
        <v>0</v>
      </c>
      <c r="G14" s="75">
        <f t="shared" si="0"/>
        <v>2</v>
      </c>
      <c r="H14" s="75">
        <f>2+I14</f>
        <v>2</v>
      </c>
      <c r="I14" s="73">
        <v>0</v>
      </c>
      <c r="J14" s="75">
        <f t="shared" si="3"/>
        <v>0</v>
      </c>
      <c r="K14" s="75">
        <f>H14-I14+J14</f>
        <v>2</v>
      </c>
      <c r="L14" s="75">
        <f>'Existing Tier 3'!D14*0.05</f>
        <v>0.30000000000000004</v>
      </c>
      <c r="M14" s="76">
        <f t="shared" si="1"/>
        <v>4.3</v>
      </c>
      <c r="N14" s="554">
        <v>3</v>
      </c>
      <c r="O14" s="25"/>
      <c r="P14" s="25"/>
      <c r="Q14" s="25"/>
    </row>
    <row r="15" spans="1:17" ht="19.5" customHeight="1">
      <c r="A15" s="25"/>
      <c r="B15" s="572"/>
      <c r="C15" s="45" t="s">
        <v>132</v>
      </c>
      <c r="D15" s="73">
        <v>0</v>
      </c>
      <c r="E15" s="73">
        <v>0</v>
      </c>
      <c r="F15" s="73">
        <v>0</v>
      </c>
      <c r="G15" s="75">
        <f t="shared" si="0"/>
        <v>0</v>
      </c>
      <c r="H15" s="75">
        <f>0+I15</f>
        <v>0</v>
      </c>
      <c r="I15" s="73">
        <v>0</v>
      </c>
      <c r="J15" s="75">
        <f t="shared" si="3"/>
        <v>0</v>
      </c>
      <c r="K15" s="75">
        <f>H15-I15+J15</f>
        <v>0</v>
      </c>
      <c r="L15" s="75">
        <f>'Existing Tier 3'!D15*0.05</f>
        <v>0.05</v>
      </c>
      <c r="M15" s="76">
        <f t="shared" si="1"/>
        <v>0.05</v>
      </c>
      <c r="N15" s="554">
        <v>0</v>
      </c>
      <c r="O15" s="25"/>
      <c r="P15" s="25"/>
      <c r="Q15" s="25"/>
    </row>
    <row r="16" spans="1:17" ht="19.5" customHeight="1" thickBot="1">
      <c r="A16" s="25"/>
      <c r="B16" s="569" t="s">
        <v>127</v>
      </c>
      <c r="C16" s="569"/>
      <c r="D16" s="85">
        <f>SUM(D11:D15)</f>
        <v>1018</v>
      </c>
      <c r="E16" s="85">
        <f aca="true" t="shared" si="4" ref="E16:N16">SUM(E11:E15)</f>
        <v>0</v>
      </c>
      <c r="F16" s="85">
        <f t="shared" si="4"/>
        <v>0</v>
      </c>
      <c r="G16" s="85">
        <f t="shared" si="4"/>
        <v>1018</v>
      </c>
      <c r="H16" s="85">
        <f t="shared" si="4"/>
        <v>837</v>
      </c>
      <c r="I16" s="85">
        <f t="shared" si="4"/>
        <v>119</v>
      </c>
      <c r="J16" s="85">
        <f t="shared" si="4"/>
        <v>113.04999999999998</v>
      </c>
      <c r="K16" s="85">
        <f t="shared" si="4"/>
        <v>831.0500000000001</v>
      </c>
      <c r="L16" s="85">
        <f t="shared" si="4"/>
        <v>840.6</v>
      </c>
      <c r="M16" s="85">
        <f t="shared" si="4"/>
        <v>2689.6500000000005</v>
      </c>
      <c r="N16" s="85">
        <f t="shared" si="4"/>
        <v>1356</v>
      </c>
      <c r="O16" s="25"/>
      <c r="P16" s="25"/>
      <c r="Q16" s="25"/>
    </row>
    <row r="17" spans="1:17" ht="19.5" customHeight="1">
      <c r="A17" s="25"/>
      <c r="B17" s="571" t="s">
        <v>124</v>
      </c>
      <c r="C17" s="74" t="s">
        <v>118</v>
      </c>
      <c r="D17" s="75">
        <v>3603</v>
      </c>
      <c r="E17" s="75">
        <v>0</v>
      </c>
      <c r="F17" s="75">
        <v>0</v>
      </c>
      <c r="G17" s="75">
        <f t="shared" si="0"/>
        <v>3603</v>
      </c>
      <c r="H17" s="75">
        <f>68+I17</f>
        <v>246</v>
      </c>
      <c r="I17" s="75">
        <v>178</v>
      </c>
      <c r="J17" s="75">
        <f t="shared" si="3"/>
        <v>169.1</v>
      </c>
      <c r="K17" s="75">
        <f>H17-I17+J17</f>
        <v>237.1</v>
      </c>
      <c r="L17" s="75">
        <f>'Existing Tier 3'!D17*0.05</f>
        <v>1130.55</v>
      </c>
      <c r="M17" s="76">
        <f t="shared" si="1"/>
        <v>4970.65</v>
      </c>
      <c r="N17" s="554">
        <v>3236</v>
      </c>
      <c r="O17" s="25"/>
      <c r="P17" s="25"/>
      <c r="Q17" s="25"/>
    </row>
    <row r="18" spans="1:17" ht="19.5" customHeight="1">
      <c r="A18" s="25"/>
      <c r="B18" s="572"/>
      <c r="C18" s="45" t="s">
        <v>119</v>
      </c>
      <c r="D18" s="73">
        <v>103</v>
      </c>
      <c r="E18" s="73">
        <v>0</v>
      </c>
      <c r="F18" s="73">
        <v>0</v>
      </c>
      <c r="G18" s="75">
        <f t="shared" si="0"/>
        <v>103</v>
      </c>
      <c r="H18" s="75">
        <f>4+I18</f>
        <v>8</v>
      </c>
      <c r="I18" s="73">
        <v>4</v>
      </c>
      <c r="J18" s="75">
        <f t="shared" si="3"/>
        <v>3.8</v>
      </c>
      <c r="K18" s="75">
        <f>H18-I18+J18</f>
        <v>7.8</v>
      </c>
      <c r="L18" s="75">
        <f>'Existing Tier 3'!D18*0.05</f>
        <v>28.200000000000003</v>
      </c>
      <c r="M18" s="76">
        <f t="shared" si="1"/>
        <v>139</v>
      </c>
      <c r="N18" s="554">
        <v>97</v>
      </c>
      <c r="O18" s="25"/>
      <c r="P18" s="25"/>
      <c r="Q18" s="25"/>
    </row>
    <row r="19" spans="1:17" ht="19.5" customHeight="1">
      <c r="A19" s="25"/>
      <c r="B19" s="572"/>
      <c r="C19" s="45" t="s">
        <v>130</v>
      </c>
      <c r="D19" s="73">
        <v>6</v>
      </c>
      <c r="E19" s="73">
        <v>0</v>
      </c>
      <c r="F19" s="73">
        <v>0</v>
      </c>
      <c r="G19" s="75">
        <f t="shared" si="0"/>
        <v>6</v>
      </c>
      <c r="H19" s="75">
        <f>0+I19</f>
        <v>3</v>
      </c>
      <c r="I19" s="73">
        <v>3</v>
      </c>
      <c r="J19" s="75">
        <f t="shared" si="3"/>
        <v>2.8499999999999996</v>
      </c>
      <c r="K19" s="75">
        <f>H19-I19+J19</f>
        <v>2.8499999999999996</v>
      </c>
      <c r="L19" s="75">
        <f>'Existing Tier 3'!D19*0.05</f>
        <v>1.6</v>
      </c>
      <c r="M19" s="76">
        <f t="shared" si="1"/>
        <v>10.45</v>
      </c>
      <c r="N19" s="554">
        <v>8</v>
      </c>
      <c r="O19" s="25"/>
      <c r="P19" s="25"/>
      <c r="Q19" s="25"/>
    </row>
    <row r="20" spans="1:17" ht="19.5" customHeight="1">
      <c r="A20" s="25"/>
      <c r="B20" s="572"/>
      <c r="C20" s="45" t="s">
        <v>131</v>
      </c>
      <c r="D20" s="73">
        <v>5</v>
      </c>
      <c r="E20" s="73">
        <v>0</v>
      </c>
      <c r="F20" s="73">
        <v>0</v>
      </c>
      <c r="G20" s="75">
        <f t="shared" si="0"/>
        <v>5</v>
      </c>
      <c r="H20" s="75">
        <f>0+I20</f>
        <v>1</v>
      </c>
      <c r="I20" s="73">
        <v>1</v>
      </c>
      <c r="J20" s="75">
        <f t="shared" si="3"/>
        <v>0.95</v>
      </c>
      <c r="K20" s="75">
        <f>H20-I20+J20</f>
        <v>0.95</v>
      </c>
      <c r="L20" s="75">
        <f>'Existing Tier 3'!D20*0.05</f>
        <v>0</v>
      </c>
      <c r="M20" s="76">
        <f t="shared" si="1"/>
        <v>5.95</v>
      </c>
      <c r="N20" s="554">
        <v>4</v>
      </c>
      <c r="O20" s="25"/>
      <c r="P20" s="25"/>
      <c r="Q20" s="25"/>
    </row>
    <row r="21" spans="1:17" ht="19.5" customHeight="1">
      <c r="A21" s="25"/>
      <c r="B21" s="572"/>
      <c r="C21" s="45" t="s">
        <v>132</v>
      </c>
      <c r="D21" s="73">
        <v>0</v>
      </c>
      <c r="E21" s="73">
        <v>0</v>
      </c>
      <c r="F21" s="73">
        <v>0</v>
      </c>
      <c r="G21" s="75">
        <f t="shared" si="0"/>
        <v>0</v>
      </c>
      <c r="H21" s="75">
        <f>0+I21</f>
        <v>0</v>
      </c>
      <c r="I21" s="73">
        <v>0</v>
      </c>
      <c r="J21" s="75">
        <f t="shared" si="3"/>
        <v>0</v>
      </c>
      <c r="K21" s="75">
        <f>H21-I21+J21</f>
        <v>0</v>
      </c>
      <c r="L21" s="75">
        <f>'Existing Tier 3'!D21*0.05</f>
        <v>0</v>
      </c>
      <c r="M21" s="76">
        <f t="shared" si="1"/>
        <v>0</v>
      </c>
      <c r="N21" s="554">
        <v>0</v>
      </c>
      <c r="O21" s="25"/>
      <c r="P21" s="25"/>
      <c r="Q21" s="25"/>
    </row>
    <row r="22" spans="1:17" ht="19.5" customHeight="1" thickBot="1">
      <c r="A22" s="25"/>
      <c r="B22" s="569" t="s">
        <v>127</v>
      </c>
      <c r="C22" s="569"/>
      <c r="D22" s="85">
        <f>SUM(D17:D21)</f>
        <v>3717</v>
      </c>
      <c r="E22" s="85">
        <f>SUM(E17:E21)</f>
        <v>0</v>
      </c>
      <c r="F22" s="85">
        <v>0</v>
      </c>
      <c r="G22" s="85">
        <f aca="true" t="shared" si="5" ref="G22:N22">SUM(G17:G21)</f>
        <v>3717</v>
      </c>
      <c r="H22" s="85">
        <f t="shared" si="5"/>
        <v>258</v>
      </c>
      <c r="I22" s="85">
        <f t="shared" si="5"/>
        <v>186</v>
      </c>
      <c r="J22" s="85">
        <f t="shared" si="5"/>
        <v>176.7</v>
      </c>
      <c r="K22" s="85">
        <f t="shared" si="5"/>
        <v>248.7</v>
      </c>
      <c r="L22" s="85">
        <f t="shared" si="5"/>
        <v>1160.35</v>
      </c>
      <c r="M22" s="85">
        <f t="shared" si="5"/>
        <v>5126.049999999999</v>
      </c>
      <c r="N22" s="85">
        <f t="shared" si="5"/>
        <v>3345</v>
      </c>
      <c r="O22" s="25"/>
      <c r="P22" s="25"/>
      <c r="Q22" s="25"/>
    </row>
    <row r="23" spans="1:17" ht="19.5" customHeight="1">
      <c r="A23" s="25"/>
      <c r="B23" s="567" t="s">
        <v>128</v>
      </c>
      <c r="C23" s="567"/>
      <c r="D23" s="87">
        <f>D10+D16+D22</f>
        <v>8422</v>
      </c>
      <c r="E23" s="87">
        <f>E10+E16+E22</f>
        <v>347</v>
      </c>
      <c r="F23" s="87">
        <f aca="true" t="shared" si="6" ref="F23:N23">F10+F16+F22</f>
        <v>20</v>
      </c>
      <c r="G23" s="87">
        <f t="shared" si="6"/>
        <v>8055</v>
      </c>
      <c r="H23" s="87">
        <f t="shared" si="6"/>
        <v>4189</v>
      </c>
      <c r="I23" s="87">
        <f t="shared" si="6"/>
        <v>1581</v>
      </c>
      <c r="J23" s="87">
        <f t="shared" si="6"/>
        <v>1501.95</v>
      </c>
      <c r="K23" s="87">
        <f t="shared" si="6"/>
        <v>4109.95</v>
      </c>
      <c r="L23" s="87">
        <f t="shared" si="6"/>
        <v>4086.95</v>
      </c>
      <c r="M23" s="87">
        <f t="shared" si="6"/>
        <v>16251.900000000001</v>
      </c>
      <c r="N23" s="87">
        <f t="shared" si="6"/>
        <v>8993</v>
      </c>
      <c r="O23" s="25"/>
      <c r="P23" s="25"/>
      <c r="Q23" s="25"/>
    </row>
    <row r="24" spans="1:17" ht="13.5" customHeight="1">
      <c r="A24" s="25"/>
      <c r="B24" s="48" t="s">
        <v>129</v>
      </c>
      <c r="C24" s="564" t="s">
        <v>278</v>
      </c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25"/>
      <c r="O24" s="25"/>
      <c r="P24" s="25"/>
      <c r="Q24" s="25"/>
    </row>
    <row r="25" spans="1:17" ht="24" customHeight="1">
      <c r="A25" s="25"/>
      <c r="B25" s="25"/>
      <c r="C25" s="568" t="s">
        <v>327</v>
      </c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25"/>
      <c r="O25" s="25"/>
      <c r="P25" s="25"/>
      <c r="Q25" s="25"/>
    </row>
    <row r="26" spans="1:17" ht="12.75" customHeight="1">
      <c r="A26" s="25"/>
      <c r="B26" s="25"/>
      <c r="C26" s="568" t="s">
        <v>276</v>
      </c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25"/>
      <c r="O26" s="25"/>
      <c r="P26" s="25"/>
      <c r="Q26" s="25"/>
    </row>
    <row r="27" spans="2:13" ht="13.5" customHeight="1">
      <c r="B27" s="64" t="s">
        <v>173</v>
      </c>
      <c r="C27" s="574" t="str">
        <f>'Existing Tier 1'!C29:N29</f>
        <v>Detail may not add to totals due to independent rounding.</v>
      </c>
      <c r="D27" s="574"/>
      <c r="E27" s="574"/>
      <c r="F27" s="574"/>
      <c r="G27" s="561"/>
      <c r="H27" s="561"/>
      <c r="I27" s="561"/>
      <c r="J27" s="561"/>
      <c r="K27" s="561"/>
      <c r="L27" s="561"/>
      <c r="M27" s="561"/>
    </row>
    <row r="28" spans="3:14" ht="13.5" customHeight="1">
      <c r="C28" s="551" t="s">
        <v>174</v>
      </c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</row>
    <row r="29" ht="13.5" customHeight="1"/>
    <row r="30" ht="13.5" customHeight="1"/>
    <row r="31" ht="13.5" customHeight="1"/>
    <row r="32" ht="13.5" customHeight="1"/>
    <row r="33" ht="13.5" customHeight="1"/>
  </sheetData>
  <mergeCells count="20">
    <mergeCell ref="C26:M26"/>
    <mergeCell ref="C27:M27"/>
    <mergeCell ref="H3:K3"/>
    <mergeCell ref="C3:C4"/>
    <mergeCell ref="C25:M25"/>
    <mergeCell ref="M3:M4"/>
    <mergeCell ref="B23:C23"/>
    <mergeCell ref="B10:C10"/>
    <mergeCell ref="B3:B4"/>
    <mergeCell ref="D3:G3"/>
    <mergeCell ref="N3:N4"/>
    <mergeCell ref="C28:N28"/>
    <mergeCell ref="B1:M1"/>
    <mergeCell ref="B2:M2"/>
    <mergeCell ref="C24:M24"/>
    <mergeCell ref="B5:B9"/>
    <mergeCell ref="B11:B15"/>
    <mergeCell ref="B16:C16"/>
    <mergeCell ref="B22:C22"/>
    <mergeCell ref="B17:B21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workbookViewId="0" topLeftCell="A22">
      <selection activeCell="E39" sqref="E39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8.140625" style="0" bestFit="1" customWidth="1"/>
    <col min="6" max="6" width="5.8515625" style="0" bestFit="1" customWidth="1"/>
    <col min="7" max="7" width="15.140625" style="0" customWidth="1"/>
    <col min="8" max="8" width="8.140625" style="0" bestFit="1" customWidth="1"/>
    <col min="10" max="10" width="5.8515625" style="0" bestFit="1" customWidth="1"/>
    <col min="11" max="11" width="10.57421875" style="0" bestFit="1" customWidth="1"/>
  </cols>
  <sheetData>
    <row r="1" spans="1:15" ht="19.5" customHeight="1">
      <c r="A1" s="25"/>
      <c r="B1" s="556" t="s">
        <v>299</v>
      </c>
      <c r="C1" s="556"/>
      <c r="D1" s="556"/>
      <c r="E1" s="556"/>
      <c r="F1" s="556"/>
      <c r="G1" s="556"/>
      <c r="H1" s="556"/>
      <c r="I1" s="556"/>
      <c r="J1" s="556"/>
      <c r="K1" s="556"/>
      <c r="L1" s="25"/>
      <c r="M1" s="25"/>
      <c r="N1" s="25"/>
      <c r="O1" s="25"/>
    </row>
    <row r="2" spans="1:15" ht="27" customHeight="1">
      <c r="A2" s="25"/>
      <c r="B2" s="560" t="s">
        <v>170</v>
      </c>
      <c r="C2" s="560"/>
      <c r="D2" s="560"/>
      <c r="E2" s="560"/>
      <c r="F2" s="560"/>
      <c r="G2" s="560"/>
      <c r="H2" s="560"/>
      <c r="I2" s="560"/>
      <c r="J2" s="560"/>
      <c r="K2" s="560"/>
      <c r="L2" s="25"/>
      <c r="M2" s="25"/>
      <c r="N2" s="25"/>
      <c r="O2" s="25"/>
    </row>
    <row r="3" spans="1:15" ht="22.5" customHeight="1">
      <c r="A3" s="25"/>
      <c r="B3" s="552" t="s">
        <v>116</v>
      </c>
      <c r="C3" s="576" t="s">
        <v>255</v>
      </c>
      <c r="D3" s="577"/>
      <c r="E3" s="576"/>
      <c r="F3" s="576"/>
      <c r="G3" s="578"/>
      <c r="H3" s="549" t="s">
        <v>256</v>
      </c>
      <c r="I3" s="576"/>
      <c r="J3" s="576"/>
      <c r="K3" s="576"/>
      <c r="L3" s="25"/>
      <c r="M3" s="25"/>
      <c r="N3" s="25"/>
      <c r="O3" s="25"/>
    </row>
    <row r="4" spans="1:15" ht="40.5" customHeight="1" thickBot="1">
      <c r="A4" s="25"/>
      <c r="B4" s="553"/>
      <c r="C4" s="77" t="s">
        <v>117</v>
      </c>
      <c r="D4" s="84" t="s">
        <v>171</v>
      </c>
      <c r="E4" s="84" t="s">
        <v>172</v>
      </c>
      <c r="F4" s="84" t="s">
        <v>159</v>
      </c>
      <c r="G4" s="535" t="s">
        <v>218</v>
      </c>
      <c r="H4" s="481" t="s">
        <v>257</v>
      </c>
      <c r="I4" s="84" t="s">
        <v>258</v>
      </c>
      <c r="J4" s="84" t="s">
        <v>259</v>
      </c>
      <c r="K4" s="84" t="s">
        <v>260</v>
      </c>
      <c r="L4" s="25"/>
      <c r="M4" s="25"/>
      <c r="N4" s="25"/>
      <c r="O4" s="25"/>
    </row>
    <row r="5" spans="1:15" ht="19.5" customHeight="1">
      <c r="A5" s="25"/>
      <c r="B5" s="571" t="s">
        <v>0</v>
      </c>
      <c r="C5" s="74" t="s">
        <v>118</v>
      </c>
      <c r="D5" s="75">
        <f>31869+E5+F5</f>
        <v>32134</v>
      </c>
      <c r="E5" s="75">
        <v>265</v>
      </c>
      <c r="F5" s="75">
        <v>0</v>
      </c>
      <c r="G5" s="536">
        <f>(D5-E5-F5)*0.95</f>
        <v>30275.55</v>
      </c>
      <c r="H5" s="532">
        <v>9933</v>
      </c>
      <c r="I5" s="75">
        <v>218</v>
      </c>
      <c r="J5" s="75">
        <v>0</v>
      </c>
      <c r="K5" s="75">
        <f>H5-(I5+J5)</f>
        <v>9715</v>
      </c>
      <c r="L5" s="25"/>
      <c r="M5" s="25"/>
      <c r="N5" s="25"/>
      <c r="O5" s="25"/>
    </row>
    <row r="6" spans="1:15" ht="19.5" customHeight="1">
      <c r="A6" s="25"/>
      <c r="B6" s="572"/>
      <c r="C6" s="45" t="s">
        <v>119</v>
      </c>
      <c r="D6" s="73">
        <f>6489+E6+F6</f>
        <v>6537</v>
      </c>
      <c r="E6" s="73">
        <v>48</v>
      </c>
      <c r="F6" s="73">
        <v>0</v>
      </c>
      <c r="G6" s="536">
        <f>(D6-E6-F6)*0.95</f>
        <v>6164.549999999999</v>
      </c>
      <c r="H6" s="532">
        <v>2473</v>
      </c>
      <c r="I6" s="75">
        <v>36</v>
      </c>
      <c r="J6" s="75">
        <v>0</v>
      </c>
      <c r="K6" s="75">
        <f aca="true" t="shared" si="0" ref="K6:K21">H6-(I6+J6)</f>
        <v>2437</v>
      </c>
      <c r="L6" s="25"/>
      <c r="M6" s="25"/>
      <c r="N6" s="25"/>
      <c r="O6" s="25"/>
    </row>
    <row r="7" spans="1:15" ht="19.5" customHeight="1">
      <c r="A7" s="25"/>
      <c r="B7" s="572"/>
      <c r="C7" s="45" t="s">
        <v>130</v>
      </c>
      <c r="D7" s="73">
        <f>1630+E7+F7</f>
        <v>1640</v>
      </c>
      <c r="E7" s="73">
        <v>10</v>
      </c>
      <c r="F7" s="73">
        <v>0</v>
      </c>
      <c r="G7" s="536">
        <f>(D7-E7-F7)*0.95</f>
        <v>1548.5</v>
      </c>
      <c r="H7" s="532">
        <v>690</v>
      </c>
      <c r="I7" s="75">
        <v>10</v>
      </c>
      <c r="J7" s="75">
        <v>0</v>
      </c>
      <c r="K7" s="75">
        <f t="shared" si="0"/>
        <v>680</v>
      </c>
      <c r="L7" s="25"/>
      <c r="M7" s="25"/>
      <c r="N7" s="25"/>
      <c r="O7" s="25"/>
    </row>
    <row r="8" spans="1:15" ht="19.5" customHeight="1">
      <c r="A8" s="25"/>
      <c r="B8" s="572"/>
      <c r="C8" s="45" t="s">
        <v>131</v>
      </c>
      <c r="D8" s="73">
        <f>1613+E8+F8</f>
        <v>1665</v>
      </c>
      <c r="E8" s="73">
        <v>3</v>
      </c>
      <c r="F8" s="73">
        <v>49</v>
      </c>
      <c r="G8" s="536">
        <f>(D8-E8-F8)*0.95</f>
        <v>1532.35</v>
      </c>
      <c r="H8" s="532">
        <v>504</v>
      </c>
      <c r="I8" s="75">
        <v>3</v>
      </c>
      <c r="J8" s="75">
        <v>49</v>
      </c>
      <c r="K8" s="75">
        <f t="shared" si="0"/>
        <v>452</v>
      </c>
      <c r="L8" s="25"/>
      <c r="M8" s="25"/>
      <c r="N8" s="25"/>
      <c r="O8" s="25"/>
    </row>
    <row r="9" spans="1:15" ht="19.5" customHeight="1">
      <c r="A9" s="25"/>
      <c r="B9" s="572"/>
      <c r="C9" s="45" t="s">
        <v>132</v>
      </c>
      <c r="D9" s="73">
        <f>119+E9+F9</f>
        <v>120</v>
      </c>
      <c r="E9" s="73">
        <v>0</v>
      </c>
      <c r="F9" s="73">
        <v>1</v>
      </c>
      <c r="G9" s="536">
        <f>(D9-E9-F9)*0.95</f>
        <v>113.05</v>
      </c>
      <c r="H9" s="532">
        <v>42</v>
      </c>
      <c r="I9" s="75">
        <v>0</v>
      </c>
      <c r="J9" s="75">
        <v>1</v>
      </c>
      <c r="K9" s="75">
        <f t="shared" si="0"/>
        <v>41</v>
      </c>
      <c r="L9" s="25"/>
      <c r="M9" s="25"/>
      <c r="N9" s="25"/>
      <c r="O9" s="25"/>
    </row>
    <row r="10" spans="1:15" ht="19.5" customHeight="1" thickBot="1">
      <c r="A10" s="25"/>
      <c r="B10" s="569" t="s">
        <v>127</v>
      </c>
      <c r="C10" s="569"/>
      <c r="D10" s="85">
        <f aca="true" t="shared" si="1" ref="D10:K10">SUM(D5:D9)</f>
        <v>42096</v>
      </c>
      <c r="E10" s="85">
        <f t="shared" si="1"/>
        <v>326</v>
      </c>
      <c r="F10" s="85">
        <f t="shared" si="1"/>
        <v>50</v>
      </c>
      <c r="G10" s="537">
        <f t="shared" si="1"/>
        <v>39634</v>
      </c>
      <c r="H10" s="533">
        <f t="shared" si="1"/>
        <v>13642</v>
      </c>
      <c r="I10" s="85">
        <f t="shared" si="1"/>
        <v>267</v>
      </c>
      <c r="J10" s="85">
        <f t="shared" si="1"/>
        <v>50</v>
      </c>
      <c r="K10" s="85">
        <f t="shared" si="1"/>
        <v>13325</v>
      </c>
      <c r="L10" s="25"/>
      <c r="M10" s="25"/>
      <c r="N10" s="25"/>
      <c r="O10" s="25"/>
    </row>
    <row r="11" spans="1:15" ht="19.5" customHeight="1">
      <c r="A11" s="25"/>
      <c r="B11" s="571" t="s">
        <v>2</v>
      </c>
      <c r="C11" s="74" t="s">
        <v>118</v>
      </c>
      <c r="D11" s="75">
        <v>14489</v>
      </c>
      <c r="E11" s="75">
        <v>0</v>
      </c>
      <c r="F11" s="75">
        <v>0</v>
      </c>
      <c r="G11" s="536">
        <f aca="true" t="shared" si="2" ref="G11:G21">(D11-E11-F11)*0.95</f>
        <v>13764.55</v>
      </c>
      <c r="H11" s="532">
        <v>4264</v>
      </c>
      <c r="I11" s="75">
        <v>0</v>
      </c>
      <c r="J11" s="75">
        <v>0</v>
      </c>
      <c r="K11" s="75">
        <f t="shared" si="0"/>
        <v>4264</v>
      </c>
      <c r="L11" s="25"/>
      <c r="M11" s="25"/>
      <c r="N11" s="25"/>
      <c r="O11" s="25"/>
    </row>
    <row r="12" spans="1:15" ht="19.5" customHeight="1">
      <c r="A12" s="25"/>
      <c r="B12" s="572"/>
      <c r="C12" s="45" t="s">
        <v>119</v>
      </c>
      <c r="D12" s="73">
        <v>2234</v>
      </c>
      <c r="E12" s="73">
        <v>0</v>
      </c>
      <c r="F12" s="73">
        <v>0</v>
      </c>
      <c r="G12" s="536">
        <f t="shared" si="2"/>
        <v>2122.2999999999997</v>
      </c>
      <c r="H12" s="532">
        <v>566</v>
      </c>
      <c r="I12" s="75">
        <v>0</v>
      </c>
      <c r="J12" s="75">
        <v>0</v>
      </c>
      <c r="K12" s="75">
        <f t="shared" si="0"/>
        <v>566</v>
      </c>
      <c r="L12" s="25"/>
      <c r="M12" s="25"/>
      <c r="N12" s="25"/>
      <c r="O12" s="25"/>
    </row>
    <row r="13" spans="1:15" ht="19.5" customHeight="1">
      <c r="A13" s="25"/>
      <c r="B13" s="572"/>
      <c r="C13" s="45" t="s">
        <v>130</v>
      </c>
      <c r="D13" s="73">
        <v>82</v>
      </c>
      <c r="E13" s="73">
        <v>0</v>
      </c>
      <c r="F13" s="73">
        <v>0</v>
      </c>
      <c r="G13" s="536">
        <f t="shared" si="2"/>
        <v>77.89999999999999</v>
      </c>
      <c r="H13" s="532">
        <v>34</v>
      </c>
      <c r="I13" s="75">
        <v>0</v>
      </c>
      <c r="J13" s="75">
        <v>0</v>
      </c>
      <c r="K13" s="75">
        <f t="shared" si="0"/>
        <v>34</v>
      </c>
      <c r="L13" s="25"/>
      <c r="M13" s="25"/>
      <c r="N13" s="25"/>
      <c r="O13" s="25"/>
    </row>
    <row r="14" spans="1:15" ht="19.5" customHeight="1">
      <c r="A14" s="25"/>
      <c r="B14" s="572"/>
      <c r="C14" s="45" t="s">
        <v>131</v>
      </c>
      <c r="D14" s="73">
        <v>6</v>
      </c>
      <c r="E14" s="73">
        <v>0</v>
      </c>
      <c r="F14" s="73">
        <v>0</v>
      </c>
      <c r="G14" s="536">
        <f t="shared" si="2"/>
        <v>5.699999999999999</v>
      </c>
      <c r="H14" s="532">
        <v>5</v>
      </c>
      <c r="I14" s="75">
        <v>0</v>
      </c>
      <c r="J14" s="75">
        <v>0</v>
      </c>
      <c r="K14" s="75">
        <f t="shared" si="0"/>
        <v>5</v>
      </c>
      <c r="L14" s="25"/>
      <c r="M14" s="25"/>
      <c r="N14" s="25"/>
      <c r="O14" s="25"/>
    </row>
    <row r="15" spans="1:15" ht="19.5" customHeight="1">
      <c r="A15" s="25"/>
      <c r="B15" s="572"/>
      <c r="C15" s="45" t="s">
        <v>132</v>
      </c>
      <c r="D15" s="73">
        <v>1</v>
      </c>
      <c r="E15" s="73">
        <v>0</v>
      </c>
      <c r="F15" s="73">
        <v>0</v>
      </c>
      <c r="G15" s="536">
        <f t="shared" si="2"/>
        <v>0.95</v>
      </c>
      <c r="H15" s="532">
        <v>1</v>
      </c>
      <c r="I15" s="75">
        <v>0</v>
      </c>
      <c r="J15" s="75">
        <v>0</v>
      </c>
      <c r="K15" s="75">
        <f t="shared" si="0"/>
        <v>1</v>
      </c>
      <c r="L15" s="25"/>
      <c r="M15" s="25"/>
      <c r="N15" s="25"/>
      <c r="O15" s="25"/>
    </row>
    <row r="16" spans="1:15" ht="19.5" customHeight="1" thickBot="1">
      <c r="A16" s="25"/>
      <c r="B16" s="569" t="s">
        <v>127</v>
      </c>
      <c r="C16" s="569"/>
      <c r="D16" s="85">
        <f>SUM(D11:D15)</f>
        <v>16812</v>
      </c>
      <c r="E16" s="85">
        <f>SUM(E11:E15)</f>
        <v>0</v>
      </c>
      <c r="F16" s="85">
        <f>SUM(F11:F15)</f>
        <v>0</v>
      </c>
      <c r="G16" s="537">
        <f t="shared" si="2"/>
        <v>15971.4</v>
      </c>
      <c r="H16" s="533">
        <f>SUM(H11:H15)</f>
        <v>4870</v>
      </c>
      <c r="I16" s="85">
        <f>SUM(I11:I15)</f>
        <v>0</v>
      </c>
      <c r="J16" s="85">
        <f>SUM(J11:J15)</f>
        <v>0</v>
      </c>
      <c r="K16" s="85">
        <f>SUM(K11:K15)</f>
        <v>4870</v>
      </c>
      <c r="L16" s="25"/>
      <c r="M16" s="25"/>
      <c r="N16" s="25"/>
      <c r="O16" s="25"/>
    </row>
    <row r="17" spans="1:15" ht="19.5" customHeight="1">
      <c r="A17" s="25"/>
      <c r="B17" s="572" t="s">
        <v>124</v>
      </c>
      <c r="C17" s="45" t="s">
        <v>118</v>
      </c>
      <c r="D17" s="73">
        <v>22611</v>
      </c>
      <c r="E17" s="73">
        <v>0</v>
      </c>
      <c r="F17" s="73">
        <v>0</v>
      </c>
      <c r="G17" s="536">
        <f t="shared" si="2"/>
        <v>21480.45</v>
      </c>
      <c r="H17" s="532">
        <v>13371</v>
      </c>
      <c r="I17" s="75">
        <v>0</v>
      </c>
      <c r="J17" s="75">
        <v>0</v>
      </c>
      <c r="K17" s="75">
        <f t="shared" si="0"/>
        <v>13371</v>
      </c>
      <c r="L17" s="25"/>
      <c r="M17" s="25"/>
      <c r="N17" s="25"/>
      <c r="O17" s="25"/>
    </row>
    <row r="18" spans="1:15" ht="19.5" customHeight="1">
      <c r="A18" s="25"/>
      <c r="B18" s="572"/>
      <c r="C18" s="45" t="s">
        <v>119</v>
      </c>
      <c r="D18" s="73">
        <v>564</v>
      </c>
      <c r="E18" s="73">
        <v>0</v>
      </c>
      <c r="F18" s="73">
        <v>0</v>
      </c>
      <c r="G18" s="536">
        <f t="shared" si="2"/>
        <v>535.8</v>
      </c>
      <c r="H18" s="532">
        <v>315</v>
      </c>
      <c r="I18" s="75">
        <v>0</v>
      </c>
      <c r="J18" s="75">
        <v>0</v>
      </c>
      <c r="K18" s="75">
        <f t="shared" si="0"/>
        <v>315</v>
      </c>
      <c r="L18" s="25"/>
      <c r="M18" s="25"/>
      <c r="N18" s="25"/>
      <c r="O18" s="25"/>
    </row>
    <row r="19" spans="1:15" ht="19.5" customHeight="1">
      <c r="A19" s="25"/>
      <c r="B19" s="572"/>
      <c r="C19" s="45" t="s">
        <v>130</v>
      </c>
      <c r="D19" s="73">
        <v>32</v>
      </c>
      <c r="E19" s="73">
        <v>0</v>
      </c>
      <c r="F19" s="73">
        <v>0</v>
      </c>
      <c r="G19" s="536">
        <f t="shared" si="2"/>
        <v>30.4</v>
      </c>
      <c r="H19" s="532">
        <v>16</v>
      </c>
      <c r="I19" s="75">
        <v>0</v>
      </c>
      <c r="J19" s="75">
        <v>0</v>
      </c>
      <c r="K19" s="75">
        <f t="shared" si="0"/>
        <v>16</v>
      </c>
      <c r="L19" s="25"/>
      <c r="M19" s="25"/>
      <c r="N19" s="25"/>
      <c r="O19" s="25"/>
    </row>
    <row r="20" spans="1:15" ht="19.5" customHeight="1">
      <c r="A20" s="25"/>
      <c r="B20" s="572"/>
      <c r="C20" s="45" t="s">
        <v>131</v>
      </c>
      <c r="D20" s="73">
        <v>0</v>
      </c>
      <c r="E20" s="73">
        <v>0</v>
      </c>
      <c r="F20" s="73">
        <v>0</v>
      </c>
      <c r="G20" s="536">
        <f t="shared" si="2"/>
        <v>0</v>
      </c>
      <c r="H20" s="532">
        <v>0</v>
      </c>
      <c r="I20" s="75">
        <v>0</v>
      </c>
      <c r="J20" s="75">
        <v>0</v>
      </c>
      <c r="K20" s="75">
        <f t="shared" si="0"/>
        <v>0</v>
      </c>
      <c r="L20" s="25"/>
      <c r="M20" s="25"/>
      <c r="N20" s="25"/>
      <c r="O20" s="25"/>
    </row>
    <row r="21" spans="1:15" ht="19.5" customHeight="1">
      <c r="A21" s="25"/>
      <c r="B21" s="572"/>
      <c r="C21" s="45" t="s">
        <v>132</v>
      </c>
      <c r="D21" s="73">
        <v>0</v>
      </c>
      <c r="E21" s="73">
        <v>0</v>
      </c>
      <c r="F21" s="73">
        <v>0</v>
      </c>
      <c r="G21" s="536">
        <f t="shared" si="2"/>
        <v>0</v>
      </c>
      <c r="H21" s="532">
        <v>0</v>
      </c>
      <c r="I21" s="75">
        <v>0</v>
      </c>
      <c r="J21" s="75">
        <v>0</v>
      </c>
      <c r="K21" s="75">
        <f t="shared" si="0"/>
        <v>0</v>
      </c>
      <c r="L21" s="25"/>
      <c r="M21" s="25"/>
      <c r="N21" s="25"/>
      <c r="O21" s="25"/>
    </row>
    <row r="22" spans="1:15" ht="19.5" customHeight="1" thickBot="1">
      <c r="A22" s="25"/>
      <c r="B22" s="569" t="s">
        <v>127</v>
      </c>
      <c r="C22" s="569"/>
      <c r="D22" s="85">
        <f aca="true" t="shared" si="3" ref="D22:K22">SUM(D17:D21)</f>
        <v>23207</v>
      </c>
      <c r="E22" s="85">
        <f t="shared" si="3"/>
        <v>0</v>
      </c>
      <c r="F22" s="85">
        <f t="shared" si="3"/>
        <v>0</v>
      </c>
      <c r="G22" s="537">
        <f t="shared" si="3"/>
        <v>22046.65</v>
      </c>
      <c r="H22" s="533">
        <f t="shared" si="3"/>
        <v>13702</v>
      </c>
      <c r="I22" s="85">
        <f t="shared" si="3"/>
        <v>0</v>
      </c>
      <c r="J22" s="85">
        <f t="shared" si="3"/>
        <v>0</v>
      </c>
      <c r="K22" s="85">
        <f t="shared" si="3"/>
        <v>13702</v>
      </c>
      <c r="L22" s="25"/>
      <c r="M22" s="25"/>
      <c r="N22" s="25"/>
      <c r="O22" s="25"/>
    </row>
    <row r="23" spans="1:15" ht="19.5" customHeight="1">
      <c r="A23" s="25"/>
      <c r="B23" s="580" t="s">
        <v>128</v>
      </c>
      <c r="C23" s="580"/>
      <c r="D23" s="89">
        <f aca="true" t="shared" si="4" ref="D23:K23">D10+D16+D22</f>
        <v>82115</v>
      </c>
      <c r="E23" s="89">
        <f t="shared" si="4"/>
        <v>326</v>
      </c>
      <c r="F23" s="89">
        <f t="shared" si="4"/>
        <v>50</v>
      </c>
      <c r="G23" s="538">
        <f t="shared" si="4"/>
        <v>77652.05</v>
      </c>
      <c r="H23" s="534">
        <f t="shared" si="4"/>
        <v>32214</v>
      </c>
      <c r="I23" s="89">
        <f t="shared" si="4"/>
        <v>267</v>
      </c>
      <c r="J23" s="89">
        <f t="shared" si="4"/>
        <v>50</v>
      </c>
      <c r="K23" s="89">
        <f t="shared" si="4"/>
        <v>31897</v>
      </c>
      <c r="L23" s="25"/>
      <c r="M23" s="25"/>
      <c r="N23" s="25"/>
      <c r="O23" s="25"/>
    </row>
    <row r="24" spans="1:17" ht="12" customHeight="1">
      <c r="A24" s="25"/>
      <c r="B24" s="48" t="s">
        <v>129</v>
      </c>
      <c r="C24" s="579" t="s">
        <v>279</v>
      </c>
      <c r="D24" s="579"/>
      <c r="E24" s="579"/>
      <c r="F24" s="579"/>
      <c r="G24" s="579"/>
      <c r="H24" s="579"/>
      <c r="I24" s="579"/>
      <c r="J24" s="579"/>
      <c r="K24" s="579"/>
      <c r="L24" s="25"/>
      <c r="M24" s="25"/>
      <c r="N24" s="25"/>
      <c r="O24" s="25"/>
      <c r="P24" s="25"/>
      <c r="Q24" s="25"/>
    </row>
    <row r="25" spans="1:15" ht="13.5" customHeight="1">
      <c r="A25" s="25"/>
      <c r="B25" s="64"/>
      <c r="C25" s="575" t="s">
        <v>280</v>
      </c>
      <c r="D25" s="575"/>
      <c r="E25" s="575"/>
      <c r="F25" s="575"/>
      <c r="G25" s="575"/>
      <c r="H25" s="575"/>
      <c r="I25" s="575"/>
      <c r="J25" s="575"/>
      <c r="K25" s="575"/>
      <c r="L25" s="561"/>
      <c r="M25" s="25"/>
      <c r="N25" s="25"/>
      <c r="O25" s="25"/>
    </row>
    <row r="26" spans="1:15" ht="22.5" customHeight="1">
      <c r="A26" s="25"/>
      <c r="B26" s="64"/>
      <c r="C26" s="574" t="s">
        <v>328</v>
      </c>
      <c r="D26" s="574"/>
      <c r="E26" s="574"/>
      <c r="F26" s="574"/>
      <c r="G26" s="574"/>
      <c r="H26" s="574"/>
      <c r="I26" s="574"/>
      <c r="J26" s="574"/>
      <c r="K26" s="574"/>
      <c r="L26" s="25"/>
      <c r="M26" s="25"/>
      <c r="N26" s="25"/>
      <c r="O26" s="25"/>
    </row>
    <row r="27" spans="2:17" ht="12.75" customHeight="1">
      <c r="B27" s="64" t="s">
        <v>173</v>
      </c>
      <c r="C27" s="574" t="str">
        <f>'Existing Tier 1'!C29:N29</f>
        <v>Detail may not add to totals due to independent rounding.</v>
      </c>
      <c r="D27" s="574"/>
      <c r="E27" s="574"/>
      <c r="F27" s="574"/>
      <c r="G27" s="574"/>
      <c r="H27" s="574"/>
      <c r="I27" s="574"/>
      <c r="J27" s="574"/>
      <c r="K27" s="574"/>
      <c r="L27" s="25"/>
      <c r="M27" s="25"/>
      <c r="N27" s="25"/>
      <c r="O27" s="25"/>
      <c r="P27" s="25"/>
      <c r="Q27" s="25"/>
    </row>
    <row r="28" spans="3:11" ht="23.25" customHeight="1">
      <c r="C28" s="574" t="s">
        <v>174</v>
      </c>
      <c r="D28" s="574"/>
      <c r="E28" s="574"/>
      <c r="F28" s="574"/>
      <c r="G28" s="574"/>
      <c r="H28" s="574"/>
      <c r="I28" s="574"/>
      <c r="J28" s="574"/>
      <c r="K28" s="574"/>
    </row>
    <row r="29" spans="3:11" ht="13.5" customHeight="1">
      <c r="C29" s="574" t="s">
        <v>261</v>
      </c>
      <c r="D29" s="574"/>
      <c r="E29" s="574"/>
      <c r="F29" s="574"/>
      <c r="G29" s="574"/>
      <c r="H29" s="574"/>
      <c r="I29" s="574"/>
      <c r="J29" s="574"/>
      <c r="K29" s="574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mergeCells count="18">
    <mergeCell ref="C29:K29"/>
    <mergeCell ref="B2:K2"/>
    <mergeCell ref="C24:K24"/>
    <mergeCell ref="B5:B9"/>
    <mergeCell ref="B11:B15"/>
    <mergeCell ref="B16:C16"/>
    <mergeCell ref="B22:C22"/>
    <mergeCell ref="B17:B21"/>
    <mergeCell ref="B23:C23"/>
    <mergeCell ref="B10:C10"/>
    <mergeCell ref="B1:K1"/>
    <mergeCell ref="C28:K28"/>
    <mergeCell ref="C27:K27"/>
    <mergeCell ref="C3:G3"/>
    <mergeCell ref="B3:B4"/>
    <mergeCell ref="H3:K3"/>
    <mergeCell ref="C26:K26"/>
    <mergeCell ref="C25:L25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9">
      <selection activeCell="A29" sqref="A1:P29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7.57421875" style="0" customWidth="1"/>
    <col min="5" max="6" width="7.7109375" style="0" customWidth="1"/>
    <col min="7" max="7" width="7.28125" style="0" customWidth="1"/>
    <col min="8" max="8" width="7.7109375" style="0" customWidth="1"/>
    <col min="9" max="9" width="8.00390625" style="0" customWidth="1"/>
    <col min="10" max="10" width="8.28125" style="0" customWidth="1"/>
    <col min="11" max="11" width="7.8515625" style="0" customWidth="1"/>
    <col min="12" max="12" width="8.421875" style="0" customWidth="1"/>
    <col min="13" max="13" width="8.140625" style="0" customWidth="1"/>
    <col min="14" max="15" width="8.00390625" style="0" customWidth="1"/>
  </cols>
  <sheetData>
    <row r="1" spans="1:15" ht="26.25" customHeight="1">
      <c r="A1" s="25"/>
      <c r="B1" s="25"/>
      <c r="C1" s="25"/>
      <c r="D1" s="556" t="s">
        <v>300</v>
      </c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</row>
    <row r="2" spans="1:15" ht="30" customHeight="1">
      <c r="A2" s="25"/>
      <c r="B2" s="588" t="s">
        <v>206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</row>
    <row r="3" spans="1:15" ht="40.5" customHeight="1">
      <c r="A3" s="25"/>
      <c r="B3" s="552" t="s">
        <v>199</v>
      </c>
      <c r="C3" s="590" t="s">
        <v>200</v>
      </c>
      <c r="D3" s="593" t="s">
        <v>208</v>
      </c>
      <c r="E3" s="594"/>
      <c r="F3" s="595"/>
      <c r="G3" s="593" t="s">
        <v>189</v>
      </c>
      <c r="H3" s="594"/>
      <c r="I3" s="595"/>
      <c r="J3" s="593" t="s">
        <v>190</v>
      </c>
      <c r="K3" s="594"/>
      <c r="L3" s="595"/>
      <c r="M3" s="596" t="s">
        <v>187</v>
      </c>
      <c r="N3" s="594"/>
      <c r="O3" s="594"/>
    </row>
    <row r="4" spans="1:15" ht="27" customHeight="1" thickBot="1">
      <c r="A4" s="25"/>
      <c r="B4" s="589"/>
      <c r="C4" s="591"/>
      <c r="D4" s="107" t="s">
        <v>61</v>
      </c>
      <c r="E4" s="77" t="s">
        <v>62</v>
      </c>
      <c r="F4" s="513" t="s">
        <v>63</v>
      </c>
      <c r="G4" s="107" t="s">
        <v>61</v>
      </c>
      <c r="H4" s="77" t="s">
        <v>62</v>
      </c>
      <c r="I4" s="513" t="s">
        <v>63</v>
      </c>
      <c r="J4" s="107" t="s">
        <v>61</v>
      </c>
      <c r="K4" s="77" t="s">
        <v>62</v>
      </c>
      <c r="L4" s="513" t="s">
        <v>63</v>
      </c>
      <c r="M4" s="100" t="s">
        <v>61</v>
      </c>
      <c r="N4" s="77" t="s">
        <v>62</v>
      </c>
      <c r="O4" s="77" t="s">
        <v>63</v>
      </c>
    </row>
    <row r="5" spans="1:15" ht="13.5" customHeight="1">
      <c r="A5" s="25"/>
      <c r="B5" s="571" t="s">
        <v>0</v>
      </c>
      <c r="C5" s="105" t="s">
        <v>118</v>
      </c>
      <c r="D5" s="109">
        <f>'Existing Tier 1'!N4*0.5</f>
        <v>374.81499999999994</v>
      </c>
      <c r="E5" s="79">
        <f>'Existing Tier 2'!M5*0.5</f>
        <v>2677.475</v>
      </c>
      <c r="F5" s="514">
        <f>'Existing Tier 3'!K5*0.5</f>
        <v>4857.5</v>
      </c>
      <c r="G5" s="109">
        <f>'Existing Tier 1'!N4</f>
        <v>749.6299999999999</v>
      </c>
      <c r="H5" s="79">
        <f>'Existing Tier 2'!M5</f>
        <v>5354.95</v>
      </c>
      <c r="I5" s="514">
        <f>'Existing Tier 3'!K5</f>
        <v>9715</v>
      </c>
      <c r="J5" s="109">
        <f>G5</f>
        <v>749.6299999999999</v>
      </c>
      <c r="K5" s="79">
        <f>H5</f>
        <v>5354.95</v>
      </c>
      <c r="L5" s="514">
        <f>I5</f>
        <v>9715</v>
      </c>
      <c r="M5" s="101">
        <f>(D5+G5+J5)/2.5</f>
        <v>749.6299999999999</v>
      </c>
      <c r="N5" s="79">
        <f>(E5+H5+K5)/2.5</f>
        <v>5354.95</v>
      </c>
      <c r="O5" s="79">
        <f>(F5+I5+L5)/2.5</f>
        <v>9715</v>
      </c>
    </row>
    <row r="6" spans="1:15" ht="13.5" customHeight="1">
      <c r="A6" s="25"/>
      <c r="B6" s="572"/>
      <c r="C6" s="106" t="s">
        <v>119</v>
      </c>
      <c r="D6" s="111">
        <f>'Existing Tier 1'!N5*0.5</f>
        <v>147.26</v>
      </c>
      <c r="E6" s="71">
        <f>'Existing Tier 2'!M6*0.5</f>
        <v>941.225</v>
      </c>
      <c r="F6" s="514">
        <f>'Existing Tier 3'!K6*0.5</f>
        <v>1218.5</v>
      </c>
      <c r="G6" s="111">
        <f>'Existing Tier 1'!N5</f>
        <v>294.52</v>
      </c>
      <c r="H6" s="71">
        <f>'Existing Tier 2'!M6</f>
        <v>1882.45</v>
      </c>
      <c r="I6" s="514">
        <f>'Existing Tier 3'!K6</f>
        <v>2437</v>
      </c>
      <c r="J6" s="111">
        <f aca="true" t="shared" si="0" ref="J6:L23">G6</f>
        <v>294.52</v>
      </c>
      <c r="K6" s="71">
        <f t="shared" si="0"/>
        <v>1882.45</v>
      </c>
      <c r="L6" s="516">
        <f t="shared" si="0"/>
        <v>2437</v>
      </c>
      <c r="M6" s="102">
        <f aca="true" t="shared" si="1" ref="M6:O23">(D6+G6+J6)/2.5</f>
        <v>294.52</v>
      </c>
      <c r="N6" s="71">
        <f t="shared" si="1"/>
        <v>1882.45</v>
      </c>
      <c r="O6" s="71">
        <f t="shared" si="1"/>
        <v>2437</v>
      </c>
    </row>
    <row r="7" spans="1:15" ht="13.5" customHeight="1">
      <c r="A7" s="25"/>
      <c r="B7" s="572"/>
      <c r="C7" s="106" t="s">
        <v>130</v>
      </c>
      <c r="D7" s="111">
        <f>'Existing Tier 1'!N6*0.5</f>
        <v>22.155</v>
      </c>
      <c r="E7" s="71">
        <f>'Existing Tier 2'!M7*0.5</f>
        <v>290.425</v>
      </c>
      <c r="F7" s="514">
        <f>'Existing Tier 3'!K7*0.5</f>
        <v>340</v>
      </c>
      <c r="G7" s="111">
        <f>'Existing Tier 1'!N6</f>
        <v>44.31</v>
      </c>
      <c r="H7" s="71">
        <f>'Existing Tier 2'!M7</f>
        <v>580.85</v>
      </c>
      <c r="I7" s="514">
        <f>'Existing Tier 3'!K7</f>
        <v>680</v>
      </c>
      <c r="J7" s="111">
        <f t="shared" si="0"/>
        <v>44.31</v>
      </c>
      <c r="K7" s="71">
        <f t="shared" si="0"/>
        <v>580.85</v>
      </c>
      <c r="L7" s="516">
        <f t="shared" si="0"/>
        <v>680</v>
      </c>
      <c r="M7" s="102">
        <f t="shared" si="1"/>
        <v>44.31</v>
      </c>
      <c r="N7" s="71">
        <f t="shared" si="1"/>
        <v>580.85</v>
      </c>
      <c r="O7" s="71">
        <f t="shared" si="1"/>
        <v>680</v>
      </c>
    </row>
    <row r="8" spans="1:15" ht="13.5" customHeight="1">
      <c r="A8" s="25"/>
      <c r="B8" s="572"/>
      <c r="C8" s="106" t="s">
        <v>131</v>
      </c>
      <c r="D8" s="111">
        <f>'Existing Tier 1'!N7*0.5</f>
        <v>13.32</v>
      </c>
      <c r="E8" s="71">
        <f>'Existing Tier 2'!M8*0.5</f>
        <v>277.675</v>
      </c>
      <c r="F8" s="514">
        <f>'Existing Tier 3'!K8*0.5</f>
        <v>226</v>
      </c>
      <c r="G8" s="111">
        <f>'Existing Tier 1'!N7</f>
        <v>26.64</v>
      </c>
      <c r="H8" s="71">
        <f>'Existing Tier 2'!M8</f>
        <v>555.35</v>
      </c>
      <c r="I8" s="514">
        <f>'Existing Tier 3'!K8</f>
        <v>452</v>
      </c>
      <c r="J8" s="111">
        <f t="shared" si="0"/>
        <v>26.64</v>
      </c>
      <c r="K8" s="71">
        <f t="shared" si="0"/>
        <v>555.35</v>
      </c>
      <c r="L8" s="516">
        <f t="shared" si="0"/>
        <v>452</v>
      </c>
      <c r="M8" s="102">
        <f t="shared" si="1"/>
        <v>26.639999999999997</v>
      </c>
      <c r="N8" s="71">
        <f t="shared" si="1"/>
        <v>555.35</v>
      </c>
      <c r="O8" s="71">
        <f t="shared" si="1"/>
        <v>452</v>
      </c>
    </row>
    <row r="9" spans="1:15" ht="13.5" customHeight="1">
      <c r="A9" s="25"/>
      <c r="B9" s="572"/>
      <c r="C9" s="106" t="s">
        <v>132</v>
      </c>
      <c r="D9" s="111">
        <f>'Existing Tier 1'!N8*0.5</f>
        <v>3.8699999999999997</v>
      </c>
      <c r="E9" s="71">
        <f>'Existing Tier 2'!M9*0.5</f>
        <v>31.3</v>
      </c>
      <c r="F9" s="514">
        <f>'Existing Tier 3'!K9*0.5</f>
        <v>20.5</v>
      </c>
      <c r="G9" s="111">
        <f>'Existing Tier 1'!N8</f>
        <v>7.739999999999999</v>
      </c>
      <c r="H9" s="71">
        <f>'Existing Tier 2'!M9</f>
        <v>62.6</v>
      </c>
      <c r="I9" s="514">
        <f>'Existing Tier 3'!K9</f>
        <v>41</v>
      </c>
      <c r="J9" s="111">
        <f t="shared" si="0"/>
        <v>7.739999999999999</v>
      </c>
      <c r="K9" s="71">
        <f t="shared" si="0"/>
        <v>62.6</v>
      </c>
      <c r="L9" s="516">
        <f t="shared" si="0"/>
        <v>41</v>
      </c>
      <c r="M9" s="102">
        <f t="shared" si="1"/>
        <v>7.739999999999999</v>
      </c>
      <c r="N9" s="71">
        <f t="shared" si="1"/>
        <v>62.6</v>
      </c>
      <c r="O9" s="71">
        <f t="shared" si="1"/>
        <v>41</v>
      </c>
    </row>
    <row r="10" spans="2:15" ht="13.5" customHeight="1" thickBot="1">
      <c r="B10" s="569" t="s">
        <v>127</v>
      </c>
      <c r="C10" s="592"/>
      <c r="D10" s="113">
        <f>'Existing Tier 1'!N9*0.5</f>
        <v>561.42</v>
      </c>
      <c r="E10" s="81">
        <f>'Existing Tier 2'!M10*0.5</f>
        <v>4218.1</v>
      </c>
      <c r="F10" s="515">
        <f>'Existing Tier 3'!K10*0.5</f>
        <v>6662.5</v>
      </c>
      <c r="G10" s="113">
        <f>'Existing Tier 1'!N9</f>
        <v>1122.84</v>
      </c>
      <c r="H10" s="81">
        <f>'Existing Tier 2'!M10</f>
        <v>8436.2</v>
      </c>
      <c r="I10" s="515">
        <f>'Existing Tier 3'!K10</f>
        <v>13325</v>
      </c>
      <c r="J10" s="113">
        <f t="shared" si="0"/>
        <v>1122.84</v>
      </c>
      <c r="K10" s="81">
        <f t="shared" si="0"/>
        <v>8436.2</v>
      </c>
      <c r="L10" s="515">
        <f t="shared" si="0"/>
        <v>13325</v>
      </c>
      <c r="M10" s="103">
        <f t="shared" si="1"/>
        <v>1122.8399999999997</v>
      </c>
      <c r="N10" s="81">
        <f t="shared" si="1"/>
        <v>8436.2</v>
      </c>
      <c r="O10" s="81">
        <f t="shared" si="1"/>
        <v>13325</v>
      </c>
    </row>
    <row r="11" spans="2:15" ht="13.5" customHeight="1">
      <c r="B11" s="571" t="s">
        <v>2</v>
      </c>
      <c r="C11" s="105" t="s">
        <v>118</v>
      </c>
      <c r="D11" s="109">
        <f>'Existing Tier 1'!N10*0.5</f>
        <v>105.695</v>
      </c>
      <c r="E11" s="79">
        <f>'Existing Tier 2'!M11*0.5</f>
        <v>1164.325</v>
      </c>
      <c r="F11" s="514">
        <f>'Existing Tier 3'!K11*0.5</f>
        <v>2132</v>
      </c>
      <c r="G11" s="109">
        <f>'Existing Tier 1'!N10</f>
        <v>211.39</v>
      </c>
      <c r="H11" s="79">
        <f>'Existing Tier 2'!M11</f>
        <v>2328.65</v>
      </c>
      <c r="I11" s="514">
        <f>'Existing Tier 3'!K11</f>
        <v>4264</v>
      </c>
      <c r="J11" s="109">
        <f t="shared" si="0"/>
        <v>211.39</v>
      </c>
      <c r="K11" s="79">
        <f t="shared" si="0"/>
        <v>2328.65</v>
      </c>
      <c r="L11" s="514">
        <f t="shared" si="0"/>
        <v>4264</v>
      </c>
      <c r="M11" s="101">
        <f t="shared" si="1"/>
        <v>211.38999999999996</v>
      </c>
      <c r="N11" s="79">
        <f t="shared" si="1"/>
        <v>2328.65</v>
      </c>
      <c r="O11" s="79">
        <f t="shared" si="1"/>
        <v>4264</v>
      </c>
    </row>
    <row r="12" spans="2:15" ht="13.5" customHeight="1">
      <c r="B12" s="572"/>
      <c r="C12" s="106" t="s">
        <v>119</v>
      </c>
      <c r="D12" s="111">
        <f>'Existing Tier 1'!N11*0.5</f>
        <v>18.529999999999998</v>
      </c>
      <c r="E12" s="71">
        <f>'Existing Tier 2'!M12*0.5</f>
        <v>171.775</v>
      </c>
      <c r="F12" s="514">
        <f>'Existing Tier 3'!K12*0.5</f>
        <v>283</v>
      </c>
      <c r="G12" s="111">
        <f>'Existing Tier 1'!N11</f>
        <v>37.059999999999995</v>
      </c>
      <c r="H12" s="71">
        <f>'Existing Tier 2'!M12</f>
        <v>343.55</v>
      </c>
      <c r="I12" s="514">
        <f>'Existing Tier 3'!K12</f>
        <v>566</v>
      </c>
      <c r="J12" s="111">
        <f t="shared" si="0"/>
        <v>37.059999999999995</v>
      </c>
      <c r="K12" s="71">
        <f t="shared" si="0"/>
        <v>343.55</v>
      </c>
      <c r="L12" s="516">
        <f t="shared" si="0"/>
        <v>566</v>
      </c>
      <c r="M12" s="102">
        <f t="shared" si="1"/>
        <v>37.05999999999999</v>
      </c>
      <c r="N12" s="71">
        <f t="shared" si="1"/>
        <v>343.55</v>
      </c>
      <c r="O12" s="71">
        <f t="shared" si="1"/>
        <v>566</v>
      </c>
    </row>
    <row r="13" spans="2:15" ht="13.5" customHeight="1">
      <c r="B13" s="572"/>
      <c r="C13" s="106" t="s">
        <v>130</v>
      </c>
      <c r="D13" s="111">
        <f>'Existing Tier 1'!N12*0.5</f>
        <v>1.035</v>
      </c>
      <c r="E13" s="71">
        <f>'Existing Tier 2'!M13*0.5</f>
        <v>6.550000000000001</v>
      </c>
      <c r="F13" s="514">
        <f>'Existing Tier 3'!K13*0.5</f>
        <v>17</v>
      </c>
      <c r="G13" s="111">
        <f>'Existing Tier 1'!N12</f>
        <v>2.07</v>
      </c>
      <c r="H13" s="71">
        <f>'Existing Tier 2'!M13</f>
        <v>13.100000000000001</v>
      </c>
      <c r="I13" s="514">
        <f>'Existing Tier 3'!K13</f>
        <v>34</v>
      </c>
      <c r="J13" s="111">
        <f t="shared" si="0"/>
        <v>2.07</v>
      </c>
      <c r="K13" s="71">
        <f t="shared" si="0"/>
        <v>13.100000000000001</v>
      </c>
      <c r="L13" s="516">
        <f t="shared" si="0"/>
        <v>34</v>
      </c>
      <c r="M13" s="102">
        <f t="shared" si="1"/>
        <v>2.0699999999999994</v>
      </c>
      <c r="N13" s="71">
        <f t="shared" si="1"/>
        <v>13.1</v>
      </c>
      <c r="O13" s="71">
        <f t="shared" si="1"/>
        <v>34</v>
      </c>
    </row>
    <row r="14" spans="2:15" ht="13.5" customHeight="1">
      <c r="B14" s="572"/>
      <c r="C14" s="106" t="s">
        <v>131</v>
      </c>
      <c r="D14" s="111">
        <f>'Existing Tier 1'!N13*0.5</f>
        <v>0.01</v>
      </c>
      <c r="E14" s="71">
        <f>'Existing Tier 2'!M14*0.5</f>
        <v>2.15</v>
      </c>
      <c r="F14" s="514">
        <f>'Existing Tier 3'!K14*0.5</f>
        <v>2.5</v>
      </c>
      <c r="G14" s="111">
        <f>'Existing Tier 1'!N13</f>
        <v>0.02</v>
      </c>
      <c r="H14" s="71">
        <f>'Existing Tier 2'!M14</f>
        <v>4.3</v>
      </c>
      <c r="I14" s="514">
        <f>'Existing Tier 3'!K14</f>
        <v>5</v>
      </c>
      <c r="J14" s="111">
        <f t="shared" si="0"/>
        <v>0.02</v>
      </c>
      <c r="K14" s="71">
        <f t="shared" si="0"/>
        <v>4.3</v>
      </c>
      <c r="L14" s="516">
        <f t="shared" si="0"/>
        <v>5</v>
      </c>
      <c r="M14" s="102">
        <f t="shared" si="1"/>
        <v>0.02</v>
      </c>
      <c r="N14" s="71">
        <f t="shared" si="1"/>
        <v>4.3</v>
      </c>
      <c r="O14" s="71">
        <f t="shared" si="1"/>
        <v>5</v>
      </c>
    </row>
    <row r="15" spans="2:15" ht="13.5" customHeight="1">
      <c r="B15" s="572"/>
      <c r="C15" s="106" t="s">
        <v>132</v>
      </c>
      <c r="D15" s="111">
        <f>'Existing Tier 1'!N14*0.5</f>
        <v>0</v>
      </c>
      <c r="E15" s="71">
        <f>'Existing Tier 2'!M15*0.5</f>
        <v>0.025</v>
      </c>
      <c r="F15" s="514">
        <f>'Existing Tier 3'!K15*0.5</f>
        <v>0.5</v>
      </c>
      <c r="G15" s="111">
        <f>'Existing Tier 1'!N14</f>
        <v>0</v>
      </c>
      <c r="H15" s="71">
        <f>'Existing Tier 2'!M15</f>
        <v>0.05</v>
      </c>
      <c r="I15" s="514">
        <f>'Existing Tier 3'!K15</f>
        <v>1</v>
      </c>
      <c r="J15" s="111">
        <f t="shared" si="0"/>
        <v>0</v>
      </c>
      <c r="K15" s="71">
        <f t="shared" si="0"/>
        <v>0.05</v>
      </c>
      <c r="L15" s="516">
        <f t="shared" si="0"/>
        <v>1</v>
      </c>
      <c r="M15" s="102">
        <f t="shared" si="1"/>
        <v>0</v>
      </c>
      <c r="N15" s="71">
        <f t="shared" si="1"/>
        <v>0.05</v>
      </c>
      <c r="O15" s="71">
        <f t="shared" si="1"/>
        <v>1</v>
      </c>
    </row>
    <row r="16" spans="2:15" ht="13.5" customHeight="1" thickBot="1">
      <c r="B16" s="569" t="s">
        <v>127</v>
      </c>
      <c r="C16" s="592"/>
      <c r="D16" s="113">
        <f>'Existing Tier 1'!N15*0.5</f>
        <v>125.27</v>
      </c>
      <c r="E16" s="81">
        <f>'Existing Tier 2'!M16*0.5</f>
        <v>1344.8250000000003</v>
      </c>
      <c r="F16" s="515">
        <f>'Existing Tier 3'!K16*0.5</f>
        <v>2435</v>
      </c>
      <c r="G16" s="113">
        <f>'Existing Tier 1'!N15</f>
        <v>250.54</v>
      </c>
      <c r="H16" s="81">
        <f>'Existing Tier 2'!M16</f>
        <v>2689.6500000000005</v>
      </c>
      <c r="I16" s="515">
        <f>'Existing Tier 3'!K16</f>
        <v>4870</v>
      </c>
      <c r="J16" s="113">
        <f t="shared" si="0"/>
        <v>250.54</v>
      </c>
      <c r="K16" s="81">
        <f t="shared" si="0"/>
        <v>2689.6500000000005</v>
      </c>
      <c r="L16" s="515">
        <f t="shared" si="0"/>
        <v>4870</v>
      </c>
      <c r="M16" s="103">
        <f t="shared" si="1"/>
        <v>250.54000000000002</v>
      </c>
      <c r="N16" s="81">
        <f t="shared" si="1"/>
        <v>2689.6500000000005</v>
      </c>
      <c r="O16" s="81">
        <f t="shared" si="1"/>
        <v>4870</v>
      </c>
    </row>
    <row r="17" spans="2:15" ht="13.5" customHeight="1">
      <c r="B17" s="571" t="s">
        <v>124</v>
      </c>
      <c r="C17" s="105" t="s">
        <v>118</v>
      </c>
      <c r="D17" s="109">
        <f>'Existing Tier 1'!N16*0.5</f>
        <v>370.945</v>
      </c>
      <c r="E17" s="79">
        <f>'Existing Tier 2'!M17*0.5</f>
        <v>2485.325</v>
      </c>
      <c r="F17" s="514">
        <f>'Existing Tier 3'!K17*0.5</f>
        <v>6685.5</v>
      </c>
      <c r="G17" s="109">
        <f>'Existing Tier 1'!N16</f>
        <v>741.89</v>
      </c>
      <c r="H17" s="79">
        <f>'Existing Tier 2'!M17</f>
        <v>4970.65</v>
      </c>
      <c r="I17" s="514">
        <f>'Existing Tier 3'!K17</f>
        <v>13371</v>
      </c>
      <c r="J17" s="109">
        <f t="shared" si="0"/>
        <v>741.89</v>
      </c>
      <c r="K17" s="79">
        <f t="shared" si="0"/>
        <v>4970.65</v>
      </c>
      <c r="L17" s="514">
        <f t="shared" si="0"/>
        <v>13371</v>
      </c>
      <c r="M17" s="101">
        <f t="shared" si="1"/>
        <v>741.89</v>
      </c>
      <c r="N17" s="79">
        <f t="shared" si="1"/>
        <v>4970.65</v>
      </c>
      <c r="O17" s="79">
        <f t="shared" si="1"/>
        <v>13371</v>
      </c>
    </row>
    <row r="18" spans="2:15" ht="13.5" customHeight="1">
      <c r="B18" s="572"/>
      <c r="C18" s="106" t="s">
        <v>119</v>
      </c>
      <c r="D18" s="111">
        <f>'Existing Tier 1'!N17*0.5</f>
        <v>9.085</v>
      </c>
      <c r="E18" s="71">
        <f>'Existing Tier 2'!M18*0.5</f>
        <v>69.5</v>
      </c>
      <c r="F18" s="514">
        <f>'Existing Tier 3'!K18*0.5</f>
        <v>157.5</v>
      </c>
      <c r="G18" s="111">
        <f>'Existing Tier 1'!N17</f>
        <v>18.17</v>
      </c>
      <c r="H18" s="71">
        <f>'Existing Tier 2'!M18</f>
        <v>139</v>
      </c>
      <c r="I18" s="514">
        <f>'Existing Tier 3'!K18</f>
        <v>315</v>
      </c>
      <c r="J18" s="111">
        <f t="shared" si="0"/>
        <v>18.17</v>
      </c>
      <c r="K18" s="71">
        <f t="shared" si="0"/>
        <v>139</v>
      </c>
      <c r="L18" s="516">
        <f t="shared" si="0"/>
        <v>315</v>
      </c>
      <c r="M18" s="102">
        <f t="shared" si="1"/>
        <v>18.17</v>
      </c>
      <c r="N18" s="71">
        <f t="shared" si="1"/>
        <v>139</v>
      </c>
      <c r="O18" s="71">
        <f t="shared" si="1"/>
        <v>315</v>
      </c>
    </row>
    <row r="19" spans="2:15" ht="13.5" customHeight="1">
      <c r="B19" s="572"/>
      <c r="C19" s="106" t="s">
        <v>130</v>
      </c>
      <c r="D19" s="111">
        <f>'Existing Tier 1'!N18*0.5</f>
        <v>1.115</v>
      </c>
      <c r="E19" s="71">
        <f>'Existing Tier 2'!M19*0.5</f>
        <v>5.225</v>
      </c>
      <c r="F19" s="514">
        <f>'Existing Tier 3'!K19*0.5</f>
        <v>8</v>
      </c>
      <c r="G19" s="111">
        <f>'Existing Tier 1'!N18</f>
        <v>2.23</v>
      </c>
      <c r="H19" s="71">
        <f>'Existing Tier 2'!M19</f>
        <v>10.45</v>
      </c>
      <c r="I19" s="514">
        <f>'Existing Tier 3'!K19</f>
        <v>16</v>
      </c>
      <c r="J19" s="111">
        <f t="shared" si="0"/>
        <v>2.23</v>
      </c>
      <c r="K19" s="71">
        <f t="shared" si="0"/>
        <v>10.45</v>
      </c>
      <c r="L19" s="516">
        <f t="shared" si="0"/>
        <v>16</v>
      </c>
      <c r="M19" s="102">
        <f t="shared" si="1"/>
        <v>2.2299999999999995</v>
      </c>
      <c r="N19" s="71">
        <f t="shared" si="1"/>
        <v>10.45</v>
      </c>
      <c r="O19" s="71">
        <f t="shared" si="1"/>
        <v>16</v>
      </c>
    </row>
    <row r="20" spans="2:15" ht="13.5" customHeight="1">
      <c r="B20" s="572"/>
      <c r="C20" s="106" t="s">
        <v>131</v>
      </c>
      <c r="D20" s="111">
        <f>'Existing Tier 1'!N19*0.5</f>
        <v>0.6250000000000001</v>
      </c>
      <c r="E20" s="71">
        <f>'Existing Tier 2'!M20*0.5</f>
        <v>2.975</v>
      </c>
      <c r="F20" s="514">
        <f>'Existing Tier 3'!K20*0.5</f>
        <v>0</v>
      </c>
      <c r="G20" s="111">
        <f>'Existing Tier 1'!N19</f>
        <v>1.2500000000000002</v>
      </c>
      <c r="H20" s="71">
        <f>'Existing Tier 2'!M20</f>
        <v>5.95</v>
      </c>
      <c r="I20" s="514">
        <f>'Existing Tier 3'!K20</f>
        <v>0</v>
      </c>
      <c r="J20" s="111">
        <f t="shared" si="0"/>
        <v>1.2500000000000002</v>
      </c>
      <c r="K20" s="71">
        <f t="shared" si="0"/>
        <v>5.95</v>
      </c>
      <c r="L20" s="516">
        <f t="shared" si="0"/>
        <v>0</v>
      </c>
      <c r="M20" s="102">
        <f t="shared" si="1"/>
        <v>1.2500000000000004</v>
      </c>
      <c r="N20" s="71">
        <f t="shared" si="1"/>
        <v>5.95</v>
      </c>
      <c r="O20" s="71">
        <f t="shared" si="1"/>
        <v>0</v>
      </c>
    </row>
    <row r="21" spans="2:15" ht="13.5" customHeight="1">
      <c r="B21" s="572"/>
      <c r="C21" s="106" t="s">
        <v>132</v>
      </c>
      <c r="D21" s="111">
        <f>'Existing Tier 1'!N20*0.5</f>
        <v>0</v>
      </c>
      <c r="E21" s="71">
        <f>'Existing Tier 2'!M21*0.5</f>
        <v>0</v>
      </c>
      <c r="F21" s="514">
        <f>'Existing Tier 3'!K21*0.5</f>
        <v>0</v>
      </c>
      <c r="G21" s="111">
        <f>'Existing Tier 1'!N20</f>
        <v>0</v>
      </c>
      <c r="H21" s="71">
        <f>'Existing Tier 2'!M21</f>
        <v>0</v>
      </c>
      <c r="I21" s="514">
        <f>'Existing Tier 3'!K21</f>
        <v>0</v>
      </c>
      <c r="J21" s="111">
        <f t="shared" si="0"/>
        <v>0</v>
      </c>
      <c r="K21" s="71">
        <f t="shared" si="0"/>
        <v>0</v>
      </c>
      <c r="L21" s="516">
        <f t="shared" si="0"/>
        <v>0</v>
      </c>
      <c r="M21" s="102">
        <f t="shared" si="1"/>
        <v>0</v>
      </c>
      <c r="N21" s="71">
        <f t="shared" si="1"/>
        <v>0</v>
      </c>
      <c r="O21" s="71">
        <f t="shared" si="1"/>
        <v>0</v>
      </c>
    </row>
    <row r="22" spans="2:15" ht="13.5" customHeight="1" thickBot="1">
      <c r="B22" s="569" t="s">
        <v>127</v>
      </c>
      <c r="C22" s="592"/>
      <c r="D22" s="113">
        <f>'Existing Tier 1'!N21*0.5</f>
        <v>381.77</v>
      </c>
      <c r="E22" s="81">
        <f>'Existing Tier 2'!M22*0.5</f>
        <v>2563.0249999999996</v>
      </c>
      <c r="F22" s="515">
        <f>'Existing Tier 3'!K22*0.5</f>
        <v>6851</v>
      </c>
      <c r="G22" s="113">
        <f>'Existing Tier 1'!N21</f>
        <v>763.54</v>
      </c>
      <c r="H22" s="81">
        <f>'Existing Tier 2'!M22</f>
        <v>5126.049999999999</v>
      </c>
      <c r="I22" s="515">
        <f>'Existing Tier 3'!K22</f>
        <v>13702</v>
      </c>
      <c r="J22" s="113">
        <f t="shared" si="0"/>
        <v>763.54</v>
      </c>
      <c r="K22" s="81">
        <f t="shared" si="0"/>
        <v>5126.049999999999</v>
      </c>
      <c r="L22" s="515">
        <f t="shared" si="0"/>
        <v>13702</v>
      </c>
      <c r="M22" s="103">
        <f t="shared" si="1"/>
        <v>763.54</v>
      </c>
      <c r="N22" s="81">
        <f t="shared" si="1"/>
        <v>5126.049999999999</v>
      </c>
      <c r="O22" s="81">
        <f t="shared" si="1"/>
        <v>13702</v>
      </c>
    </row>
    <row r="23" spans="2:15" ht="13.5" customHeight="1">
      <c r="B23" s="567" t="s">
        <v>207</v>
      </c>
      <c r="C23" s="581"/>
      <c r="D23" s="115">
        <f>'Existing Tier 1'!N22*0.5</f>
        <v>1068.46</v>
      </c>
      <c r="E23" s="82">
        <f>'Existing Tier 2'!M23*0.5</f>
        <v>8125.950000000001</v>
      </c>
      <c r="F23" s="517">
        <f>'Existing Tier 3'!K23*0.5</f>
        <v>15948.5</v>
      </c>
      <c r="G23" s="115">
        <f>'Existing Tier 1'!N22</f>
        <v>2136.92</v>
      </c>
      <c r="H23" s="82">
        <f>'Existing Tier 2'!M23</f>
        <v>16251.900000000001</v>
      </c>
      <c r="I23" s="517">
        <f>'Existing Tier 3'!K23</f>
        <v>31897</v>
      </c>
      <c r="J23" s="115">
        <f t="shared" si="0"/>
        <v>2136.92</v>
      </c>
      <c r="K23" s="82">
        <f t="shared" si="0"/>
        <v>16251.900000000001</v>
      </c>
      <c r="L23" s="517">
        <f t="shared" si="0"/>
        <v>31897</v>
      </c>
      <c r="M23" s="104">
        <f t="shared" si="1"/>
        <v>2136.92</v>
      </c>
      <c r="N23" s="82">
        <f t="shared" si="1"/>
        <v>16251.9</v>
      </c>
      <c r="O23" s="82">
        <f t="shared" si="1"/>
        <v>31897</v>
      </c>
    </row>
    <row r="24" spans="2:15" ht="13.5" customHeight="1">
      <c r="B24" s="64" t="s">
        <v>129</v>
      </c>
      <c r="C24" s="582" t="s">
        <v>315</v>
      </c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</row>
    <row r="25" spans="2:15" ht="12.75">
      <c r="B25" s="64" t="s">
        <v>173</v>
      </c>
      <c r="C25" s="566" t="str">
        <f>'Existing Tier 1'!C29:N29</f>
        <v>Detail may not add to totals due to independent rounding.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</row>
    <row r="26" spans="3:11" ht="12.75">
      <c r="C26" s="566" t="s">
        <v>316</v>
      </c>
      <c r="D26" s="587"/>
      <c r="E26" s="587"/>
      <c r="F26" s="587"/>
      <c r="G26" s="587"/>
      <c r="H26" s="587"/>
      <c r="I26" s="587"/>
      <c r="J26" s="587"/>
      <c r="K26" s="587"/>
    </row>
    <row r="27" spans="3:15" ht="12.75">
      <c r="C27" s="566" t="s">
        <v>329</v>
      </c>
      <c r="D27" s="587"/>
      <c r="E27" s="587"/>
      <c r="F27" s="587"/>
      <c r="G27" s="587"/>
      <c r="H27" s="587"/>
      <c r="I27" s="587"/>
      <c r="J27" s="587"/>
      <c r="K27" s="587"/>
      <c r="L27" s="561"/>
      <c r="M27" s="561"/>
      <c r="N27" s="561"/>
      <c r="O27" s="561"/>
    </row>
    <row r="28" spans="3:16" ht="26.25" customHeight="1">
      <c r="C28" s="584" t="s">
        <v>210</v>
      </c>
      <c r="D28" s="585"/>
      <c r="E28" s="585"/>
      <c r="F28" s="585"/>
      <c r="G28" s="585"/>
      <c r="H28" s="585"/>
      <c r="I28" s="585"/>
      <c r="J28" s="585"/>
      <c r="K28" s="585"/>
      <c r="L28" s="586"/>
      <c r="M28" s="586"/>
      <c r="N28" s="586"/>
      <c r="O28" s="586"/>
      <c r="P28" s="68"/>
    </row>
  </sheetData>
  <mergeCells count="20">
    <mergeCell ref="J3:L3"/>
    <mergeCell ref="M3:O3"/>
    <mergeCell ref="B5:B9"/>
    <mergeCell ref="B10:C10"/>
    <mergeCell ref="D3:F3"/>
    <mergeCell ref="G3:I3"/>
    <mergeCell ref="B11:B15"/>
    <mergeCell ref="B16:C16"/>
    <mergeCell ref="B17:B21"/>
    <mergeCell ref="B22:C22"/>
    <mergeCell ref="B23:C23"/>
    <mergeCell ref="C24:O24"/>
    <mergeCell ref="D1:O1"/>
    <mergeCell ref="C28:O28"/>
    <mergeCell ref="C25:O25"/>
    <mergeCell ref="C26:K26"/>
    <mergeCell ref="C27:O27"/>
    <mergeCell ref="B2:O2"/>
    <mergeCell ref="B3:B4"/>
    <mergeCell ref="C3:C4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abSelected="1" workbookViewId="0" topLeftCell="R21">
      <selection activeCell="W35" sqref="W35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7.8515625" style="0" customWidth="1"/>
    <col min="5" max="5" width="7.7109375" style="0" bestFit="1" customWidth="1"/>
    <col min="6" max="6" width="8.421875" style="0" bestFit="1" customWidth="1"/>
    <col min="7" max="7" width="7.57421875" style="0" customWidth="1"/>
    <col min="8" max="8" width="5.421875" style="0" bestFit="1" customWidth="1"/>
    <col min="9" max="9" width="7.421875" style="0" customWidth="1"/>
    <col min="10" max="10" width="5.28125" style="0" bestFit="1" customWidth="1"/>
    <col min="11" max="11" width="8.57421875" style="0" customWidth="1"/>
    <col min="12" max="12" width="8.7109375" style="0" customWidth="1"/>
    <col min="13" max="15" width="7.7109375" style="0" customWidth="1"/>
    <col min="16" max="17" width="7.00390625" style="0" customWidth="1"/>
    <col min="18" max="18" width="7.8515625" style="0" customWidth="1"/>
    <col min="19" max="19" width="5.28125" style="0" bestFit="1" customWidth="1"/>
    <col min="20" max="20" width="8.421875" style="0" customWidth="1"/>
    <col min="21" max="21" width="8.7109375" style="0" customWidth="1"/>
    <col min="22" max="22" width="8.28125" style="0" customWidth="1"/>
    <col min="23" max="23" width="9.28125" style="0" customWidth="1"/>
    <col min="24" max="24" width="6.00390625" style="0" customWidth="1"/>
    <col min="26" max="26" width="12.28125" style="0" customWidth="1"/>
  </cols>
  <sheetData>
    <row r="1" spans="1:28" ht="18.75" customHeight="1">
      <c r="A1" s="25"/>
      <c r="B1" s="556" t="s">
        <v>301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25"/>
      <c r="Y1" s="25"/>
      <c r="Z1" s="25"/>
      <c r="AA1" s="25"/>
      <c r="AB1" s="25"/>
    </row>
    <row r="2" spans="1:28" ht="21" customHeight="1">
      <c r="A2" s="25"/>
      <c r="B2" s="570" t="s">
        <v>152</v>
      </c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61"/>
      <c r="Y2" s="25"/>
      <c r="Z2" s="25"/>
      <c r="AA2" s="25"/>
      <c r="AB2" s="25"/>
    </row>
    <row r="3" spans="1:28" ht="18" customHeight="1">
      <c r="A3" s="25"/>
      <c r="B3" s="573" t="s">
        <v>116</v>
      </c>
      <c r="C3" s="600" t="s">
        <v>117</v>
      </c>
      <c r="D3" s="602" t="s">
        <v>133</v>
      </c>
      <c r="E3" s="431" t="s">
        <v>61</v>
      </c>
      <c r="F3" s="597" t="s">
        <v>62</v>
      </c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98"/>
      <c r="V3" s="597" t="s">
        <v>63</v>
      </c>
      <c r="W3" s="598"/>
      <c r="X3" s="61"/>
      <c r="Y3" s="25"/>
      <c r="Z3" s="25"/>
      <c r="AA3" s="25"/>
      <c r="AB3" s="25"/>
    </row>
    <row r="4" spans="1:26" ht="45.75" customHeight="1">
      <c r="A4" s="25"/>
      <c r="B4" s="599"/>
      <c r="C4" s="601"/>
      <c r="D4" s="603"/>
      <c r="E4" s="470" t="s">
        <v>151</v>
      </c>
      <c r="F4" s="432" t="s">
        <v>175</v>
      </c>
      <c r="G4" s="47" t="s">
        <v>176</v>
      </c>
      <c r="H4" s="47" t="s">
        <v>177</v>
      </c>
      <c r="I4" s="47" t="s">
        <v>178</v>
      </c>
      <c r="J4" s="47" t="s">
        <v>179</v>
      </c>
      <c r="K4" s="47" t="s">
        <v>180</v>
      </c>
      <c r="L4" s="47" t="s">
        <v>181</v>
      </c>
      <c r="M4" s="47" t="s">
        <v>182</v>
      </c>
      <c r="N4" s="47" t="s">
        <v>183</v>
      </c>
      <c r="O4" s="47" t="s">
        <v>184</v>
      </c>
      <c r="P4" s="47" t="s">
        <v>185</v>
      </c>
      <c r="Q4" s="47" t="s">
        <v>186</v>
      </c>
      <c r="R4" s="47" t="s">
        <v>219</v>
      </c>
      <c r="S4" s="47" t="s">
        <v>220</v>
      </c>
      <c r="T4" s="47" t="s">
        <v>223</v>
      </c>
      <c r="U4" s="151" t="s">
        <v>224</v>
      </c>
      <c r="V4" s="443" t="s">
        <v>221</v>
      </c>
      <c r="W4" s="151" t="s">
        <v>222</v>
      </c>
      <c r="X4" s="62"/>
      <c r="Y4" s="25"/>
      <c r="Z4" s="17" t="s">
        <v>147</v>
      </c>
    </row>
    <row r="5" spans="1:32" ht="19.5" customHeight="1">
      <c r="A5" s="25"/>
      <c r="B5" s="572" t="s">
        <v>0</v>
      </c>
      <c r="C5" s="467" t="s">
        <v>118</v>
      </c>
      <c r="D5" s="464">
        <f>AA8+AA9+AD8+AD9</f>
        <v>21063.36</v>
      </c>
      <c r="E5" s="461">
        <v>0</v>
      </c>
      <c r="F5" s="433" t="s">
        <v>149</v>
      </c>
      <c r="G5" s="60" t="s">
        <v>149</v>
      </c>
      <c r="H5" s="26">
        <f>D5/$D$8*$G$8</f>
        <v>256.41370243225475</v>
      </c>
      <c r="I5" s="60" t="s">
        <v>149</v>
      </c>
      <c r="J5" s="26">
        <f>D5/$D$8*$I$8</f>
        <v>384.62055364838216</v>
      </c>
      <c r="K5" s="60" t="s">
        <v>149</v>
      </c>
      <c r="L5" s="26">
        <f>D5/$D$8*$K$8</f>
        <v>12.820685121612739</v>
      </c>
      <c r="M5" s="60" t="s">
        <v>149</v>
      </c>
      <c r="N5" s="26">
        <f>D5/$D$8*$M$8</f>
        <v>6.410342560806369</v>
      </c>
      <c r="O5" s="26">
        <f>AA9</f>
        <v>2115</v>
      </c>
      <c r="P5" s="60" t="s">
        <v>149</v>
      </c>
      <c r="Q5" s="26">
        <f>O5/$O$8*$P$8</f>
        <v>1.052762568442011</v>
      </c>
      <c r="R5" s="60" t="s">
        <v>149</v>
      </c>
      <c r="S5" s="26">
        <f>D5/$D$8*$R$8</f>
        <v>256.41370243225475</v>
      </c>
      <c r="T5" s="60" t="s">
        <v>149</v>
      </c>
      <c r="U5" s="425">
        <f>D5*0.05*0.01</f>
        <v>10.531680000000001</v>
      </c>
      <c r="V5" s="444" t="s">
        <v>149</v>
      </c>
      <c r="W5" s="425">
        <f>D5*0.01*0.95</f>
        <v>200.10191999999998</v>
      </c>
      <c r="X5" s="63"/>
      <c r="Y5" s="25"/>
      <c r="Z5" s="606" t="s">
        <v>148</v>
      </c>
      <c r="AA5" s="609" t="s">
        <v>134</v>
      </c>
      <c r="AB5" s="610"/>
      <c r="AC5" s="610"/>
      <c r="AD5" s="609" t="s">
        <v>135</v>
      </c>
      <c r="AE5" s="610"/>
      <c r="AF5" s="610"/>
    </row>
    <row r="6" spans="1:32" ht="19.5" customHeight="1">
      <c r="A6" s="25"/>
      <c r="B6" s="572"/>
      <c r="C6" s="467" t="s">
        <v>119</v>
      </c>
      <c r="D6" s="464">
        <f>AA10+AA11+AD10+AD11</f>
        <v>11908.84</v>
      </c>
      <c r="E6" s="461">
        <v>0</v>
      </c>
      <c r="F6" s="433" t="s">
        <v>149</v>
      </c>
      <c r="G6" s="60" t="s">
        <v>149</v>
      </c>
      <c r="H6" s="26">
        <f>D6/$D$8*$G$8</f>
        <v>144.97163586784507</v>
      </c>
      <c r="I6" s="60" t="s">
        <v>149</v>
      </c>
      <c r="J6" s="26">
        <f>D6/$D$8*$I$8</f>
        <v>217.4574538017676</v>
      </c>
      <c r="K6" s="60" t="s">
        <v>149</v>
      </c>
      <c r="L6" s="26">
        <f>D6/$D$8*$K$8</f>
        <v>7.248581793392253</v>
      </c>
      <c r="M6" s="60" t="s">
        <v>149</v>
      </c>
      <c r="N6" s="26">
        <f>D6/$D$8*$M$8</f>
        <v>3.6242908966961265</v>
      </c>
      <c r="O6" s="26">
        <f>AA10+AA11</f>
        <v>3779</v>
      </c>
      <c r="P6" s="60" t="s">
        <v>149</v>
      </c>
      <c r="Q6" s="26">
        <f>O6/$O$8*$P$8</f>
        <v>1.8810353409656546</v>
      </c>
      <c r="R6" s="60" t="s">
        <v>149</v>
      </c>
      <c r="S6" s="26">
        <f>D6/$D$8*$R$8</f>
        <v>144.97163586784507</v>
      </c>
      <c r="T6" s="60" t="s">
        <v>149</v>
      </c>
      <c r="U6" s="425">
        <f>D6*0.05*0.01</f>
        <v>5.95442</v>
      </c>
      <c r="V6" s="444" t="s">
        <v>149</v>
      </c>
      <c r="W6" s="425">
        <f>D6*0.01*0.95</f>
        <v>113.13398000000001</v>
      </c>
      <c r="X6" s="63"/>
      <c r="Y6" s="25"/>
      <c r="Z6" s="607"/>
      <c r="AA6" s="610"/>
      <c r="AB6" s="610"/>
      <c r="AC6" s="610"/>
      <c r="AD6" s="610"/>
      <c r="AE6" s="610"/>
      <c r="AF6" s="610"/>
    </row>
    <row r="7" spans="1:32" ht="19.5" customHeight="1" thickBot="1">
      <c r="A7" s="25"/>
      <c r="B7" s="572"/>
      <c r="C7" s="467" t="s">
        <v>130</v>
      </c>
      <c r="D7" s="464">
        <f>AA12+AD12</f>
        <v>3874.33</v>
      </c>
      <c r="E7" s="461">
        <v>0</v>
      </c>
      <c r="F7" s="433" t="s">
        <v>149</v>
      </c>
      <c r="G7" s="60" t="s">
        <v>149</v>
      </c>
      <c r="H7" s="26">
        <f>D7/$D$8*$G$8</f>
        <v>47.16395198792394</v>
      </c>
      <c r="I7" s="60" t="s">
        <v>149</v>
      </c>
      <c r="J7" s="26">
        <f>D7/$D$8*$I$8</f>
        <v>70.7459279818859</v>
      </c>
      <c r="K7" s="60" t="s">
        <v>149</v>
      </c>
      <c r="L7" s="26">
        <f>D7/$D$8*$K$8</f>
        <v>2.3581975993961968</v>
      </c>
      <c r="M7" s="60" t="s">
        <v>149</v>
      </c>
      <c r="N7" s="26">
        <f>D7/$D$8*$M$8</f>
        <v>1.1790987996980984</v>
      </c>
      <c r="O7" s="26">
        <f>AA12</f>
        <v>1927</v>
      </c>
      <c r="P7" s="60" t="s">
        <v>149</v>
      </c>
      <c r="Q7" s="26">
        <f>O7/$O$8*$P$8</f>
        <v>0.9591836734693877</v>
      </c>
      <c r="R7" s="60" t="s">
        <v>149</v>
      </c>
      <c r="S7" s="26">
        <f>D7/$D$8*$R$8</f>
        <v>47.16395198792394</v>
      </c>
      <c r="T7" s="60" t="s">
        <v>149</v>
      </c>
      <c r="U7" s="425">
        <f>D7*0.05*0.01</f>
        <v>1.937165</v>
      </c>
      <c r="V7" s="444" t="s">
        <v>149</v>
      </c>
      <c r="W7" s="425">
        <f>D7*0.01*0.95</f>
        <v>36.806135</v>
      </c>
      <c r="X7" s="63"/>
      <c r="Y7" s="25"/>
      <c r="Z7" s="608"/>
      <c r="AA7" s="51" t="s">
        <v>0</v>
      </c>
      <c r="AB7" s="51" t="s">
        <v>136</v>
      </c>
      <c r="AC7" s="51" t="s">
        <v>137</v>
      </c>
      <c r="AD7" s="51" t="s">
        <v>0</v>
      </c>
      <c r="AE7" s="51" t="s">
        <v>136</v>
      </c>
      <c r="AF7" s="51" t="s">
        <v>137</v>
      </c>
    </row>
    <row r="8" spans="1:32" ht="19.5" customHeight="1">
      <c r="A8" s="25"/>
      <c r="B8" s="572"/>
      <c r="C8" s="467" t="s">
        <v>131</v>
      </c>
      <c r="D8" s="464">
        <f>AA13+AA14+AD13+AD14</f>
        <v>3285.84</v>
      </c>
      <c r="E8" s="454">
        <v>1</v>
      </c>
      <c r="F8" s="434">
        <f>'Existing Tier 2'!F8</f>
        <v>20</v>
      </c>
      <c r="G8" s="26">
        <f>F8*2</f>
        <v>40</v>
      </c>
      <c r="H8" s="60" t="s">
        <v>149</v>
      </c>
      <c r="I8" s="26">
        <f>F8*3</f>
        <v>60</v>
      </c>
      <c r="J8" s="60" t="s">
        <v>149</v>
      </c>
      <c r="K8" s="26">
        <v>2</v>
      </c>
      <c r="L8" s="60" t="s">
        <v>149</v>
      </c>
      <c r="M8" s="26">
        <v>1</v>
      </c>
      <c r="N8" s="60" t="s">
        <v>149</v>
      </c>
      <c r="O8" s="26">
        <f>AA13+AA14</f>
        <v>2009</v>
      </c>
      <c r="P8" s="26">
        <v>1</v>
      </c>
      <c r="Q8" s="60" t="s">
        <v>149</v>
      </c>
      <c r="R8" s="26">
        <f>F8*2</f>
        <v>40</v>
      </c>
      <c r="S8" s="60" t="s">
        <v>149</v>
      </c>
      <c r="T8" s="26">
        <f>D8*0.05*0.01</f>
        <v>1.6429200000000004</v>
      </c>
      <c r="U8" s="435" t="s">
        <v>149</v>
      </c>
      <c r="V8" s="445">
        <f>D8*0.01*0.95</f>
        <v>31.215480000000003</v>
      </c>
      <c r="W8" s="435" t="s">
        <v>149</v>
      </c>
      <c r="X8" s="64"/>
      <c r="Y8" s="25"/>
      <c r="Z8" s="52" t="s">
        <v>138</v>
      </c>
      <c r="AA8" s="53">
        <v>1283</v>
      </c>
      <c r="AB8" s="53">
        <v>303</v>
      </c>
      <c r="AC8" s="54">
        <v>651</v>
      </c>
      <c r="AD8" s="53">
        <v>6567.84</v>
      </c>
      <c r="AE8" s="53">
        <v>3660.04</v>
      </c>
      <c r="AF8" s="611">
        <v>32808.27</v>
      </c>
    </row>
    <row r="9" spans="1:32" ht="19.5" customHeight="1">
      <c r="A9" s="25"/>
      <c r="B9" s="572"/>
      <c r="C9" s="467" t="s">
        <v>132</v>
      </c>
      <c r="D9" s="464">
        <f>AA15+AA16+AD15+AD16</f>
        <v>342.15</v>
      </c>
      <c r="E9" s="461">
        <v>0</v>
      </c>
      <c r="F9" s="434">
        <f>'Existing Tier 2'!F9</f>
        <v>0</v>
      </c>
      <c r="G9" s="73">
        <f>D9/D8*G8</f>
        <v>4.165144985757066</v>
      </c>
      <c r="H9" s="60" t="s">
        <v>149</v>
      </c>
      <c r="I9" s="26">
        <f>D9/D8*I8</f>
        <v>6.247717478635599</v>
      </c>
      <c r="J9" s="60" t="s">
        <v>149</v>
      </c>
      <c r="K9" s="45">
        <v>0</v>
      </c>
      <c r="L9" s="60" t="s">
        <v>149</v>
      </c>
      <c r="M9" s="45">
        <v>0</v>
      </c>
      <c r="N9" s="60" t="s">
        <v>149</v>
      </c>
      <c r="O9" s="26">
        <f>AA15+AA16</f>
        <v>290</v>
      </c>
      <c r="P9" s="45">
        <v>0</v>
      </c>
      <c r="Q9" s="60" t="s">
        <v>149</v>
      </c>
      <c r="R9" s="26">
        <f>D9/$D$8*$R$8</f>
        <v>4.165144985757066</v>
      </c>
      <c r="S9" s="60" t="s">
        <v>149</v>
      </c>
      <c r="T9" s="26">
        <f>D9*0.05*0.01</f>
        <v>0.17107499999999998</v>
      </c>
      <c r="U9" s="435" t="s">
        <v>149</v>
      </c>
      <c r="V9" s="445">
        <f>D9*0.01*0.95</f>
        <v>3.250425</v>
      </c>
      <c r="W9" s="435" t="s">
        <v>149</v>
      </c>
      <c r="X9" s="64"/>
      <c r="Y9" s="25"/>
      <c r="Z9" s="55" t="s">
        <v>139</v>
      </c>
      <c r="AA9" s="53">
        <v>2115</v>
      </c>
      <c r="AB9" s="53">
        <v>302</v>
      </c>
      <c r="AC9" s="56">
        <v>486</v>
      </c>
      <c r="AD9" s="53">
        <v>11097.52</v>
      </c>
      <c r="AE9" s="53">
        <v>2625.15</v>
      </c>
      <c r="AF9" s="612"/>
    </row>
    <row r="10" spans="1:32" ht="19.5" customHeight="1" thickBot="1">
      <c r="A10" s="25"/>
      <c r="B10" s="569" t="s">
        <v>127</v>
      </c>
      <c r="C10" s="604"/>
      <c r="D10" s="465">
        <f>SUM(D5:D9)</f>
        <v>40474.52</v>
      </c>
      <c r="E10" s="455">
        <f aca="true" t="shared" si="0" ref="E10:W10">SUM(E5:E9)</f>
        <v>1</v>
      </c>
      <c r="F10" s="436">
        <f t="shared" si="0"/>
        <v>20</v>
      </c>
      <c r="G10" s="90">
        <f t="shared" si="0"/>
        <v>44.16514498575707</v>
      </c>
      <c r="H10" s="90">
        <f t="shared" si="0"/>
        <v>448.54929028802377</v>
      </c>
      <c r="I10" s="90">
        <f t="shared" si="0"/>
        <v>66.2477174786356</v>
      </c>
      <c r="J10" s="90">
        <f t="shared" si="0"/>
        <v>672.8239354320356</v>
      </c>
      <c r="K10" s="90">
        <f t="shared" si="0"/>
        <v>2</v>
      </c>
      <c r="L10" s="90">
        <f t="shared" si="0"/>
        <v>22.427464514401187</v>
      </c>
      <c r="M10" s="90">
        <f t="shared" si="0"/>
        <v>1</v>
      </c>
      <c r="N10" s="90">
        <f t="shared" si="0"/>
        <v>11.213732257200594</v>
      </c>
      <c r="O10" s="90">
        <f t="shared" si="0"/>
        <v>10120</v>
      </c>
      <c r="P10" s="90">
        <f t="shared" si="0"/>
        <v>1</v>
      </c>
      <c r="Q10" s="90">
        <f t="shared" si="0"/>
        <v>3.8929815828770535</v>
      </c>
      <c r="R10" s="90">
        <f t="shared" si="0"/>
        <v>44.16514498575707</v>
      </c>
      <c r="S10" s="90">
        <f t="shared" si="0"/>
        <v>448.54929028802377</v>
      </c>
      <c r="T10" s="90">
        <f t="shared" si="0"/>
        <v>1.8139950000000002</v>
      </c>
      <c r="U10" s="426">
        <f t="shared" si="0"/>
        <v>18.423265</v>
      </c>
      <c r="V10" s="436">
        <f t="shared" si="0"/>
        <v>34.46590500000001</v>
      </c>
      <c r="W10" s="426">
        <f t="shared" si="0"/>
        <v>350.042035</v>
      </c>
      <c r="X10" s="65"/>
      <c r="Y10" s="25"/>
      <c r="Z10" s="55" t="s">
        <v>140</v>
      </c>
      <c r="AA10" s="53">
        <v>1313</v>
      </c>
      <c r="AB10" s="53">
        <v>109</v>
      </c>
      <c r="AC10" s="56">
        <v>81</v>
      </c>
      <c r="AD10" s="53">
        <v>3689.3</v>
      </c>
      <c r="AE10" s="53">
        <v>714.84</v>
      </c>
      <c r="AF10" s="53">
        <v>705.59</v>
      </c>
    </row>
    <row r="11" spans="1:32" ht="19.5" customHeight="1">
      <c r="A11" s="25"/>
      <c r="B11" s="571" t="s">
        <v>2</v>
      </c>
      <c r="C11" s="469" t="s">
        <v>118</v>
      </c>
      <c r="D11" s="473">
        <f>AB8+AB9+AE8+AE9</f>
        <v>6890.1900000000005</v>
      </c>
      <c r="E11" s="471">
        <v>0</v>
      </c>
      <c r="F11" s="437" t="s">
        <v>149</v>
      </c>
      <c r="G11" s="80" t="s">
        <v>149</v>
      </c>
      <c r="H11" s="76">
        <f>D11/$D$8*$G$8</f>
        <v>83.87736469213353</v>
      </c>
      <c r="I11" s="80" t="s">
        <v>149</v>
      </c>
      <c r="J11" s="76">
        <f>D11/$D$8*$I$8</f>
        <v>125.8160470382003</v>
      </c>
      <c r="K11" s="80" t="s">
        <v>149</v>
      </c>
      <c r="L11" s="76">
        <f>D11/$D$8*$K$8</f>
        <v>4.1938682346066765</v>
      </c>
      <c r="M11" s="80" t="s">
        <v>149</v>
      </c>
      <c r="N11" s="76">
        <f>D11/$D$8*$M$8</f>
        <v>2.0969341173033382</v>
      </c>
      <c r="O11" s="76">
        <f>AB9</f>
        <v>302</v>
      </c>
      <c r="P11" s="80" t="s">
        <v>149</v>
      </c>
      <c r="Q11" s="76">
        <f>O11/$O$8*$P$8</f>
        <v>0.15032354405176704</v>
      </c>
      <c r="R11" s="80" t="s">
        <v>149</v>
      </c>
      <c r="S11" s="26">
        <f>D11/$D$8*$R$8</f>
        <v>83.87736469213353</v>
      </c>
      <c r="T11" s="80" t="s">
        <v>149</v>
      </c>
      <c r="U11" s="438">
        <f>D11*0.05*0.01</f>
        <v>3.4450950000000007</v>
      </c>
      <c r="V11" s="446" t="s">
        <v>149</v>
      </c>
      <c r="W11" s="438">
        <f>D11*0.01*0.95</f>
        <v>65.456805</v>
      </c>
      <c r="X11" s="63"/>
      <c r="Y11" s="25"/>
      <c r="Z11" s="55" t="s">
        <v>141</v>
      </c>
      <c r="AA11" s="53">
        <v>2466</v>
      </c>
      <c r="AB11" s="53">
        <v>74</v>
      </c>
      <c r="AC11" s="56">
        <v>67</v>
      </c>
      <c r="AD11" s="53">
        <v>4440.54</v>
      </c>
      <c r="AE11" s="53">
        <v>265.66</v>
      </c>
      <c r="AF11" s="53">
        <v>213.49</v>
      </c>
    </row>
    <row r="12" spans="1:32" ht="19.5" customHeight="1">
      <c r="A12" s="25"/>
      <c r="B12" s="572"/>
      <c r="C12" s="467" t="s">
        <v>119</v>
      </c>
      <c r="D12" s="464">
        <f>AB10+AB11+AE10+AE11</f>
        <v>1163.5</v>
      </c>
      <c r="E12" s="461">
        <v>0</v>
      </c>
      <c r="F12" s="433" t="s">
        <v>149</v>
      </c>
      <c r="G12" s="60" t="s">
        <v>149</v>
      </c>
      <c r="H12" s="76">
        <f>D12/$D$8*$G$8</f>
        <v>14.163805906556618</v>
      </c>
      <c r="I12" s="60" t="s">
        <v>149</v>
      </c>
      <c r="J12" s="76">
        <f>D12/$D$8*$I$8</f>
        <v>21.245708859834927</v>
      </c>
      <c r="K12" s="60" t="s">
        <v>149</v>
      </c>
      <c r="L12" s="26">
        <f>D12/$D$8*$K$8</f>
        <v>0.708190295327831</v>
      </c>
      <c r="M12" s="60" t="s">
        <v>149</v>
      </c>
      <c r="N12" s="26">
        <f>D12/$D$8*$M$8</f>
        <v>0.3540951476639155</v>
      </c>
      <c r="O12" s="26">
        <f>AB10+AB11</f>
        <v>183</v>
      </c>
      <c r="P12" s="60" t="s">
        <v>149</v>
      </c>
      <c r="Q12" s="26">
        <f>O12/$O$8*$P$8</f>
        <v>0.09109009457441514</v>
      </c>
      <c r="R12" s="60" t="s">
        <v>149</v>
      </c>
      <c r="S12" s="26">
        <f>D12/$D$8*$R$8</f>
        <v>14.163805906556618</v>
      </c>
      <c r="T12" s="60" t="s">
        <v>149</v>
      </c>
      <c r="U12" s="438">
        <f>D12*0.05*0.01</f>
        <v>0.5817500000000001</v>
      </c>
      <c r="V12" s="444" t="s">
        <v>149</v>
      </c>
      <c r="W12" s="438">
        <f>D12*0.01*0.95</f>
        <v>11.053249999999998</v>
      </c>
      <c r="X12" s="63"/>
      <c r="Y12" s="25"/>
      <c r="Z12" s="55" t="s">
        <v>142</v>
      </c>
      <c r="AA12" s="53">
        <v>1927</v>
      </c>
      <c r="AB12" s="53">
        <v>22</v>
      </c>
      <c r="AC12" s="56">
        <v>31</v>
      </c>
      <c r="AD12" s="53">
        <v>1947.33</v>
      </c>
      <c r="AE12" s="53">
        <v>26.27</v>
      </c>
      <c r="AF12" s="53">
        <v>36.63</v>
      </c>
    </row>
    <row r="13" spans="1:32" ht="19.5" customHeight="1">
      <c r="A13" s="25"/>
      <c r="B13" s="572"/>
      <c r="C13" s="467" t="s">
        <v>130</v>
      </c>
      <c r="D13" s="464">
        <f>AB12+AE12</f>
        <v>48.269999999999996</v>
      </c>
      <c r="E13" s="461">
        <v>0</v>
      </c>
      <c r="F13" s="433" t="s">
        <v>149</v>
      </c>
      <c r="G13" s="60" t="s">
        <v>149</v>
      </c>
      <c r="H13" s="76">
        <f>D13/$D$8*$G$8</f>
        <v>0.5876123000511284</v>
      </c>
      <c r="I13" s="60" t="s">
        <v>149</v>
      </c>
      <c r="J13" s="76">
        <f>D13/$D$8*$I$8</f>
        <v>0.8814184500766926</v>
      </c>
      <c r="K13" s="60" t="s">
        <v>149</v>
      </c>
      <c r="L13" s="26">
        <f>D13/$D$8*$K$8</f>
        <v>0.02938061500255642</v>
      </c>
      <c r="M13" s="60" t="s">
        <v>149</v>
      </c>
      <c r="N13" s="26">
        <f>D13/$D$8*$M$8</f>
        <v>0.01469030750127821</v>
      </c>
      <c r="O13" s="26">
        <f>AB12</f>
        <v>22</v>
      </c>
      <c r="P13" s="60" t="s">
        <v>149</v>
      </c>
      <c r="Q13" s="26">
        <f>O13/$O$8*$P$8</f>
        <v>0.010950721752115481</v>
      </c>
      <c r="R13" s="60" t="s">
        <v>149</v>
      </c>
      <c r="S13" s="26">
        <f>D13/$D$8*$R$8</f>
        <v>0.5876123000511284</v>
      </c>
      <c r="T13" s="60" t="s">
        <v>149</v>
      </c>
      <c r="U13" s="438">
        <f>D13*0.05*0.01</f>
        <v>0.024135</v>
      </c>
      <c r="V13" s="444" t="s">
        <v>149</v>
      </c>
      <c r="W13" s="438">
        <f>D13*0.01*0.95</f>
        <v>0.45856499999999994</v>
      </c>
      <c r="X13" s="63"/>
      <c r="Y13" s="25"/>
      <c r="Z13" s="55" t="s">
        <v>143</v>
      </c>
      <c r="AA13" s="53">
        <v>1690</v>
      </c>
      <c r="AB13" s="53">
        <v>9</v>
      </c>
      <c r="AC13" s="56">
        <v>10</v>
      </c>
      <c r="AD13" s="53">
        <v>1175</v>
      </c>
      <c r="AE13" s="53">
        <v>3.7</v>
      </c>
      <c r="AF13" s="53">
        <v>14.8</v>
      </c>
    </row>
    <row r="14" spans="1:32" ht="19.5" customHeight="1">
      <c r="A14" s="25"/>
      <c r="B14" s="572"/>
      <c r="C14" s="467" t="s">
        <v>131</v>
      </c>
      <c r="D14" s="464">
        <f>AB13+AB14+AE13+AE14</f>
        <v>14.069999999999999</v>
      </c>
      <c r="E14" s="461">
        <v>0</v>
      </c>
      <c r="F14" s="439">
        <f>'Existing Tier 2'!F14</f>
        <v>0</v>
      </c>
      <c r="G14" s="26">
        <f>D14/D8*G8</f>
        <v>0.1712804031845738</v>
      </c>
      <c r="H14" s="60" t="s">
        <v>149</v>
      </c>
      <c r="I14" s="26">
        <f>D14/D8*I8</f>
        <v>0.2569206047768607</v>
      </c>
      <c r="J14" s="60" t="s">
        <v>149</v>
      </c>
      <c r="K14" s="45">
        <v>0</v>
      </c>
      <c r="L14" s="60" t="s">
        <v>149</v>
      </c>
      <c r="M14" s="60">
        <v>0</v>
      </c>
      <c r="N14" s="60" t="s">
        <v>149</v>
      </c>
      <c r="O14" s="26">
        <f>AB13+AB14</f>
        <v>10</v>
      </c>
      <c r="P14" s="60">
        <v>0</v>
      </c>
      <c r="Q14" s="60" t="s">
        <v>149</v>
      </c>
      <c r="R14" s="26">
        <f>D14/$D$8*$R$8</f>
        <v>0.1712804031845738</v>
      </c>
      <c r="S14" s="60" t="s">
        <v>149</v>
      </c>
      <c r="T14" s="26">
        <f>D14*0.05*0.01</f>
        <v>0.0070350000000000005</v>
      </c>
      <c r="U14" s="435" t="s">
        <v>149</v>
      </c>
      <c r="V14" s="445">
        <f>D14*0.01*0.95</f>
        <v>0.13366499999999998</v>
      </c>
      <c r="W14" s="435" t="s">
        <v>149</v>
      </c>
      <c r="X14" s="64"/>
      <c r="Y14" s="25"/>
      <c r="Z14" s="55" t="s">
        <v>144</v>
      </c>
      <c r="AA14" s="53">
        <v>319</v>
      </c>
      <c r="AB14" s="53">
        <v>1</v>
      </c>
      <c r="AC14" s="56">
        <v>3</v>
      </c>
      <c r="AD14" s="53">
        <v>101.84</v>
      </c>
      <c r="AE14" s="53">
        <v>0.37</v>
      </c>
      <c r="AF14" s="53">
        <v>0.37</v>
      </c>
    </row>
    <row r="15" spans="1:32" ht="19.5" customHeight="1">
      <c r="A15" s="25"/>
      <c r="B15" s="572"/>
      <c r="C15" s="467" t="s">
        <v>132</v>
      </c>
      <c r="D15" s="464">
        <f>AB15+AB16+AE15+AE16</f>
        <v>1.74</v>
      </c>
      <c r="E15" s="461">
        <v>0</v>
      </c>
      <c r="F15" s="439">
        <f>'Existing Tier 2'!F15</f>
        <v>0</v>
      </c>
      <c r="G15" s="26">
        <f>D15/D8*G8</f>
        <v>0.021181798261631725</v>
      </c>
      <c r="H15" s="60" t="s">
        <v>149</v>
      </c>
      <c r="I15" s="26">
        <f>D15/D8*I8</f>
        <v>0.03177269739244759</v>
      </c>
      <c r="J15" s="60" t="s">
        <v>149</v>
      </c>
      <c r="K15" s="45">
        <v>0</v>
      </c>
      <c r="L15" s="60" t="s">
        <v>149</v>
      </c>
      <c r="M15" s="60">
        <v>0</v>
      </c>
      <c r="N15" s="60" t="s">
        <v>149</v>
      </c>
      <c r="O15" s="26">
        <f>AB15+AB16</f>
        <v>1</v>
      </c>
      <c r="P15" s="60">
        <v>0</v>
      </c>
      <c r="Q15" s="60" t="s">
        <v>149</v>
      </c>
      <c r="R15" s="26">
        <f>D15/$D$8*$R$8</f>
        <v>0.021181798261631725</v>
      </c>
      <c r="S15" s="60" t="s">
        <v>149</v>
      </c>
      <c r="T15" s="26">
        <f>D15*0.05*0.01</f>
        <v>0.0008700000000000001</v>
      </c>
      <c r="U15" s="435" t="s">
        <v>149</v>
      </c>
      <c r="V15" s="445">
        <f>D15*0.01*0.95</f>
        <v>0.01653</v>
      </c>
      <c r="W15" s="435" t="s">
        <v>149</v>
      </c>
      <c r="X15" s="64"/>
      <c r="Y15" s="25"/>
      <c r="Z15" s="55" t="s">
        <v>145</v>
      </c>
      <c r="AA15" s="53">
        <v>276</v>
      </c>
      <c r="AB15" s="53">
        <v>1</v>
      </c>
      <c r="AC15" s="56">
        <v>0</v>
      </c>
      <c r="AD15" s="53">
        <v>50.15</v>
      </c>
      <c r="AE15" s="53">
        <v>0.74</v>
      </c>
      <c r="AF15" s="53">
        <v>0.74</v>
      </c>
    </row>
    <row r="16" spans="1:32" ht="19.5" customHeight="1" thickBot="1">
      <c r="A16" s="25"/>
      <c r="B16" s="569" t="s">
        <v>127</v>
      </c>
      <c r="C16" s="604"/>
      <c r="D16" s="465">
        <f>SUM(D11:D15)</f>
        <v>8117.77</v>
      </c>
      <c r="E16" s="455">
        <f aca="true" t="shared" si="1" ref="E16:W16">SUM(E11:E15)</f>
        <v>0</v>
      </c>
      <c r="F16" s="436">
        <f t="shared" si="1"/>
        <v>0</v>
      </c>
      <c r="G16" s="90">
        <f t="shared" si="1"/>
        <v>0.19246220144620552</v>
      </c>
      <c r="H16" s="90">
        <f t="shared" si="1"/>
        <v>98.62878289874128</v>
      </c>
      <c r="I16" s="90">
        <f t="shared" si="1"/>
        <v>0.2886933021693083</v>
      </c>
      <c r="J16" s="90">
        <f t="shared" si="1"/>
        <v>147.9431743481119</v>
      </c>
      <c r="K16" s="90">
        <f t="shared" si="1"/>
        <v>0</v>
      </c>
      <c r="L16" s="90">
        <f t="shared" si="1"/>
        <v>4.931439144937063</v>
      </c>
      <c r="M16" s="90">
        <f t="shared" si="1"/>
        <v>0</v>
      </c>
      <c r="N16" s="90">
        <f t="shared" si="1"/>
        <v>2.4657195724685317</v>
      </c>
      <c r="O16" s="90">
        <f t="shared" si="1"/>
        <v>518</v>
      </c>
      <c r="P16" s="90">
        <f t="shared" si="1"/>
        <v>0</v>
      </c>
      <c r="Q16" s="90">
        <f t="shared" si="1"/>
        <v>0.2523643603782977</v>
      </c>
      <c r="R16" s="90">
        <f t="shared" si="1"/>
        <v>0.19246220144620552</v>
      </c>
      <c r="S16" s="90">
        <f t="shared" si="1"/>
        <v>98.62878289874128</v>
      </c>
      <c r="T16" s="90">
        <f t="shared" si="1"/>
        <v>0.007905</v>
      </c>
      <c r="U16" s="426">
        <f t="shared" si="1"/>
        <v>4.050980000000001</v>
      </c>
      <c r="V16" s="436">
        <f t="shared" si="1"/>
        <v>0.15019499999999997</v>
      </c>
      <c r="W16" s="426">
        <f t="shared" si="1"/>
        <v>76.96861999999999</v>
      </c>
      <c r="X16" s="65"/>
      <c r="Y16" s="25"/>
      <c r="Z16" s="55" t="s">
        <v>146</v>
      </c>
      <c r="AA16" s="53">
        <v>14</v>
      </c>
      <c r="AB16" s="53">
        <v>0</v>
      </c>
      <c r="AC16" s="53">
        <v>0</v>
      </c>
      <c r="AD16" s="53">
        <v>2</v>
      </c>
      <c r="AE16" s="53">
        <v>0</v>
      </c>
      <c r="AF16" s="53">
        <v>0.37</v>
      </c>
    </row>
    <row r="17" spans="1:32" ht="19.5" customHeight="1">
      <c r="A17" s="25"/>
      <c r="B17" s="571" t="s">
        <v>124</v>
      </c>
      <c r="C17" s="469" t="s">
        <v>118</v>
      </c>
      <c r="D17" s="473">
        <f>AC8+AC9+AF8</f>
        <v>33945.27</v>
      </c>
      <c r="E17" s="471">
        <v>0</v>
      </c>
      <c r="F17" s="437" t="s">
        <v>149</v>
      </c>
      <c r="G17" s="80" t="s">
        <v>149</v>
      </c>
      <c r="H17" s="80" t="s">
        <v>149</v>
      </c>
      <c r="I17" s="80" t="s">
        <v>149</v>
      </c>
      <c r="J17" s="80" t="s">
        <v>149</v>
      </c>
      <c r="K17" s="80" t="s">
        <v>149</v>
      </c>
      <c r="L17" s="80" t="s">
        <v>149</v>
      </c>
      <c r="M17" s="80" t="s">
        <v>149</v>
      </c>
      <c r="N17" s="80" t="s">
        <v>149</v>
      </c>
      <c r="O17" s="80" t="s">
        <v>149</v>
      </c>
      <c r="P17" s="80" t="s">
        <v>149</v>
      </c>
      <c r="Q17" s="80" t="s">
        <v>149</v>
      </c>
      <c r="R17" s="80" t="s">
        <v>149</v>
      </c>
      <c r="S17" s="80" t="s">
        <v>149</v>
      </c>
      <c r="T17" s="80" t="s">
        <v>149</v>
      </c>
      <c r="U17" s="440" t="s">
        <v>149</v>
      </c>
      <c r="V17" s="446" t="s">
        <v>149</v>
      </c>
      <c r="W17" s="440" t="s">
        <v>149</v>
      </c>
      <c r="X17" s="64"/>
      <c r="Y17" s="25"/>
      <c r="Z17" s="57" t="s">
        <v>6</v>
      </c>
      <c r="AA17" s="58">
        <v>11403</v>
      </c>
      <c r="AB17" s="58">
        <v>821</v>
      </c>
      <c r="AC17" s="58">
        <v>1329</v>
      </c>
      <c r="AD17" s="58">
        <v>29071.52</v>
      </c>
      <c r="AE17" s="58">
        <v>7296.77</v>
      </c>
      <c r="AF17" s="58">
        <v>33780.26</v>
      </c>
    </row>
    <row r="18" spans="1:28" ht="19.5" customHeight="1">
      <c r="A18" s="25"/>
      <c r="B18" s="572"/>
      <c r="C18" s="467" t="s">
        <v>119</v>
      </c>
      <c r="D18" s="464">
        <f>AC10+AC11+AF10+AF11</f>
        <v>1067.08</v>
      </c>
      <c r="E18" s="461">
        <v>0</v>
      </c>
      <c r="F18" s="433" t="s">
        <v>149</v>
      </c>
      <c r="G18" s="60" t="s">
        <v>149</v>
      </c>
      <c r="H18" s="60" t="s">
        <v>149</v>
      </c>
      <c r="I18" s="60" t="s">
        <v>149</v>
      </c>
      <c r="J18" s="60" t="s">
        <v>149</v>
      </c>
      <c r="K18" s="60" t="s">
        <v>149</v>
      </c>
      <c r="L18" s="60" t="s">
        <v>149</v>
      </c>
      <c r="M18" s="60" t="s">
        <v>149</v>
      </c>
      <c r="N18" s="60" t="s">
        <v>149</v>
      </c>
      <c r="O18" s="60" t="s">
        <v>149</v>
      </c>
      <c r="P18" s="60" t="s">
        <v>149</v>
      </c>
      <c r="Q18" s="60" t="s">
        <v>149</v>
      </c>
      <c r="R18" s="60" t="s">
        <v>149</v>
      </c>
      <c r="S18" s="60" t="s">
        <v>149</v>
      </c>
      <c r="T18" s="60" t="s">
        <v>149</v>
      </c>
      <c r="U18" s="435" t="s">
        <v>149</v>
      </c>
      <c r="V18" s="444" t="s">
        <v>149</v>
      </c>
      <c r="W18" s="435" t="s">
        <v>149</v>
      </c>
      <c r="X18" s="64"/>
      <c r="Y18" s="25"/>
      <c r="Z18" s="25"/>
      <c r="AA18" s="25"/>
      <c r="AB18" s="25"/>
    </row>
    <row r="19" spans="1:28" ht="19.5" customHeight="1">
      <c r="A19" s="25"/>
      <c r="B19" s="572"/>
      <c r="C19" s="467" t="s">
        <v>130</v>
      </c>
      <c r="D19" s="464">
        <f>AC12+AF12</f>
        <v>67.63</v>
      </c>
      <c r="E19" s="461">
        <v>0</v>
      </c>
      <c r="F19" s="433" t="s">
        <v>149</v>
      </c>
      <c r="G19" s="60" t="s">
        <v>149</v>
      </c>
      <c r="H19" s="60" t="s">
        <v>149</v>
      </c>
      <c r="I19" s="60" t="s">
        <v>149</v>
      </c>
      <c r="J19" s="60" t="s">
        <v>149</v>
      </c>
      <c r="K19" s="60" t="s">
        <v>149</v>
      </c>
      <c r="L19" s="60" t="s">
        <v>149</v>
      </c>
      <c r="M19" s="60" t="s">
        <v>149</v>
      </c>
      <c r="N19" s="60" t="s">
        <v>149</v>
      </c>
      <c r="O19" s="60" t="s">
        <v>149</v>
      </c>
      <c r="P19" s="60" t="s">
        <v>149</v>
      </c>
      <c r="Q19" s="60" t="s">
        <v>149</v>
      </c>
      <c r="R19" s="60" t="s">
        <v>149</v>
      </c>
      <c r="S19" s="60" t="s">
        <v>149</v>
      </c>
      <c r="T19" s="60" t="s">
        <v>149</v>
      </c>
      <c r="U19" s="435" t="s">
        <v>149</v>
      </c>
      <c r="V19" s="444" t="s">
        <v>149</v>
      </c>
      <c r="W19" s="435" t="s">
        <v>149</v>
      </c>
      <c r="X19" s="64"/>
      <c r="Y19" s="25"/>
      <c r="Z19" s="25"/>
      <c r="AA19" s="25"/>
      <c r="AB19" s="25"/>
    </row>
    <row r="20" spans="1:28" ht="19.5" customHeight="1">
      <c r="A20" s="25"/>
      <c r="B20" s="572"/>
      <c r="C20" s="467" t="s">
        <v>131</v>
      </c>
      <c r="D20" s="464">
        <f>AC13+AC14+AF13+AF14</f>
        <v>28.17</v>
      </c>
      <c r="E20" s="461">
        <v>0</v>
      </c>
      <c r="F20" s="433" t="s">
        <v>149</v>
      </c>
      <c r="G20" s="60" t="s">
        <v>149</v>
      </c>
      <c r="H20" s="60" t="s">
        <v>149</v>
      </c>
      <c r="I20" s="60" t="s">
        <v>149</v>
      </c>
      <c r="J20" s="60" t="s">
        <v>149</v>
      </c>
      <c r="K20" s="60" t="s">
        <v>149</v>
      </c>
      <c r="L20" s="60" t="s">
        <v>149</v>
      </c>
      <c r="M20" s="60" t="s">
        <v>149</v>
      </c>
      <c r="N20" s="60" t="s">
        <v>149</v>
      </c>
      <c r="O20" s="60" t="s">
        <v>149</v>
      </c>
      <c r="P20" s="60" t="s">
        <v>149</v>
      </c>
      <c r="Q20" s="60" t="s">
        <v>149</v>
      </c>
      <c r="R20" s="60" t="s">
        <v>149</v>
      </c>
      <c r="S20" s="60" t="s">
        <v>149</v>
      </c>
      <c r="T20" s="60" t="s">
        <v>149</v>
      </c>
      <c r="U20" s="435" t="s">
        <v>149</v>
      </c>
      <c r="V20" s="444" t="s">
        <v>149</v>
      </c>
      <c r="W20" s="435" t="s">
        <v>149</v>
      </c>
      <c r="X20" s="64"/>
      <c r="Y20" s="25"/>
      <c r="Z20" s="25"/>
      <c r="AA20" s="25"/>
      <c r="AB20" s="25"/>
    </row>
    <row r="21" spans="1:28" ht="19.5" customHeight="1">
      <c r="A21" s="25"/>
      <c r="B21" s="572"/>
      <c r="C21" s="467" t="s">
        <v>132</v>
      </c>
      <c r="D21" s="464">
        <f>AC15+AC16+AF15+AF16</f>
        <v>1.1099999999999999</v>
      </c>
      <c r="E21" s="461">
        <v>0</v>
      </c>
      <c r="F21" s="433" t="s">
        <v>149</v>
      </c>
      <c r="G21" s="60" t="s">
        <v>149</v>
      </c>
      <c r="H21" s="60" t="s">
        <v>149</v>
      </c>
      <c r="I21" s="60" t="s">
        <v>149</v>
      </c>
      <c r="J21" s="60" t="s">
        <v>149</v>
      </c>
      <c r="K21" s="60" t="s">
        <v>149</v>
      </c>
      <c r="L21" s="60" t="s">
        <v>149</v>
      </c>
      <c r="M21" s="60" t="s">
        <v>149</v>
      </c>
      <c r="N21" s="60" t="s">
        <v>149</v>
      </c>
      <c r="O21" s="60" t="s">
        <v>149</v>
      </c>
      <c r="P21" s="60" t="s">
        <v>149</v>
      </c>
      <c r="Q21" s="60" t="s">
        <v>149</v>
      </c>
      <c r="R21" s="60" t="s">
        <v>149</v>
      </c>
      <c r="S21" s="60" t="s">
        <v>149</v>
      </c>
      <c r="T21" s="60" t="s">
        <v>149</v>
      </c>
      <c r="U21" s="435" t="s">
        <v>149</v>
      </c>
      <c r="V21" s="444" t="s">
        <v>149</v>
      </c>
      <c r="W21" s="435" t="s">
        <v>149</v>
      </c>
      <c r="X21" s="64"/>
      <c r="Y21" s="25"/>
      <c r="Z21" s="25"/>
      <c r="AA21" s="25"/>
      <c r="AB21" s="25"/>
    </row>
    <row r="22" spans="1:28" ht="19.5" customHeight="1" thickBot="1">
      <c r="A22" s="25"/>
      <c r="B22" s="569" t="s">
        <v>127</v>
      </c>
      <c r="C22" s="604"/>
      <c r="D22" s="465">
        <f>SUM(D17:D21)</f>
        <v>35109.259999999995</v>
      </c>
      <c r="E22" s="455">
        <f>SUM(E17:E21)</f>
        <v>0</v>
      </c>
      <c r="F22" s="441" t="s">
        <v>149</v>
      </c>
      <c r="G22" s="72" t="s">
        <v>149</v>
      </c>
      <c r="H22" s="72" t="s">
        <v>149</v>
      </c>
      <c r="I22" s="72" t="s">
        <v>149</v>
      </c>
      <c r="J22" s="72" t="s">
        <v>149</v>
      </c>
      <c r="K22" s="72" t="s">
        <v>149</v>
      </c>
      <c r="L22" s="72" t="s">
        <v>149</v>
      </c>
      <c r="M22" s="72" t="s">
        <v>149</v>
      </c>
      <c r="N22" s="72" t="s">
        <v>149</v>
      </c>
      <c r="O22" s="72" t="s">
        <v>149</v>
      </c>
      <c r="P22" s="72" t="s">
        <v>149</v>
      </c>
      <c r="Q22" s="72" t="s">
        <v>149</v>
      </c>
      <c r="R22" s="72" t="s">
        <v>149</v>
      </c>
      <c r="S22" s="72" t="s">
        <v>149</v>
      </c>
      <c r="T22" s="72" t="s">
        <v>149</v>
      </c>
      <c r="U22" s="150" t="s">
        <v>149</v>
      </c>
      <c r="V22" s="447" t="s">
        <v>149</v>
      </c>
      <c r="W22" s="150" t="s">
        <v>149</v>
      </c>
      <c r="X22" s="66"/>
      <c r="Y22" s="25"/>
      <c r="Z22" s="25"/>
      <c r="AA22" s="25"/>
      <c r="AB22" s="25"/>
    </row>
    <row r="23" spans="1:28" ht="19.5" customHeight="1">
      <c r="A23" s="25"/>
      <c r="B23" s="567" t="s">
        <v>128</v>
      </c>
      <c r="C23" s="605"/>
      <c r="D23" s="474">
        <f>D10+D16+D22</f>
        <v>83701.54999999999</v>
      </c>
      <c r="E23" s="472">
        <f>E10+E16+E22</f>
        <v>1</v>
      </c>
      <c r="F23" s="442">
        <f>F10+F16</f>
        <v>20</v>
      </c>
      <c r="G23" s="91">
        <f>G10+G16</f>
        <v>44.35760718720327</v>
      </c>
      <c r="H23" s="91">
        <f>H10+H16</f>
        <v>547.178073186765</v>
      </c>
      <c r="I23" s="91">
        <f>I10+I16</f>
        <v>66.5364107808049</v>
      </c>
      <c r="J23" s="91">
        <f>J10+J16</f>
        <v>820.7671097801475</v>
      </c>
      <c r="K23" s="91">
        <f aca="true" t="shared" si="2" ref="K23:Q23">K10+K16</f>
        <v>2</v>
      </c>
      <c r="L23" s="91">
        <f t="shared" si="2"/>
        <v>27.35890365933825</v>
      </c>
      <c r="M23" s="91">
        <f t="shared" si="2"/>
        <v>1</v>
      </c>
      <c r="N23" s="91">
        <f t="shared" si="2"/>
        <v>13.679451829669125</v>
      </c>
      <c r="O23" s="91">
        <f t="shared" si="2"/>
        <v>10638</v>
      </c>
      <c r="P23" s="91">
        <f t="shared" si="2"/>
        <v>1</v>
      </c>
      <c r="Q23" s="91">
        <f t="shared" si="2"/>
        <v>4.145345943255351</v>
      </c>
      <c r="R23" s="91">
        <f aca="true" t="shared" si="3" ref="R23:W23">R10+R16</f>
        <v>44.35760718720327</v>
      </c>
      <c r="S23" s="91">
        <f t="shared" si="3"/>
        <v>547.178073186765</v>
      </c>
      <c r="T23" s="91">
        <f t="shared" si="3"/>
        <v>1.8219000000000003</v>
      </c>
      <c r="U23" s="427">
        <f t="shared" si="3"/>
        <v>22.474245000000003</v>
      </c>
      <c r="V23" s="448">
        <f t="shared" si="3"/>
        <v>34.6161</v>
      </c>
      <c r="W23" s="427">
        <f t="shared" si="3"/>
        <v>427.010655</v>
      </c>
      <c r="X23" s="65"/>
      <c r="Y23" s="25"/>
      <c r="Z23" s="25"/>
      <c r="AA23" s="25"/>
      <c r="AB23" s="25"/>
    </row>
    <row r="24" spans="1:28" ht="13.5" customHeight="1">
      <c r="A24" s="25"/>
      <c r="B24" s="48" t="s">
        <v>129</v>
      </c>
      <c r="C24" s="564" t="s">
        <v>288</v>
      </c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4"/>
      <c r="R24" s="564"/>
      <c r="S24" s="564"/>
      <c r="T24" s="564"/>
      <c r="U24" s="564"/>
      <c r="V24" s="564"/>
      <c r="W24" s="564"/>
      <c r="X24" s="50"/>
      <c r="Y24" s="25"/>
      <c r="Z24" s="25"/>
      <c r="AA24" s="25"/>
      <c r="AB24" s="25"/>
    </row>
    <row r="25" spans="1:28" ht="13.5" customHeight="1">
      <c r="A25" s="25"/>
      <c r="B25" s="64"/>
      <c r="C25" s="565" t="s">
        <v>282</v>
      </c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0"/>
      <c r="Y25" s="25"/>
      <c r="Z25" s="25"/>
      <c r="AA25" s="25"/>
      <c r="AB25" s="25"/>
    </row>
    <row r="26" spans="1:28" ht="12.75" customHeight="1">
      <c r="A26" s="25"/>
      <c r="B26" s="25"/>
      <c r="C26" s="566" t="s">
        <v>229</v>
      </c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68"/>
      <c r="Y26" s="25"/>
      <c r="Z26" s="25"/>
      <c r="AA26" s="25"/>
      <c r="AB26" s="25"/>
    </row>
    <row r="27" spans="1:28" ht="13.5" customHeight="1">
      <c r="A27" s="25"/>
      <c r="B27" s="25"/>
      <c r="C27" s="565" t="s">
        <v>330</v>
      </c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1"/>
      <c r="Y27" s="25"/>
      <c r="Z27" s="25"/>
      <c r="AA27" s="25"/>
      <c r="AB27" s="25"/>
    </row>
    <row r="28" spans="1:30" ht="13.5" customHeight="1">
      <c r="A28" s="25"/>
      <c r="B28" s="25"/>
      <c r="C28" s="566" t="s">
        <v>283</v>
      </c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68"/>
      <c r="Y28" s="565"/>
      <c r="Z28" s="565"/>
      <c r="AA28" s="565"/>
      <c r="AB28" s="565"/>
      <c r="AC28" s="565"/>
      <c r="AD28" s="565"/>
    </row>
    <row r="29" spans="1:30" s="11" customFormat="1" ht="13.5" customHeight="1">
      <c r="A29" s="40"/>
      <c r="B29" s="92" t="s">
        <v>173</v>
      </c>
      <c r="C29" s="566" t="str">
        <f>'Existing (Sched)'!C25:O25</f>
        <v>Detail may not add to totals due to independent rounding.</v>
      </c>
      <c r="D29" s="566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68"/>
      <c r="Y29" s="566"/>
      <c r="Z29" s="566"/>
      <c r="AA29" s="566"/>
      <c r="AB29" s="566"/>
      <c r="AC29" s="566"/>
      <c r="AD29" s="566"/>
    </row>
    <row r="30" spans="1:30" s="11" customFormat="1" ht="13.5" customHeight="1">
      <c r="A30" s="40"/>
      <c r="B30" s="40"/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68"/>
      <c r="Y30" s="566"/>
      <c r="Z30" s="566"/>
      <c r="AA30" s="566"/>
      <c r="AB30" s="566"/>
      <c r="AC30" s="566"/>
      <c r="AD30" s="566"/>
    </row>
    <row r="31" spans="3:30" s="11" customFormat="1" ht="13.5" customHeight="1"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68"/>
      <c r="Y31" s="566"/>
      <c r="Z31" s="566"/>
      <c r="AA31" s="566"/>
      <c r="AB31" s="566"/>
      <c r="AC31" s="566"/>
      <c r="AD31" s="566"/>
    </row>
    <row r="32" spans="3:30" s="11" customFormat="1" ht="13.5" customHeight="1"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68"/>
      <c r="Y32" s="566"/>
      <c r="Z32" s="566"/>
      <c r="AA32" s="566"/>
      <c r="AB32" s="566"/>
      <c r="AC32" s="566"/>
      <c r="AD32" s="566"/>
    </row>
    <row r="33" spans="3:30" ht="13.5" customHeight="1"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0"/>
      <c r="Y33" s="565"/>
      <c r="Z33" s="565"/>
      <c r="AA33" s="565"/>
      <c r="AB33" s="565"/>
      <c r="AC33" s="565"/>
      <c r="AD33" s="565"/>
    </row>
    <row r="34" ht="13.5" customHeight="1"/>
    <row r="35" ht="12.75" customHeight="1"/>
    <row r="47" ht="13.5" customHeight="1"/>
  </sheetData>
  <mergeCells count="34">
    <mergeCell ref="Z5:Z7"/>
    <mergeCell ref="AA5:AC6"/>
    <mergeCell ref="AD5:AF6"/>
    <mergeCell ref="AF8:AF9"/>
    <mergeCell ref="C33:W33"/>
    <mergeCell ref="Y33:AD33"/>
    <mergeCell ref="C31:W31"/>
    <mergeCell ref="Y31:AD31"/>
    <mergeCell ref="C32:W32"/>
    <mergeCell ref="Y32:AD32"/>
    <mergeCell ref="C29:W29"/>
    <mergeCell ref="Y29:AD29"/>
    <mergeCell ref="C30:W30"/>
    <mergeCell ref="Y30:AD30"/>
    <mergeCell ref="C26:W26"/>
    <mergeCell ref="C28:W28"/>
    <mergeCell ref="Y28:AD28"/>
    <mergeCell ref="C27:X27"/>
    <mergeCell ref="C25:W25"/>
    <mergeCell ref="B5:B9"/>
    <mergeCell ref="B11:B15"/>
    <mergeCell ref="B16:C16"/>
    <mergeCell ref="B22:C22"/>
    <mergeCell ref="B17:B21"/>
    <mergeCell ref="B23:C23"/>
    <mergeCell ref="B10:C10"/>
    <mergeCell ref="C24:W24"/>
    <mergeCell ref="B1:W1"/>
    <mergeCell ref="F3:U3"/>
    <mergeCell ref="B3:B4"/>
    <mergeCell ref="C3:C4"/>
    <mergeCell ref="D3:D4"/>
    <mergeCell ref="B2:W2"/>
    <mergeCell ref="V3:W3"/>
  </mergeCells>
  <printOptions horizontalCentered="1" verticalCentered="1"/>
  <pageMargins left="0.5" right="0.5" top="0.75" bottom="0.75" header="0.5" footer="0.5"/>
  <pageSetup fitToHeight="1" fitToWidth="1" horizontalDpi="600" verticalDpi="600" orientation="landscape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workbookViewId="0" topLeftCell="A18">
      <selection activeCell="A20" sqref="A20"/>
    </sheetView>
  </sheetViews>
  <sheetFormatPr defaultColWidth="9.140625" defaultRowHeight="12.75"/>
  <cols>
    <col min="2" max="2" width="8.421875" style="0" bestFit="1" customWidth="1"/>
    <col min="3" max="3" width="10.7109375" style="0" bestFit="1" customWidth="1"/>
    <col min="4" max="4" width="7.7109375" style="0" customWidth="1"/>
    <col min="5" max="5" width="7.421875" style="0" customWidth="1"/>
    <col min="6" max="6" width="8.00390625" style="0" customWidth="1"/>
    <col min="7" max="8" width="7.28125" style="0" customWidth="1"/>
    <col min="9" max="9" width="7.8515625" style="0" customWidth="1"/>
    <col min="10" max="11" width="7.57421875" style="0" customWidth="1"/>
    <col min="12" max="12" width="8.00390625" style="0" customWidth="1"/>
    <col min="13" max="13" width="7.7109375" style="0" customWidth="1"/>
    <col min="14" max="14" width="8.00390625" style="0" customWidth="1"/>
    <col min="15" max="15" width="8.28125" style="0" customWidth="1"/>
  </cols>
  <sheetData>
    <row r="1" spans="1:15" ht="21.75" customHeight="1">
      <c r="A1" s="25"/>
      <c r="B1" s="556" t="s">
        <v>302</v>
      </c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</row>
    <row r="2" spans="1:15" ht="24" customHeight="1">
      <c r="A2" s="25"/>
      <c r="B2" s="588" t="s">
        <v>231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</row>
    <row r="3" spans="1:15" ht="40.5" customHeight="1">
      <c r="A3" s="25"/>
      <c r="B3" s="552" t="s">
        <v>199</v>
      </c>
      <c r="C3" s="590" t="s">
        <v>200</v>
      </c>
      <c r="D3" s="593" t="s">
        <v>208</v>
      </c>
      <c r="E3" s="594"/>
      <c r="F3" s="595"/>
      <c r="G3" s="593" t="s">
        <v>189</v>
      </c>
      <c r="H3" s="594"/>
      <c r="I3" s="595"/>
      <c r="J3" s="593" t="s">
        <v>190</v>
      </c>
      <c r="K3" s="594"/>
      <c r="L3" s="595"/>
      <c r="M3" s="596" t="s">
        <v>187</v>
      </c>
      <c r="N3" s="594"/>
      <c r="O3" s="594"/>
    </row>
    <row r="4" spans="1:15" ht="27" customHeight="1" thickBot="1">
      <c r="A4" s="25"/>
      <c r="B4" s="589"/>
      <c r="C4" s="591"/>
      <c r="D4" s="107" t="s">
        <v>61</v>
      </c>
      <c r="E4" s="77" t="s">
        <v>62</v>
      </c>
      <c r="F4" s="108" t="s">
        <v>63</v>
      </c>
      <c r="G4" s="107" t="s">
        <v>61</v>
      </c>
      <c r="H4" s="77" t="s">
        <v>62</v>
      </c>
      <c r="I4" s="108" t="s">
        <v>63</v>
      </c>
      <c r="J4" s="107" t="s">
        <v>61</v>
      </c>
      <c r="K4" s="77" t="s">
        <v>62</v>
      </c>
      <c r="L4" s="108" t="s">
        <v>63</v>
      </c>
      <c r="M4" s="100" t="s">
        <v>61</v>
      </c>
      <c r="N4" s="77" t="s">
        <v>62</v>
      </c>
      <c r="O4" s="77" t="s">
        <v>63</v>
      </c>
    </row>
    <row r="5" spans="1:15" ht="13.5" customHeight="1">
      <c r="A5" s="25"/>
      <c r="B5" s="571" t="s">
        <v>0</v>
      </c>
      <c r="C5" s="105" t="s">
        <v>118</v>
      </c>
      <c r="D5" s="109">
        <f>'Stage 1'!E5*0.5</f>
        <v>0</v>
      </c>
      <c r="E5" s="79">
        <v>0</v>
      </c>
      <c r="F5" s="110">
        <v>0</v>
      </c>
      <c r="G5" s="109">
        <f>'Stage 1'!E5</f>
        <v>0</v>
      </c>
      <c r="H5" s="79">
        <v>0</v>
      </c>
      <c r="I5" s="110">
        <v>0</v>
      </c>
      <c r="J5" s="109">
        <f>G5</f>
        <v>0</v>
      </c>
      <c r="K5" s="79">
        <f>'Stage 1'!H5+'Stage 1'!J5+'Stage 1'!L5+'Stage 1'!N5+'Stage 1'!Q5+'Stage 1'!S5+'Stage 1'!U5</f>
        <v>928.2634287637529</v>
      </c>
      <c r="L5" s="110">
        <f>'Stage 1'!W5</f>
        <v>200.10191999999998</v>
      </c>
      <c r="M5" s="101">
        <f>(D5+G5+J5)/2.5</f>
        <v>0</v>
      </c>
      <c r="N5" s="79">
        <f>(E5+H5+K5)/2.5</f>
        <v>371.30537150550117</v>
      </c>
      <c r="O5" s="79">
        <f>(F5+I5+L5)/2.5</f>
        <v>80.04076799999999</v>
      </c>
    </row>
    <row r="6" spans="1:15" ht="13.5" customHeight="1">
      <c r="A6" s="25"/>
      <c r="B6" s="572"/>
      <c r="C6" s="106" t="s">
        <v>119</v>
      </c>
      <c r="D6" s="111">
        <f>'Stage 1'!E6*0.5</f>
        <v>0</v>
      </c>
      <c r="E6" s="71">
        <v>0</v>
      </c>
      <c r="F6" s="112">
        <v>0</v>
      </c>
      <c r="G6" s="111">
        <f>'Stage 1'!E6</f>
        <v>0</v>
      </c>
      <c r="H6" s="71">
        <v>0</v>
      </c>
      <c r="I6" s="112">
        <v>0</v>
      </c>
      <c r="J6" s="111">
        <f aca="true" t="shared" si="0" ref="J6:L22">G6</f>
        <v>0</v>
      </c>
      <c r="K6" s="71">
        <f>'Stage 1'!H6+'Stage 1'!J6+'Stage 1'!L6+'Stage 1'!N6+'Stage 1'!Q6+'Stage 1'!S6+'Stage 1'!U6</f>
        <v>526.1090535685119</v>
      </c>
      <c r="L6" s="112">
        <f>'Stage 1'!W6</f>
        <v>113.13398000000001</v>
      </c>
      <c r="M6" s="102">
        <f aca="true" t="shared" si="1" ref="M6:O23">(D6+G6+J6)/2.5</f>
        <v>0</v>
      </c>
      <c r="N6" s="71">
        <f t="shared" si="1"/>
        <v>210.44362142740474</v>
      </c>
      <c r="O6" s="71">
        <f t="shared" si="1"/>
        <v>45.253592000000005</v>
      </c>
    </row>
    <row r="7" spans="1:15" ht="13.5" customHeight="1">
      <c r="A7" s="25"/>
      <c r="B7" s="572"/>
      <c r="C7" s="106" t="s">
        <v>130</v>
      </c>
      <c r="D7" s="111">
        <f>'Stage 1'!E7*0.5</f>
        <v>0</v>
      </c>
      <c r="E7" s="71">
        <v>0</v>
      </c>
      <c r="F7" s="112">
        <v>0</v>
      </c>
      <c r="G7" s="111">
        <f>'Stage 1'!E7</f>
        <v>0</v>
      </c>
      <c r="H7" s="71">
        <v>0</v>
      </c>
      <c r="I7" s="112">
        <v>0</v>
      </c>
      <c r="J7" s="111">
        <f t="shared" si="0"/>
        <v>0</v>
      </c>
      <c r="K7" s="71">
        <f>'Stage 1'!H7+'Stage 1'!J7+'Stage 1'!L7+'Stage 1'!N7+'Stage 1'!Q7+'Stage 1'!S7+'Stage 1'!U7</f>
        <v>171.50747703029742</v>
      </c>
      <c r="L7" s="112">
        <f>'Stage 1'!W7</f>
        <v>36.806135</v>
      </c>
      <c r="M7" s="102">
        <f t="shared" si="1"/>
        <v>0</v>
      </c>
      <c r="N7" s="71">
        <f t="shared" si="1"/>
        <v>68.60299081211897</v>
      </c>
      <c r="O7" s="71">
        <f t="shared" si="1"/>
        <v>14.722453999999999</v>
      </c>
    </row>
    <row r="8" spans="1:15" ht="13.5" customHeight="1">
      <c r="A8" s="25"/>
      <c r="B8" s="572"/>
      <c r="C8" s="106" t="s">
        <v>131</v>
      </c>
      <c r="D8" s="111">
        <f>'Stage 1'!E8*0.5</f>
        <v>0.5</v>
      </c>
      <c r="E8" s="71">
        <f>('Stage 1'!G8+'Stage 1'!I8+'Stage 1'!K8+'Stage 1'!M8+'Stage 1'!P8+'Stage 1'!R8+'Stage 1'!T8)*0.5</f>
        <v>72.82146</v>
      </c>
      <c r="F8" s="112">
        <f>'Stage 1'!V8*0.5</f>
        <v>15.607740000000002</v>
      </c>
      <c r="G8" s="111">
        <f>'Stage 1'!E8</f>
        <v>1</v>
      </c>
      <c r="H8" s="71">
        <f>'Stage 1'!G8+'Stage 1'!I8+'Stage 1'!K8+'Stage 1'!M8+'Stage 1'!P8+'Stage 1'!R8+'Stage 1'!T8</f>
        <v>145.64292</v>
      </c>
      <c r="I8" s="112">
        <f>'Stage 1'!V8</f>
        <v>31.215480000000003</v>
      </c>
      <c r="J8" s="111">
        <f t="shared" si="0"/>
        <v>1</v>
      </c>
      <c r="K8" s="71">
        <f t="shared" si="0"/>
        <v>145.64292</v>
      </c>
      <c r="L8" s="112">
        <f t="shared" si="0"/>
        <v>31.215480000000003</v>
      </c>
      <c r="M8" s="102">
        <f t="shared" si="1"/>
        <v>1</v>
      </c>
      <c r="N8" s="71">
        <f t="shared" si="1"/>
        <v>145.64292</v>
      </c>
      <c r="O8" s="71">
        <f t="shared" si="1"/>
        <v>31.215480000000003</v>
      </c>
    </row>
    <row r="9" spans="1:15" ht="13.5" customHeight="1">
      <c r="A9" s="25"/>
      <c r="B9" s="572"/>
      <c r="C9" s="106" t="s">
        <v>132</v>
      </c>
      <c r="D9" s="111">
        <f>'Stage 1'!E9*0.5</f>
        <v>0</v>
      </c>
      <c r="E9" s="71">
        <f>('Stage 1'!G9+'Stage 1'!I9+'Stage 1'!K9+'Stage 1'!M9+'Stage 1'!P9+'Stage 1'!R9+'Stage 1'!T9)*0.5</f>
        <v>7.374541225074865</v>
      </c>
      <c r="F9" s="112">
        <f>'Stage 1'!V9*0.5</f>
        <v>1.6252125</v>
      </c>
      <c r="G9" s="111">
        <f>'Stage 1'!E9</f>
        <v>0</v>
      </c>
      <c r="H9" s="71">
        <f>'Stage 1'!G9+'Stage 1'!I9+'Stage 1'!K9+'Stage 1'!M9+'Stage 1'!P9+'Stage 1'!R9+'Stage 1'!T9</f>
        <v>14.74908245014973</v>
      </c>
      <c r="I9" s="112">
        <f>'Stage 1'!V9</f>
        <v>3.250425</v>
      </c>
      <c r="J9" s="111">
        <f t="shared" si="0"/>
        <v>0</v>
      </c>
      <c r="K9" s="71">
        <f t="shared" si="0"/>
        <v>14.74908245014973</v>
      </c>
      <c r="L9" s="112">
        <f t="shared" si="0"/>
        <v>3.250425</v>
      </c>
      <c r="M9" s="102">
        <f t="shared" si="1"/>
        <v>0</v>
      </c>
      <c r="N9" s="71">
        <f t="shared" si="1"/>
        <v>14.749082450149732</v>
      </c>
      <c r="O9" s="71">
        <f t="shared" si="1"/>
        <v>3.250425</v>
      </c>
    </row>
    <row r="10" spans="2:15" ht="13.5" customHeight="1" thickBot="1">
      <c r="B10" s="569" t="s">
        <v>127</v>
      </c>
      <c r="C10" s="592"/>
      <c r="D10" s="113">
        <f>'Stage 1'!E10*0.5</f>
        <v>0.5</v>
      </c>
      <c r="E10" s="81">
        <f>('Stage 1'!G10+'Stage 1'!I10+'Stage 1'!K10+'Stage 1'!M10+'Stage 1'!P10+'Stage 1'!R10+'Stage 1'!T10)*0.5</f>
        <v>80.19600122507487</v>
      </c>
      <c r="F10" s="114">
        <f>'Stage 1'!V10*0.5</f>
        <v>17.232952500000003</v>
      </c>
      <c r="G10" s="113">
        <f>'Stage 1'!E10</f>
        <v>1</v>
      </c>
      <c r="H10" s="81">
        <f>'Stage 1'!G10+'Stage 1'!I10+'Stage 1'!K10+'Stage 1'!M10+'Stage 1'!P10+'Stage 1'!R10+'Stage 1'!T10</f>
        <v>160.39200245014973</v>
      </c>
      <c r="I10" s="114">
        <f>'Stage 1'!V10</f>
        <v>34.46590500000001</v>
      </c>
      <c r="J10" s="113">
        <f>SUM(J5:J9)</f>
        <v>1</v>
      </c>
      <c r="K10" s="81">
        <f>SUM(K5:K9)</f>
        <v>1786.2719618127119</v>
      </c>
      <c r="L10" s="114">
        <f>SUM(L5:L9)</f>
        <v>384.50794</v>
      </c>
      <c r="M10" s="103">
        <f t="shared" si="1"/>
        <v>1</v>
      </c>
      <c r="N10" s="81">
        <f t="shared" si="1"/>
        <v>810.7439861951746</v>
      </c>
      <c r="O10" s="81">
        <f t="shared" si="1"/>
        <v>174.48271900000003</v>
      </c>
    </row>
    <row r="11" spans="2:15" ht="13.5" customHeight="1">
      <c r="B11" s="571" t="s">
        <v>2</v>
      </c>
      <c r="C11" s="105" t="s">
        <v>118</v>
      </c>
      <c r="D11" s="109">
        <f>'Stage 1'!E11*0.5</f>
        <v>0</v>
      </c>
      <c r="E11" s="79">
        <v>0</v>
      </c>
      <c r="F11" s="110">
        <v>0</v>
      </c>
      <c r="G11" s="109">
        <f>'Stage 1'!E11</f>
        <v>0</v>
      </c>
      <c r="H11" s="79">
        <v>0</v>
      </c>
      <c r="I11" s="110">
        <v>0</v>
      </c>
      <c r="J11" s="109">
        <f t="shared" si="0"/>
        <v>0</v>
      </c>
      <c r="K11" s="79">
        <f>'Stage 1'!H11+'Stage 1'!J11+'Stage 1'!L11+'Stage 1'!N11+'Stage 1'!Q11+'Stage 1'!S11+'Stage 1'!U11</f>
        <v>303.4569973184291</v>
      </c>
      <c r="L11" s="110">
        <f>'Stage 1'!W11</f>
        <v>65.456805</v>
      </c>
      <c r="M11" s="101">
        <f t="shared" si="1"/>
        <v>0</v>
      </c>
      <c r="N11" s="79">
        <f t="shared" si="1"/>
        <v>121.38279892737164</v>
      </c>
      <c r="O11" s="79">
        <f t="shared" si="1"/>
        <v>26.182722000000002</v>
      </c>
    </row>
    <row r="12" spans="2:15" ht="13.5" customHeight="1">
      <c r="B12" s="572"/>
      <c r="C12" s="106" t="s">
        <v>119</v>
      </c>
      <c r="D12" s="111">
        <f>'Stage 1'!E12*0.5</f>
        <v>0</v>
      </c>
      <c r="E12" s="71">
        <v>0</v>
      </c>
      <c r="F12" s="112">
        <v>0</v>
      </c>
      <c r="G12" s="111">
        <f>'Stage 1'!E12</f>
        <v>0</v>
      </c>
      <c r="H12" s="71">
        <v>0</v>
      </c>
      <c r="I12" s="112">
        <v>0</v>
      </c>
      <c r="J12" s="111">
        <f t="shared" si="0"/>
        <v>0</v>
      </c>
      <c r="K12" s="71">
        <f>'Stage 1'!H12+'Stage 1'!J12+'Stage 1'!L12+'Stage 1'!N12+'Stage 1'!Q12+'Stage 1'!S12+'Stage 1'!U12</f>
        <v>51.30844621051432</v>
      </c>
      <c r="L12" s="112">
        <f>'Stage 1'!W12</f>
        <v>11.053249999999998</v>
      </c>
      <c r="M12" s="102">
        <f t="shared" si="1"/>
        <v>0</v>
      </c>
      <c r="N12" s="71">
        <f t="shared" si="1"/>
        <v>20.52337848420573</v>
      </c>
      <c r="O12" s="71">
        <f t="shared" si="1"/>
        <v>4.4213</v>
      </c>
    </row>
    <row r="13" spans="2:15" ht="13.5" customHeight="1">
      <c r="B13" s="572"/>
      <c r="C13" s="106" t="s">
        <v>130</v>
      </c>
      <c r="D13" s="111">
        <f>'Stage 1'!E13*0.5</f>
        <v>0</v>
      </c>
      <c r="E13" s="71">
        <v>0</v>
      </c>
      <c r="F13" s="112">
        <v>0</v>
      </c>
      <c r="G13" s="111">
        <f>'Stage 1'!E13</f>
        <v>0</v>
      </c>
      <c r="H13" s="71">
        <v>0</v>
      </c>
      <c r="I13" s="112">
        <v>0</v>
      </c>
      <c r="J13" s="111">
        <f t="shared" si="0"/>
        <v>0</v>
      </c>
      <c r="K13" s="71">
        <f>'Stage 1'!H13+'Stage 1'!J13+'Stage 1'!L13+'Stage 1'!N13+'Stage 1'!Q13+'Stage 1'!S13+'Stage 1'!U13</f>
        <v>2.1357996944348994</v>
      </c>
      <c r="L13" s="112">
        <f>'Stage 1'!W13</f>
        <v>0.45856499999999994</v>
      </c>
      <c r="M13" s="102">
        <f t="shared" si="1"/>
        <v>0</v>
      </c>
      <c r="N13" s="71">
        <f t="shared" si="1"/>
        <v>0.8543198777739598</v>
      </c>
      <c r="O13" s="71">
        <f t="shared" si="1"/>
        <v>0.18342599999999998</v>
      </c>
    </row>
    <row r="14" spans="2:15" ht="13.5" customHeight="1">
      <c r="B14" s="572"/>
      <c r="C14" s="106" t="s">
        <v>131</v>
      </c>
      <c r="D14" s="111">
        <f>'Stage 1'!E14*0.5</f>
        <v>0</v>
      </c>
      <c r="E14" s="71">
        <f>('Stage 1'!G14+'Stage 1'!I14+'Stage 1'!K14+'Stage 1'!M14+'Stage 1'!P14+'Stage 1'!R14+'Stage 1'!T14)*0.5</f>
        <v>0.30325820557300415</v>
      </c>
      <c r="F14" s="112">
        <f>'Stage 1'!V14*0.5</f>
        <v>0.06683249999999999</v>
      </c>
      <c r="G14" s="111">
        <f>'Stage 1'!E14</f>
        <v>0</v>
      </c>
      <c r="H14" s="71">
        <f>'Stage 1'!G14+'Stage 1'!I14+'Stage 1'!K14+'Stage 1'!M14+'Stage 1'!P14+'Stage 1'!R14+'Stage 1'!T14</f>
        <v>0.6065164111460083</v>
      </c>
      <c r="I14" s="112">
        <f>'Stage 1'!V14</f>
        <v>0.13366499999999998</v>
      </c>
      <c r="J14" s="111">
        <f t="shared" si="0"/>
        <v>0</v>
      </c>
      <c r="K14" s="71">
        <f t="shared" si="0"/>
        <v>0.6065164111460083</v>
      </c>
      <c r="L14" s="112">
        <f t="shared" si="0"/>
        <v>0.13366499999999998</v>
      </c>
      <c r="M14" s="102">
        <f t="shared" si="1"/>
        <v>0</v>
      </c>
      <c r="N14" s="71">
        <f t="shared" si="1"/>
        <v>0.6065164111460083</v>
      </c>
      <c r="O14" s="71">
        <f t="shared" si="1"/>
        <v>0.13366499999999998</v>
      </c>
    </row>
    <row r="15" spans="2:15" ht="13.5" customHeight="1">
      <c r="B15" s="572"/>
      <c r="C15" s="106" t="s">
        <v>132</v>
      </c>
      <c r="D15" s="111">
        <f>'Stage 1'!E15*0.5</f>
        <v>0</v>
      </c>
      <c r="E15" s="71">
        <f>('Stage 1'!G15+'Stage 1'!I15+'Stage 1'!K15+'Stage 1'!M15+'Stage 1'!P15+'Stage 1'!R15+'Stage 1'!T15)*0.5</f>
        <v>0.03750314695785552</v>
      </c>
      <c r="F15" s="112">
        <f>'Stage 1'!V15*0.5</f>
        <v>0.008265</v>
      </c>
      <c r="G15" s="111">
        <f>'Stage 1'!E15</f>
        <v>0</v>
      </c>
      <c r="H15" s="71">
        <f>'Stage 1'!G15+'Stage 1'!I15+'Stage 1'!K15+'Stage 1'!M15+'Stage 1'!P15+'Stage 1'!R15+'Stage 1'!T15</f>
        <v>0.07500629391571104</v>
      </c>
      <c r="I15" s="112">
        <f>'Stage 1'!V15</f>
        <v>0.01653</v>
      </c>
      <c r="J15" s="111">
        <f t="shared" si="0"/>
        <v>0</v>
      </c>
      <c r="K15" s="71">
        <f t="shared" si="0"/>
        <v>0.07500629391571104</v>
      </c>
      <c r="L15" s="112">
        <f t="shared" si="0"/>
        <v>0.01653</v>
      </c>
      <c r="M15" s="102">
        <f t="shared" si="1"/>
        <v>0</v>
      </c>
      <c r="N15" s="71">
        <f t="shared" si="1"/>
        <v>0.07500629391571104</v>
      </c>
      <c r="O15" s="71">
        <f t="shared" si="1"/>
        <v>0.01653</v>
      </c>
    </row>
    <row r="16" spans="2:15" ht="13.5" customHeight="1" thickBot="1">
      <c r="B16" s="569" t="s">
        <v>127</v>
      </c>
      <c r="C16" s="592"/>
      <c r="D16" s="113">
        <f>'Stage 1'!E16*0.5</f>
        <v>0</v>
      </c>
      <c r="E16" s="81">
        <f>('Stage 1'!G16+'Stage 1'!I16+'Stage 1'!K16+'Stage 1'!M16+'Stage 1'!P16+'Stage 1'!R16+'Stage 1'!T16)*0.5</f>
        <v>0.3407613525308597</v>
      </c>
      <c r="F16" s="114">
        <f>'Stage 1'!V16*0.5</f>
        <v>0.07509749999999998</v>
      </c>
      <c r="G16" s="113">
        <f>'Stage 1'!E16</f>
        <v>0</v>
      </c>
      <c r="H16" s="81">
        <f>'Stage 1'!G16+'Stage 1'!I16+'Stage 1'!K16+'Stage 1'!M16+'Stage 1'!P16+'Stage 1'!R16+'Stage 1'!T16</f>
        <v>0.6815227050617194</v>
      </c>
      <c r="I16" s="114">
        <f>'Stage 1'!V16</f>
        <v>0.15019499999999997</v>
      </c>
      <c r="J16" s="113">
        <f>SUM(J11:J15)</f>
        <v>0</v>
      </c>
      <c r="K16" s="81">
        <f>SUM(K11:K15)</f>
        <v>357.58276592844004</v>
      </c>
      <c r="L16" s="114">
        <f>SUM(L11:L15)</f>
        <v>77.11881499999998</v>
      </c>
      <c r="M16" s="103">
        <f t="shared" si="1"/>
        <v>0</v>
      </c>
      <c r="N16" s="81">
        <f t="shared" si="1"/>
        <v>143.44201999441304</v>
      </c>
      <c r="O16" s="81">
        <f t="shared" si="1"/>
        <v>30.93764299999999</v>
      </c>
    </row>
    <row r="17" spans="2:15" ht="13.5" customHeight="1">
      <c r="B17" s="571" t="s">
        <v>124</v>
      </c>
      <c r="C17" s="105" t="s">
        <v>118</v>
      </c>
      <c r="D17" s="109">
        <f>'Stage 1'!E17*0.5</f>
        <v>0</v>
      </c>
      <c r="E17" s="79">
        <v>0</v>
      </c>
      <c r="F17" s="110">
        <v>0</v>
      </c>
      <c r="G17" s="109">
        <f>'Stage 1'!E17</f>
        <v>0</v>
      </c>
      <c r="H17" s="79">
        <v>0</v>
      </c>
      <c r="I17" s="110">
        <v>0</v>
      </c>
      <c r="J17" s="109">
        <f t="shared" si="0"/>
        <v>0</v>
      </c>
      <c r="K17" s="79">
        <v>0</v>
      </c>
      <c r="L17" s="110">
        <f t="shared" si="0"/>
        <v>0</v>
      </c>
      <c r="M17" s="101">
        <f t="shared" si="1"/>
        <v>0</v>
      </c>
      <c r="N17" s="79">
        <f t="shared" si="1"/>
        <v>0</v>
      </c>
      <c r="O17" s="79">
        <f t="shared" si="1"/>
        <v>0</v>
      </c>
    </row>
    <row r="18" spans="2:15" ht="13.5" customHeight="1">
      <c r="B18" s="572"/>
      <c r="C18" s="106" t="s">
        <v>119</v>
      </c>
      <c r="D18" s="111">
        <f>'Stage 1'!E18*0.5</f>
        <v>0</v>
      </c>
      <c r="E18" s="71">
        <v>0</v>
      </c>
      <c r="F18" s="112">
        <v>0</v>
      </c>
      <c r="G18" s="111">
        <f>'Stage 1'!E18</f>
        <v>0</v>
      </c>
      <c r="H18" s="71">
        <v>0</v>
      </c>
      <c r="I18" s="112">
        <v>0</v>
      </c>
      <c r="J18" s="111">
        <f t="shared" si="0"/>
        <v>0</v>
      </c>
      <c r="K18" s="71">
        <v>0</v>
      </c>
      <c r="L18" s="112">
        <f t="shared" si="0"/>
        <v>0</v>
      </c>
      <c r="M18" s="102">
        <f t="shared" si="1"/>
        <v>0</v>
      </c>
      <c r="N18" s="71">
        <f t="shared" si="1"/>
        <v>0</v>
      </c>
      <c r="O18" s="71">
        <f t="shared" si="1"/>
        <v>0</v>
      </c>
    </row>
    <row r="19" spans="2:15" ht="13.5" customHeight="1">
      <c r="B19" s="572"/>
      <c r="C19" s="106" t="s">
        <v>130</v>
      </c>
      <c r="D19" s="111">
        <f>'Stage 1'!E19*0.5</f>
        <v>0</v>
      </c>
      <c r="E19" s="71">
        <v>0</v>
      </c>
      <c r="F19" s="112">
        <v>0</v>
      </c>
      <c r="G19" s="111">
        <f>'Stage 1'!E19</f>
        <v>0</v>
      </c>
      <c r="H19" s="71">
        <v>0</v>
      </c>
      <c r="I19" s="112">
        <v>0</v>
      </c>
      <c r="J19" s="111">
        <f t="shared" si="0"/>
        <v>0</v>
      </c>
      <c r="K19" s="71">
        <v>0</v>
      </c>
      <c r="L19" s="112">
        <f t="shared" si="0"/>
        <v>0</v>
      </c>
      <c r="M19" s="102">
        <f t="shared" si="1"/>
        <v>0</v>
      </c>
      <c r="N19" s="71">
        <f t="shared" si="1"/>
        <v>0</v>
      </c>
      <c r="O19" s="71">
        <f t="shared" si="1"/>
        <v>0</v>
      </c>
    </row>
    <row r="20" spans="2:15" ht="13.5" customHeight="1">
      <c r="B20" s="572"/>
      <c r="C20" s="106" t="s">
        <v>131</v>
      </c>
      <c r="D20" s="111">
        <f>'Stage 1'!E20*0.5</f>
        <v>0</v>
      </c>
      <c r="E20" s="71">
        <v>0</v>
      </c>
      <c r="F20" s="112">
        <v>0</v>
      </c>
      <c r="G20" s="111">
        <f>'Stage 1'!E20</f>
        <v>0</v>
      </c>
      <c r="H20" s="71">
        <v>0</v>
      </c>
      <c r="I20" s="112">
        <v>0</v>
      </c>
      <c r="J20" s="111">
        <f t="shared" si="0"/>
        <v>0</v>
      </c>
      <c r="K20" s="71">
        <v>0</v>
      </c>
      <c r="L20" s="112">
        <f t="shared" si="0"/>
        <v>0</v>
      </c>
      <c r="M20" s="102">
        <f t="shared" si="1"/>
        <v>0</v>
      </c>
      <c r="N20" s="71">
        <f t="shared" si="1"/>
        <v>0</v>
      </c>
      <c r="O20" s="71">
        <f t="shared" si="1"/>
        <v>0</v>
      </c>
    </row>
    <row r="21" spans="2:15" ht="13.5" customHeight="1">
      <c r="B21" s="572"/>
      <c r="C21" s="106" t="s">
        <v>132</v>
      </c>
      <c r="D21" s="111">
        <f>'Stage 1'!E21*0.5</f>
        <v>0</v>
      </c>
      <c r="E21" s="71">
        <v>0</v>
      </c>
      <c r="F21" s="112">
        <v>0</v>
      </c>
      <c r="G21" s="111">
        <f>'Stage 1'!E21</f>
        <v>0</v>
      </c>
      <c r="H21" s="71">
        <v>0</v>
      </c>
      <c r="I21" s="112">
        <v>0</v>
      </c>
      <c r="J21" s="111">
        <f t="shared" si="0"/>
        <v>0</v>
      </c>
      <c r="K21" s="71">
        <v>0</v>
      </c>
      <c r="L21" s="112">
        <f t="shared" si="0"/>
        <v>0</v>
      </c>
      <c r="M21" s="102">
        <f t="shared" si="1"/>
        <v>0</v>
      </c>
      <c r="N21" s="71">
        <f t="shared" si="1"/>
        <v>0</v>
      </c>
      <c r="O21" s="71">
        <f t="shared" si="1"/>
        <v>0</v>
      </c>
    </row>
    <row r="22" spans="2:19" ht="13.5" customHeight="1" thickBot="1">
      <c r="B22" s="569" t="s">
        <v>127</v>
      </c>
      <c r="C22" s="592"/>
      <c r="D22" s="113">
        <f>'Stage 1'!E22*0.5</f>
        <v>0</v>
      </c>
      <c r="E22" s="81">
        <v>0</v>
      </c>
      <c r="F22" s="114">
        <v>0</v>
      </c>
      <c r="G22" s="113">
        <f>'Stage 1'!E22</f>
        <v>0</v>
      </c>
      <c r="H22" s="81">
        <v>0</v>
      </c>
      <c r="I22" s="114">
        <v>0</v>
      </c>
      <c r="J22" s="113">
        <f t="shared" si="0"/>
        <v>0</v>
      </c>
      <c r="K22" s="81">
        <f t="shared" si="0"/>
        <v>0</v>
      </c>
      <c r="L22" s="114">
        <f t="shared" si="0"/>
        <v>0</v>
      </c>
      <c r="M22" s="103">
        <f t="shared" si="1"/>
        <v>0</v>
      </c>
      <c r="N22" s="81">
        <f t="shared" si="1"/>
        <v>0</v>
      </c>
      <c r="O22" s="81">
        <f t="shared" si="1"/>
        <v>0</v>
      </c>
      <c r="Q22">
        <v>1297</v>
      </c>
      <c r="R22">
        <v>8993</v>
      </c>
      <c r="S22">
        <v>31897</v>
      </c>
    </row>
    <row r="23" spans="2:19" ht="13.5" customHeight="1">
      <c r="B23" s="567" t="s">
        <v>207</v>
      </c>
      <c r="C23" s="581"/>
      <c r="D23" s="115">
        <f>'Stage 1'!E23*0.5</f>
        <v>0.5</v>
      </c>
      <c r="E23" s="82">
        <f>('Stage 1'!G23+'Stage 1'!I23+'Stage 1'!K23+'Stage 1'!M23+'Stage 1'!P23+'Stage 1'!R23+'Stage 1'!T23)*0.5</f>
        <v>80.53676257760573</v>
      </c>
      <c r="F23" s="116">
        <f>'Stage 1'!V23*0.5</f>
        <v>17.30805</v>
      </c>
      <c r="G23" s="115">
        <f>'Stage 1'!E23</f>
        <v>1</v>
      </c>
      <c r="H23" s="82">
        <f>'Stage 1'!G23+'Stage 1'!I23+'Stage 1'!K23+'Stage 1'!M23+'Stage 1'!P23+'Stage 1'!R23+'Stage 1'!T23</f>
        <v>161.07352515521146</v>
      </c>
      <c r="I23" s="116">
        <f>'Stage 1'!V23</f>
        <v>34.6161</v>
      </c>
      <c r="J23" s="115">
        <f>J10+J16+J22</f>
        <v>1</v>
      </c>
      <c r="K23" s="82">
        <f>K10+K16+K22</f>
        <v>2143.8547277411517</v>
      </c>
      <c r="L23" s="116">
        <f>L10+L16+L22</f>
        <v>461.626755</v>
      </c>
      <c r="M23" s="104">
        <f t="shared" si="1"/>
        <v>1</v>
      </c>
      <c r="N23" s="82">
        <f t="shared" si="1"/>
        <v>954.1860061895875</v>
      </c>
      <c r="O23" s="82">
        <f t="shared" si="1"/>
        <v>205.420362</v>
      </c>
      <c r="Q23">
        <v>1</v>
      </c>
      <c r="R23">
        <v>954</v>
      </c>
      <c r="S23">
        <v>205</v>
      </c>
    </row>
    <row r="24" spans="2:19" ht="13.5" customHeight="1">
      <c r="B24" s="64" t="s">
        <v>129</v>
      </c>
      <c r="C24" s="582" t="s">
        <v>317</v>
      </c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Q24">
        <v>2</v>
      </c>
      <c r="R24">
        <v>71</v>
      </c>
      <c r="S24">
        <v>12</v>
      </c>
    </row>
    <row r="25" spans="2:19" ht="12.75">
      <c r="B25" s="64" t="s">
        <v>173</v>
      </c>
      <c r="C25" s="566" t="str">
        <f>'Existing Tier 1'!C29:N29</f>
        <v>Detail may not add to totals due to independent rounding.</v>
      </c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Q25">
        <v>0</v>
      </c>
      <c r="R25">
        <v>13</v>
      </c>
      <c r="S25">
        <v>6</v>
      </c>
    </row>
    <row r="26" spans="3:19" ht="12.75">
      <c r="C26" s="566" t="s">
        <v>318</v>
      </c>
      <c r="D26" s="587"/>
      <c r="E26" s="587"/>
      <c r="F26" s="587"/>
      <c r="G26" s="587"/>
      <c r="H26" s="587"/>
      <c r="I26" s="587"/>
      <c r="J26" s="587"/>
      <c r="K26" s="587"/>
      <c r="Q26">
        <v>0</v>
      </c>
      <c r="R26">
        <v>439</v>
      </c>
      <c r="S26">
        <v>372</v>
      </c>
    </row>
    <row r="27" spans="3:20" ht="12.75">
      <c r="C27" s="566" t="s">
        <v>329</v>
      </c>
      <c r="D27" s="587"/>
      <c r="E27" s="587"/>
      <c r="F27" s="587"/>
      <c r="G27" s="587"/>
      <c r="H27" s="587"/>
      <c r="I27" s="587"/>
      <c r="J27" s="587"/>
      <c r="K27" s="587"/>
      <c r="L27" s="561"/>
      <c r="M27" s="561"/>
      <c r="N27" s="561"/>
      <c r="O27" s="561"/>
      <c r="Q27">
        <f>SUM(Q22:Q26)</f>
        <v>1300</v>
      </c>
      <c r="R27">
        <f>SUM(R22:R26)</f>
        <v>10470</v>
      </c>
      <c r="S27">
        <f>SUM(S22:S26)</f>
        <v>32492</v>
      </c>
      <c r="T27">
        <f>SUM(Q27:S27)</f>
        <v>44262</v>
      </c>
    </row>
    <row r="28" spans="3:16" ht="12.75" customHeight="1">
      <c r="C28" s="566" t="s">
        <v>284</v>
      </c>
      <c r="D28" s="587"/>
      <c r="E28" s="587"/>
      <c r="F28" s="587"/>
      <c r="G28" s="587"/>
      <c r="H28" s="587"/>
      <c r="I28" s="587"/>
      <c r="J28" s="587"/>
      <c r="K28" s="587"/>
      <c r="L28" s="561"/>
      <c r="M28" s="561"/>
      <c r="N28" s="561"/>
      <c r="O28" s="561"/>
      <c r="P28" s="68"/>
    </row>
  </sheetData>
  <mergeCells count="20">
    <mergeCell ref="C25:O25"/>
    <mergeCell ref="C26:K26"/>
    <mergeCell ref="C27:O27"/>
    <mergeCell ref="C28:O28"/>
    <mergeCell ref="B17:B21"/>
    <mergeCell ref="B22:C22"/>
    <mergeCell ref="B23:C23"/>
    <mergeCell ref="C24:O24"/>
    <mergeCell ref="B5:B9"/>
    <mergeCell ref="B10:C10"/>
    <mergeCell ref="B11:B15"/>
    <mergeCell ref="B16:C16"/>
    <mergeCell ref="B1:O1"/>
    <mergeCell ref="B2:O2"/>
    <mergeCell ref="B3:B4"/>
    <mergeCell ref="C3:C4"/>
    <mergeCell ref="D3:F3"/>
    <mergeCell ref="G3:I3"/>
    <mergeCell ref="J3:L3"/>
    <mergeCell ref="M3:O3"/>
  </mergeCells>
  <printOptions horizontalCentered="1" verticalCentered="1"/>
  <pageMargins left="0.5" right="0.5" top="0.75" bottom="0.7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drinking water systems -- facts &amp; figures</dc:title>
  <dc:subject/>
  <dc:creator>End-User Support</dc:creator>
  <cp:keywords/>
  <dc:description/>
  <cp:lastModifiedBy>Tiffany Klebe</cp:lastModifiedBy>
  <cp:lastPrinted>2002-03-05T20:25:19Z</cp:lastPrinted>
  <dcterms:created xsi:type="dcterms:W3CDTF">1998-08-11T21:53:25Z</dcterms:created>
  <dcterms:modified xsi:type="dcterms:W3CDTF">2002-03-05T20:28:58Z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1838462995</vt:i4>
  </property>
  <property fmtid="{D5CDD505-2E9C-101B-9397-08002B2CF9AE}" pid="4" name="_EmailSubje">
    <vt:lpwstr>PN Amendment -- OEI Draft</vt:lpwstr>
  </property>
  <property fmtid="{D5CDD505-2E9C-101B-9397-08002B2CF9AE}" pid="5" name="_AuthorEma">
    <vt:lpwstr>tklebe@cadmusgroup.com</vt:lpwstr>
  </property>
  <property fmtid="{D5CDD505-2E9C-101B-9397-08002B2CF9AE}" pid="6" name="_AuthorEmailDisplayNa">
    <vt:lpwstr>Tiffany Klebe</vt:lpwstr>
  </property>
</Properties>
</file>