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495" tabRatio="774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1" sheetId="10" r:id="rId10"/>
    <sheet name="df c12" sheetId="11" r:id="rId11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<sst xmlns="http://schemas.openxmlformats.org/spreadsheetml/2006/main" count="1658" uniqueCount="262">
  <si>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</si>
  <si>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</si>
  <si>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</si>
  <si>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</si>
  <si>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</si>
  <si>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</si>
  <si>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</si>
  <si>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</si>
  <si>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</si>
  <si>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</si>
  <si>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</si>
  <si>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</si>
  <si>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</si>
  <si>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</si>
  <si>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</si>
  <si>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</si>
  <si>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</si>
  <si>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</si>
  <si>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</si>
  <si>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</si>
  <si>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</si>
  <si>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</si>
  <si>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</si>
  <si>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</si>
  <si>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</si>
  <si>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</si>
  <si>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</si>
  <si>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</si>
  <si>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Average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</si>
  <si>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</si>
  <si>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</si>
  <si>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</si>
  <si>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</si>
  <si>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</si>
  <si>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</si>
  <si>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</si>
  <si>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</si>
  <si>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</si>
  <si>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</si>
  <si>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</si>
  <si>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</si>
  <si>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</si>
  <si>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</si>
  <si>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</si>
  <si>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</si>
  <si>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</si>
  <si>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</si>
  <si>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</si>
  <si>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</si>
  <si>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</si>
  <si>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</si>
  <si>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</si>
  <si>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</si>
  <si>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</si>
  <si>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</si>
  <si>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</si>
  <si>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</si>
  <si>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</si>
  <si>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</si>
  <si>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</si>
  <si>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</si>
  <si>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CO (RA)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</si>
  <si>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</si>
  <si>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</si>
  <si>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</si>
  <si>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</si>
  <si>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</si>
  <si>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</si>
  <si>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</si>
  <si>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</si>
  <si>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</si>
  <si>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</si>
  <si>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</si>
  <si>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</si>
  <si>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</si>
  <si>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</si>
  <si>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</si>
  <si>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</si>
  <si>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</si>
  <si>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</si>
  <si>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</si>
  <si>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</si>
  <si>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</si>
  <si>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</si>
  <si>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</si>
  <si>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</si>
  <si>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</si>
  <si>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</si>
  <si>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</si>
  <si>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</si>
  <si>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</si>
  <si>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</si>
  <si>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</si>
  <si>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</si>
  <si>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</si>
  <si>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</si>
  <si>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</si>
  <si>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</si>
  <si>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</si>
  <si>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</si>
  <si>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</si>
  <si>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</si>
  <si>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</si>
  <si>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</si>
  <si>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</si>
  <si>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</si>
  <si>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</si>
  <si>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nd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</si>
  <si>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</si>
  <si>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</si>
  <si>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</si>
  <si>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</si>
  <si>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</si>
  <si>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</si>
  <si>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</si>
  <si>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</si>
  <si>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</si>
  <si>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</si>
  <si>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</si>
  <si>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</si>
  <si>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</si>
  <si>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</si>
  <si>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</si>
  <si>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</si>
  <si>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Density</t>
  </si>
  <si>
    <t>g/cc</t>
  </si>
  <si>
    <t>in. w.c.</t>
  </si>
  <si>
    <t>Cascade</t>
  </si>
  <si>
    <t>Virginia</t>
  </si>
  <si>
    <t>VAD046970521</t>
  </si>
  <si>
    <t>RCRA Testing, Kilns 1,2,3,4, Certification of Compliance, August 1999</t>
  </si>
  <si>
    <t>Solite Corp</t>
  </si>
  <si>
    <t>Solite/Entropy/Blue Ridge</t>
  </si>
  <si>
    <t>Entropy</t>
  </si>
  <si>
    <t>May 25-26, 1999</t>
  </si>
  <si>
    <t>CO (MHRA)</t>
  </si>
  <si>
    <t>Cobalt</t>
  </si>
  <si>
    <t>Manganese</t>
  </si>
  <si>
    <t>LBM</t>
  </si>
  <si>
    <t>g/hr</t>
  </si>
  <si>
    <t>RM</t>
  </si>
  <si>
    <t>The raw material was excavated from the Virginia Solite quarry</t>
  </si>
  <si>
    <t>Max baghouse inlet temperature</t>
  </si>
  <si>
    <t>Trial Burn, organics DRE, HCl/Cl2 emissions limits</t>
  </si>
  <si>
    <r>
      <t>CO, PM, HCl/Cl2, Metals, Cr</t>
    </r>
    <r>
      <rPr>
        <vertAlign val="superscript"/>
        <sz val="10"/>
        <rFont val="Arial"/>
        <family val="2"/>
      </rPr>
      <t>+6</t>
    </r>
  </si>
  <si>
    <t>Trial Burn Report, Solite Corp, Virginia Solite Div., March 2000</t>
  </si>
  <si>
    <t>POHC DRE</t>
  </si>
  <si>
    <t>POHC Feedrate</t>
  </si>
  <si>
    <t>Emission Rate</t>
  </si>
  <si>
    <t>Perchloroethylene</t>
  </si>
  <si>
    <t>1,2,4 Trichlorobenzene</t>
  </si>
  <si>
    <t>D/F</t>
  </si>
  <si>
    <t>Kiln maximum negative pressure</t>
  </si>
  <si>
    <t>Trial Burn Report, Kiln 1 DRE Retest, Kilns 1-4 D/F. Solite Corp, Virginia Solite Div., July 2000</t>
  </si>
  <si>
    <t>Trial Burn, D/F Retest</t>
  </si>
  <si>
    <t>D/F, CO</t>
  </si>
  <si>
    <t>Solite/Entropy/B3 Systems</t>
  </si>
  <si>
    <t>Detected in sample volume (pg)</t>
  </si>
  <si>
    <t>COC, Metals SRE</t>
  </si>
  <si>
    <t>Baghouse inlet temperature</t>
  </si>
  <si>
    <t>CO, PM, HCl/Cl2, POHC DRE, PCCD/F</t>
  </si>
  <si>
    <t>Nov 18-19, 1999</t>
  </si>
  <si>
    <t>Kiln #4</t>
  </si>
  <si>
    <t>Kiln negative pressure</t>
  </si>
  <si>
    <t>312C10</t>
  </si>
  <si>
    <t>312C11</t>
  </si>
  <si>
    <t>312C12</t>
  </si>
  <si>
    <t>QS/FF</t>
  </si>
  <si>
    <t>May 9-19, 2000</t>
  </si>
  <si>
    <t>R1</t>
  </si>
  <si>
    <t>R2</t>
  </si>
  <si>
    <t>R3</t>
  </si>
  <si>
    <t>Cond Avg</t>
  </si>
  <si>
    <t>Max comb chamber temp</t>
  </si>
  <si>
    <t>Min baghouse pressure drop</t>
  </si>
  <si>
    <t>Min mid kiln temperature</t>
  </si>
  <si>
    <t>Max kiln exit temperature</t>
  </si>
  <si>
    <t>Comb zone temperature</t>
  </si>
  <si>
    <t>Mid kiln temperature</t>
  </si>
  <si>
    <t>CoC</t>
  </si>
  <si>
    <t>Combustion zone temperature</t>
  </si>
  <si>
    <t>312C1</t>
  </si>
  <si>
    <t>Report Name/Date</t>
  </si>
  <si>
    <t>Report Prepare</t>
  </si>
  <si>
    <t>Testing Firm</t>
  </si>
  <si>
    <t>Cond Descr</t>
  </si>
  <si>
    <t>312C2</t>
  </si>
  <si>
    <t/>
  </si>
  <si>
    <t>HC (MHRA)</t>
  </si>
  <si>
    <t>HC (RA)</t>
  </si>
  <si>
    <t>Chromium (Hex)</t>
  </si>
  <si>
    <t>Cr Hex</t>
  </si>
  <si>
    <t>Halogens</t>
  </si>
  <si>
    <t>Particulate</t>
  </si>
  <si>
    <t>?</t>
  </si>
  <si>
    <t>ppmw</t>
  </si>
  <si>
    <t>Report Preparation</t>
  </si>
  <si>
    <t>Testing Dates</t>
  </si>
  <si>
    <t>Condition Descr</t>
  </si>
  <si>
    <t>Content</t>
  </si>
  <si>
    <t>Condition Description</t>
  </si>
  <si>
    <t>Combustor Type</t>
  </si>
  <si>
    <t>Combustor Class</t>
  </si>
  <si>
    <t>Stack Gas Emissions 1</t>
  </si>
  <si>
    <t>Stack Gas Emissions 2</t>
  </si>
  <si>
    <t>31210</t>
  </si>
  <si>
    <t>Combustion Temperature</t>
  </si>
  <si>
    <t>F</t>
  </si>
  <si>
    <t>in H2O</t>
  </si>
  <si>
    <t>FF APCD Temperature</t>
  </si>
  <si>
    <t>FF Pressure Drop</t>
  </si>
  <si>
    <t>Stationary Source Sampling Report, Reference # 13967, Virginia Solite Company, Leaksville Plant, Cascade, Virginia, May 1995</t>
  </si>
  <si>
    <t>Virginia Solite Company</t>
  </si>
  <si>
    <t>Emission Test Report for No. 4 Aggregate Kiln Solite Corporation, Leaksville Plant, Cascade, Virginia, Prepared by IEA August 8, 1992</t>
  </si>
  <si>
    <t>IEA</t>
  </si>
  <si>
    <t>Process Information 2</t>
  </si>
  <si>
    <t>Process Information 1</t>
  </si>
  <si>
    <t>Phase I ID No.</t>
  </si>
  <si>
    <t>Feedstream 1</t>
  </si>
  <si>
    <t>Feedstream 2</t>
  </si>
  <si>
    <t>CoC, MAX HW FEED, MAX RAW MATERIAL</t>
  </si>
  <si>
    <t>Quench system (air and water).  Baghouse (reverse air cleaning, 580 bags, cloth area = 29,155 ft2, net air to cloth ratio = 2.23:1, design operating temp &lt; 450 °F at inlet), fiberglass bag material</t>
  </si>
  <si>
    <t>Full ND</t>
  </si>
  <si>
    <t>E1</t>
  </si>
  <si>
    <t>E2</t>
  </si>
  <si>
    <t>E3</t>
  </si>
  <si>
    <t>Cond Dates</t>
  </si>
  <si>
    <t>November 8-19, 1999</t>
  </si>
  <si>
    <t>Number of Sister Facilities</t>
  </si>
  <si>
    <t>APCS Detailed Acronym</t>
  </si>
  <si>
    <t>APCS General Class</t>
  </si>
  <si>
    <t>FF</t>
  </si>
  <si>
    <t>Liq</t>
  </si>
  <si>
    <t>Natural gas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</si>
  <si>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</si>
  <si>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</si>
  <si>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</si>
  <si>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</si>
  <si>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</si>
  <si>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</si>
  <si>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</si>
  <si>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</si>
  <si>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c11</t>
  </si>
  <si>
    <t>df c12</t>
  </si>
  <si>
    <t>Lightweight Aggregate Kiln (LWAK)</t>
  </si>
  <si>
    <t>Feedstream Number</t>
  </si>
  <si>
    <t>F1</t>
  </si>
  <si>
    <t>F2</t>
  </si>
  <si>
    <t>F3</t>
  </si>
  <si>
    <t>F4</t>
  </si>
  <si>
    <t>Feed Class</t>
  </si>
  <si>
    <t>Raw Material</t>
  </si>
  <si>
    <t>Liq HW</t>
  </si>
  <si>
    <t>Raw material shale</t>
  </si>
  <si>
    <t>Liq waste</t>
  </si>
  <si>
    <t>Feed Class 2</t>
  </si>
  <si>
    <t>Estimated Firing Rate</t>
  </si>
  <si>
    <t>Solite Corp, Lightweight Aggregate Kiln #4</t>
  </si>
  <si>
    <t>high nds?</t>
  </si>
  <si>
    <t>N</t>
  </si>
  <si>
    <t>Thermal Feedrate</t>
  </si>
  <si>
    <t>lb/min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</si>
</sst>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m/dd/yy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6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vertical="top" wrapText="1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03" fontId="0" fillId="0" borderId="0" xfId="0" applyNumberFormat="1" applyAlignment="1">
      <alignment vertical="top" wrapText="1"/>
    </xf>
    <xf numFmtId="0" fontId="3" fillId="0" borderId="0" xfId="0" applyFont="1" applyAlignment="1">
      <alignment vertical="top"/>
    </xf>
    <xf numFmtId="166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1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9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71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0" borderId="0" xfId="15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0"/>
  <sheetViews>
    <sheetView tabSelected="1" workbookViewId="0" topLeftCell="A1">
      <selection activeCell="D1" sqref="D1"/>
    </sheetView>
  </sheetViews>
  <sheetFormatPr defaultColWidth="9.140625" defaultRowHeight="12.75"/>
  <sheetData>
    <row r="1" ht="12.75">
      <c r="A1" t="s">
        <v>234</v>
      </c>
    </row>
    <row r="2" ht="12.75">
      <c r="A2" t="s">
        <v>235</v>
      </c>
    </row>
    <row r="3" ht="12.75">
      <c r="A3" t="s">
        <v>236</v>
      </c>
    </row>
    <row r="4" ht="12.75">
      <c r="A4" t="s">
        <v>237</v>
      </c>
    </row>
    <row r="5" ht="12.75">
      <c r="A5" t="s">
        <v>238</v>
      </c>
    </row>
    <row r="6" ht="12.75">
      <c r="A6" t="s">
        <v>239</v>
      </c>
    </row>
    <row r="7" ht="12.75">
      <c r="A7" t="s">
        <v>240</v>
      </c>
    </row>
    <row r="8" ht="12.75">
      <c r="A8" t="s">
        <v>241</v>
      </c>
    </row>
    <row r="9" ht="12.75">
      <c r="A9" t="s">
        <v>242</v>
      </c>
    </row>
    <row r="10" ht="12.75">
      <c r="A10" t="s">
        <v>243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44"/>
  <sheetViews>
    <sheetView workbookViewId="0" topLeftCell="A1">
      <selection activeCell="C1" sqref="C1"/>
    </sheetView>
  </sheetViews>
  <sheetFormatPr defaultColWidth="9.140625" defaultRowHeight="12.75"/>
  <cols>
    <col min="1" max="1" width="1.7109375" style="77" customWidth="1"/>
    <col min="2" max="2" width="20.00390625" style="77" customWidth="1"/>
    <col min="3" max="3" width="9.421875" style="77" customWidth="1"/>
    <col min="4" max="4" width="5.7109375" style="77" customWidth="1"/>
    <col min="5" max="5" width="9.421875" style="77" customWidth="1"/>
    <col min="6" max="6" width="9.8515625" style="77" customWidth="1"/>
    <col min="7" max="7" width="9.140625" style="77" customWidth="1"/>
    <col min="8" max="8" width="9.8515625" style="77" customWidth="1"/>
    <col min="9" max="9" width="3.421875" style="77" customWidth="1"/>
    <col min="10" max="10" width="9.140625" style="77" customWidth="1"/>
    <col min="11" max="11" width="9.28125" style="77" customWidth="1"/>
    <col min="12" max="12" width="9.140625" style="77" customWidth="1"/>
    <col min="13" max="13" width="9.28125" style="77" customWidth="1"/>
    <col min="14" max="14" width="5.140625" style="77" customWidth="1"/>
    <col min="15" max="15" width="9.140625" style="77" customWidth="1"/>
    <col min="16" max="16" width="9.00390625" style="77" customWidth="1"/>
    <col min="17" max="17" width="9.140625" style="77" customWidth="1"/>
    <col min="18" max="18" width="9.00390625" style="77" customWidth="1"/>
    <col min="19" max="16384" width="9.140625" style="77" customWidth="1"/>
  </cols>
  <sheetData>
    <row r="1" spans="1:18" ht="12.75">
      <c r="A1" s="38" t="s">
        <v>65</v>
      </c>
      <c r="B1" s="21"/>
      <c r="C1" s="21"/>
      <c r="D1" s="21"/>
      <c r="E1" s="39"/>
      <c r="F1" s="40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9" customHeight="1">
      <c r="A2" s="21" t="s">
        <v>259</v>
      </c>
      <c r="B2" s="21"/>
      <c r="C2" s="21"/>
      <c r="D2" s="21"/>
      <c r="E2" s="39"/>
      <c r="F2" s="40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21" t="s">
        <v>66</v>
      </c>
      <c r="B3" s="21"/>
      <c r="C3" s="8" t="s">
        <v>257</v>
      </c>
      <c r="D3" s="8"/>
      <c r="E3" s="39"/>
      <c r="F3" s="40"/>
      <c r="G3" s="39"/>
      <c r="H3" s="40"/>
      <c r="I3" s="39"/>
      <c r="J3" s="41"/>
      <c r="K3" s="39"/>
      <c r="L3" s="39"/>
      <c r="M3" s="39"/>
      <c r="N3" s="39"/>
      <c r="O3" s="39"/>
      <c r="P3" s="39"/>
      <c r="Q3" s="39"/>
      <c r="R3" s="39"/>
    </row>
    <row r="4" spans="1:18" ht="12.75">
      <c r="A4" s="21" t="s">
        <v>67</v>
      </c>
      <c r="B4" s="21"/>
      <c r="C4" s="54" t="s">
        <v>165</v>
      </c>
      <c r="D4" s="8" t="s">
        <v>122</v>
      </c>
      <c r="E4" s="42"/>
      <c r="F4" s="43"/>
      <c r="G4" s="42"/>
      <c r="H4" s="43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.75">
      <c r="A5" s="21" t="s">
        <v>68</v>
      </c>
      <c r="B5" s="21"/>
      <c r="C5" s="92" t="s">
        <v>161</v>
      </c>
      <c r="D5" s="21"/>
      <c r="E5" s="21"/>
      <c r="F5" s="21"/>
      <c r="G5" s="21"/>
      <c r="H5" s="21"/>
      <c r="I5" s="21"/>
      <c r="J5" s="21"/>
      <c r="K5" s="39"/>
      <c r="L5" s="21"/>
      <c r="M5" s="39"/>
      <c r="N5" s="39"/>
      <c r="O5" s="39"/>
      <c r="P5" s="39"/>
      <c r="Q5" s="39"/>
      <c r="R5" s="39"/>
    </row>
    <row r="6" spans="1:18" ht="12.75">
      <c r="A6" s="21"/>
      <c r="B6" s="21"/>
      <c r="C6" s="22"/>
      <c r="D6" s="22"/>
      <c r="E6" s="24"/>
      <c r="F6" s="40"/>
      <c r="G6" s="24"/>
      <c r="H6" s="40"/>
      <c r="I6" s="39"/>
      <c r="J6" s="24"/>
      <c r="K6" s="39"/>
      <c r="L6" s="24"/>
      <c r="M6" s="39"/>
      <c r="N6" s="39"/>
      <c r="O6" s="24"/>
      <c r="P6" s="39"/>
      <c r="Q6" s="24"/>
      <c r="R6" s="39"/>
    </row>
    <row r="7" spans="1:18" ht="12.75">
      <c r="A7" s="21"/>
      <c r="B7" s="21"/>
      <c r="C7" s="22" t="s">
        <v>69</v>
      </c>
      <c r="D7" s="22"/>
      <c r="E7" s="93" t="s">
        <v>30</v>
      </c>
      <c r="F7" s="93"/>
      <c r="G7" s="93"/>
      <c r="H7" s="93"/>
      <c r="I7" s="94"/>
      <c r="J7" s="93" t="s">
        <v>31</v>
      </c>
      <c r="K7" s="93"/>
      <c r="L7" s="93"/>
      <c r="M7" s="93"/>
      <c r="N7" s="94"/>
      <c r="O7" s="93" t="s">
        <v>32</v>
      </c>
      <c r="P7" s="93"/>
      <c r="Q7" s="93"/>
      <c r="R7" s="93"/>
    </row>
    <row r="8" spans="1:18" ht="12.75">
      <c r="A8" s="21"/>
      <c r="B8" s="21"/>
      <c r="C8" s="22" t="s">
        <v>70</v>
      </c>
      <c r="D8" s="21"/>
      <c r="E8" s="24" t="s">
        <v>63</v>
      </c>
      <c r="F8" s="43" t="s">
        <v>71</v>
      </c>
      <c r="G8" s="24" t="s">
        <v>63</v>
      </c>
      <c r="H8" s="43" t="s">
        <v>71</v>
      </c>
      <c r="I8" s="39"/>
      <c r="J8" s="24" t="s">
        <v>63</v>
      </c>
      <c r="K8" s="24" t="s">
        <v>72</v>
      </c>
      <c r="L8" s="24" t="s">
        <v>63</v>
      </c>
      <c r="M8" s="24" t="s">
        <v>72</v>
      </c>
      <c r="N8" s="39"/>
      <c r="O8" s="24" t="s">
        <v>63</v>
      </c>
      <c r="P8" s="24" t="s">
        <v>72</v>
      </c>
      <c r="Q8" s="24" t="s">
        <v>63</v>
      </c>
      <c r="R8" s="24" t="s">
        <v>72</v>
      </c>
    </row>
    <row r="9" spans="1:18" ht="12.75">
      <c r="A9" s="21"/>
      <c r="B9" s="21"/>
      <c r="C9" s="22"/>
      <c r="D9" s="21"/>
      <c r="E9" s="24" t="s">
        <v>222</v>
      </c>
      <c r="F9" s="24" t="s">
        <v>222</v>
      </c>
      <c r="G9" s="24" t="s">
        <v>73</v>
      </c>
      <c r="H9" s="43" t="s">
        <v>73</v>
      </c>
      <c r="I9" s="39"/>
      <c r="J9" s="24" t="s">
        <v>222</v>
      </c>
      <c r="K9" s="24" t="s">
        <v>222</v>
      </c>
      <c r="L9" s="24" t="s">
        <v>73</v>
      </c>
      <c r="M9" s="43" t="s">
        <v>73</v>
      </c>
      <c r="N9" s="39"/>
      <c r="O9" s="24" t="s">
        <v>222</v>
      </c>
      <c r="P9" s="24" t="s">
        <v>222</v>
      </c>
      <c r="Q9" s="24" t="s">
        <v>73</v>
      </c>
      <c r="R9" s="43" t="s">
        <v>73</v>
      </c>
    </row>
    <row r="10" spans="1:18" ht="12.75">
      <c r="A10" s="21" t="s">
        <v>106</v>
      </c>
      <c r="B10" s="21"/>
      <c r="C10" s="21"/>
      <c r="D10" s="21"/>
      <c r="E10" s="39"/>
      <c r="F10" s="40"/>
      <c r="G10" s="39"/>
      <c r="H10" s="40"/>
      <c r="I10" s="39"/>
      <c r="J10" s="39"/>
      <c r="K10" s="39"/>
      <c r="L10" s="39"/>
      <c r="M10" s="39"/>
      <c r="N10" s="39"/>
      <c r="O10" s="23"/>
      <c r="P10" s="39"/>
      <c r="Q10" s="39"/>
      <c r="R10" s="39"/>
    </row>
    <row r="11" spans="1:18" ht="12.75">
      <c r="A11" s="21"/>
      <c r="B11" s="21" t="s">
        <v>74</v>
      </c>
      <c r="C11" s="22">
        <v>1</v>
      </c>
      <c r="D11" s="22"/>
      <c r="E11" s="45">
        <v>0.36</v>
      </c>
      <c r="F11" s="45">
        <f aca="true" t="shared" si="0" ref="F11:H35">IF(E11="","",E11*$C11)</f>
        <v>0.36</v>
      </c>
      <c r="G11" s="45">
        <f aca="true" t="shared" si="1" ref="G11:G35">IF(E11=0,"",IF(D11="nd",E11/2,E11))</f>
        <v>0.36</v>
      </c>
      <c r="H11" s="45">
        <f t="shared" si="0"/>
        <v>0.36</v>
      </c>
      <c r="I11" s="45"/>
      <c r="J11" s="45">
        <v>0.48</v>
      </c>
      <c r="K11" s="45">
        <f aca="true" t="shared" si="2" ref="K11:M35">IF(J11="","",J11*$C11)</f>
        <v>0.48</v>
      </c>
      <c r="L11" s="45">
        <f aca="true" t="shared" si="3" ref="L11:L35">IF(J11=0,"",IF(I11="nd",J11/2,J11))</f>
        <v>0.48</v>
      </c>
      <c r="M11" s="45">
        <f t="shared" si="2"/>
        <v>0.48</v>
      </c>
      <c r="N11" s="45"/>
      <c r="O11" s="45">
        <v>0.91</v>
      </c>
      <c r="P11" s="45">
        <f aca="true" t="shared" si="4" ref="P11:R35">IF(O11="","",O11*$C11)</f>
        <v>0.91</v>
      </c>
      <c r="Q11" s="45">
        <f aca="true" t="shared" si="5" ref="Q11:Q35">IF(O11=0,"",IF(N11="nd",O11/2,O11))</f>
        <v>0.91</v>
      </c>
      <c r="R11" s="45">
        <f t="shared" si="4"/>
        <v>0.91</v>
      </c>
    </row>
    <row r="12" spans="1:18" ht="12.75">
      <c r="A12" s="21"/>
      <c r="B12" s="21" t="s">
        <v>75</v>
      </c>
      <c r="C12" s="22">
        <v>0.5</v>
      </c>
      <c r="D12" s="22"/>
      <c r="E12" s="45">
        <v>0.91</v>
      </c>
      <c r="F12" s="45">
        <f t="shared" si="0"/>
        <v>0.455</v>
      </c>
      <c r="G12" s="45">
        <f t="shared" si="1"/>
        <v>0.91</v>
      </c>
      <c r="H12" s="45">
        <f t="shared" si="0"/>
        <v>0.455</v>
      </c>
      <c r="I12" s="45"/>
      <c r="J12" s="45">
        <v>1.11</v>
      </c>
      <c r="K12" s="45">
        <f t="shared" si="2"/>
        <v>0.555</v>
      </c>
      <c r="L12" s="45">
        <f t="shared" si="3"/>
        <v>1.11</v>
      </c>
      <c r="M12" s="45">
        <f t="shared" si="2"/>
        <v>0.555</v>
      </c>
      <c r="N12" s="45"/>
      <c r="O12" s="45">
        <v>1.14</v>
      </c>
      <c r="P12" s="45">
        <f t="shared" si="4"/>
        <v>0.57</v>
      </c>
      <c r="Q12" s="45">
        <f t="shared" si="5"/>
        <v>1.14</v>
      </c>
      <c r="R12" s="45">
        <f t="shared" si="4"/>
        <v>0.57</v>
      </c>
    </row>
    <row r="13" spans="1:18" ht="12.75">
      <c r="A13" s="21"/>
      <c r="B13" s="21" t="s">
        <v>76</v>
      </c>
      <c r="C13" s="22">
        <v>0.1</v>
      </c>
      <c r="D13" s="22"/>
      <c r="E13" s="45">
        <v>0.52</v>
      </c>
      <c r="F13" s="45">
        <f t="shared" si="0"/>
        <v>0.052000000000000005</v>
      </c>
      <c r="G13" s="45">
        <f t="shared" si="1"/>
        <v>0.52</v>
      </c>
      <c r="H13" s="45">
        <f t="shared" si="0"/>
        <v>0.052000000000000005</v>
      </c>
      <c r="I13" s="45"/>
      <c r="J13" s="45">
        <v>0.53</v>
      </c>
      <c r="K13" s="45">
        <f>IF(J13="","",J13*$C13)</f>
        <v>0.053000000000000005</v>
      </c>
      <c r="L13" s="45">
        <f t="shared" si="3"/>
        <v>0.53</v>
      </c>
      <c r="M13" s="45">
        <f>IF(L13="","",L13*$C13)</f>
        <v>0.053000000000000005</v>
      </c>
      <c r="N13" s="45"/>
      <c r="O13" s="45">
        <v>0.48</v>
      </c>
      <c r="P13" s="45">
        <f t="shared" si="4"/>
        <v>0.048</v>
      </c>
      <c r="Q13" s="45">
        <f t="shared" si="5"/>
        <v>0.48</v>
      </c>
      <c r="R13" s="45">
        <f t="shared" si="4"/>
        <v>0.048</v>
      </c>
    </row>
    <row r="14" spans="1:18" ht="12.75">
      <c r="A14" s="21"/>
      <c r="B14" s="21" t="s">
        <v>77</v>
      </c>
      <c r="C14" s="22">
        <v>0.1</v>
      </c>
      <c r="D14" s="22"/>
      <c r="E14" s="45">
        <v>1.72</v>
      </c>
      <c r="F14" s="45">
        <f t="shared" si="0"/>
        <v>0.17200000000000001</v>
      </c>
      <c r="G14" s="45">
        <f t="shared" si="1"/>
        <v>1.72</v>
      </c>
      <c r="H14" s="45">
        <f t="shared" si="0"/>
        <v>0.17200000000000001</v>
      </c>
      <c r="I14" s="45"/>
      <c r="J14" s="45">
        <v>1.24</v>
      </c>
      <c r="K14" s="45">
        <f t="shared" si="2"/>
        <v>0.124</v>
      </c>
      <c r="L14" s="45">
        <f t="shared" si="3"/>
        <v>1.24</v>
      </c>
      <c r="M14" s="45">
        <f t="shared" si="2"/>
        <v>0.124</v>
      </c>
      <c r="N14" s="45"/>
      <c r="O14" s="45">
        <v>1.12</v>
      </c>
      <c r="P14" s="45">
        <f t="shared" si="4"/>
        <v>0.11200000000000002</v>
      </c>
      <c r="Q14" s="45">
        <f t="shared" si="5"/>
        <v>1.12</v>
      </c>
      <c r="R14" s="45">
        <f t="shared" si="4"/>
        <v>0.11200000000000002</v>
      </c>
    </row>
    <row r="15" spans="1:18" ht="12.75">
      <c r="A15" s="21"/>
      <c r="B15" s="21" t="s">
        <v>78</v>
      </c>
      <c r="C15" s="22">
        <v>0.1</v>
      </c>
      <c r="D15" s="22"/>
      <c r="E15" s="45">
        <v>1.53</v>
      </c>
      <c r="F15" s="45">
        <f t="shared" si="0"/>
        <v>0.15300000000000002</v>
      </c>
      <c r="G15" s="45">
        <f t="shared" si="1"/>
        <v>1.53</v>
      </c>
      <c r="H15" s="45">
        <f t="shared" si="0"/>
        <v>0.15300000000000002</v>
      </c>
      <c r="I15" s="45"/>
      <c r="J15" s="45">
        <v>1.34</v>
      </c>
      <c r="K15" s="45">
        <f t="shared" si="2"/>
        <v>0.134</v>
      </c>
      <c r="L15" s="45">
        <f t="shared" si="3"/>
        <v>1.34</v>
      </c>
      <c r="M15" s="45">
        <f t="shared" si="2"/>
        <v>0.134</v>
      </c>
      <c r="N15" s="45"/>
      <c r="O15" s="45">
        <v>1.13</v>
      </c>
      <c r="P15" s="45">
        <f t="shared" si="4"/>
        <v>0.11299999999999999</v>
      </c>
      <c r="Q15" s="45">
        <f t="shared" si="5"/>
        <v>1.13</v>
      </c>
      <c r="R15" s="45">
        <f t="shared" si="4"/>
        <v>0.11299999999999999</v>
      </c>
    </row>
    <row r="16" spans="1:18" ht="12.75">
      <c r="A16" s="21"/>
      <c r="B16" s="21" t="s">
        <v>79</v>
      </c>
      <c r="C16" s="22">
        <v>0.01</v>
      </c>
      <c r="D16" s="22"/>
      <c r="E16" s="45">
        <v>6.87</v>
      </c>
      <c r="F16" s="45">
        <f t="shared" si="0"/>
        <v>0.0687</v>
      </c>
      <c r="G16" s="45">
        <f t="shared" si="1"/>
        <v>6.87</v>
      </c>
      <c r="H16" s="45">
        <f t="shared" si="0"/>
        <v>0.0687</v>
      </c>
      <c r="I16" s="45"/>
      <c r="J16" s="45">
        <v>4.1</v>
      </c>
      <c r="K16" s="45">
        <f t="shared" si="2"/>
        <v>0.040999999999999995</v>
      </c>
      <c r="L16" s="45">
        <f t="shared" si="3"/>
        <v>4.1</v>
      </c>
      <c r="M16" s="45">
        <f t="shared" si="2"/>
        <v>0.040999999999999995</v>
      </c>
      <c r="N16" s="45"/>
      <c r="O16" s="45">
        <v>4.38</v>
      </c>
      <c r="P16" s="45">
        <f t="shared" si="4"/>
        <v>0.0438</v>
      </c>
      <c r="Q16" s="45">
        <f t="shared" si="5"/>
        <v>4.38</v>
      </c>
      <c r="R16" s="45">
        <f t="shared" si="4"/>
        <v>0.0438</v>
      </c>
    </row>
    <row r="17" spans="1:18" ht="12.75">
      <c r="A17" s="21"/>
      <c r="B17" s="21" t="s">
        <v>80</v>
      </c>
      <c r="C17" s="22">
        <v>0.001</v>
      </c>
      <c r="D17" s="22"/>
      <c r="E17" s="45">
        <v>4.54</v>
      </c>
      <c r="F17" s="45">
        <f t="shared" si="0"/>
        <v>0.00454</v>
      </c>
      <c r="G17" s="45">
        <f t="shared" si="1"/>
        <v>4.54</v>
      </c>
      <c r="H17" s="45">
        <f t="shared" si="0"/>
        <v>0.00454</v>
      </c>
      <c r="I17" s="45"/>
      <c r="J17" s="45">
        <v>2.72</v>
      </c>
      <c r="K17" s="45">
        <f t="shared" si="2"/>
        <v>0.00272</v>
      </c>
      <c r="L17" s="45">
        <f t="shared" si="3"/>
        <v>2.72</v>
      </c>
      <c r="M17" s="45">
        <f t="shared" si="2"/>
        <v>0.00272</v>
      </c>
      <c r="N17" s="45"/>
      <c r="O17" s="45">
        <v>2.33</v>
      </c>
      <c r="P17" s="45">
        <f t="shared" si="4"/>
        <v>0.00233</v>
      </c>
      <c r="Q17" s="45">
        <f t="shared" si="5"/>
        <v>2.33</v>
      </c>
      <c r="R17" s="45">
        <f t="shared" si="4"/>
        <v>0.00233</v>
      </c>
    </row>
    <row r="18" spans="1:18" ht="12.75">
      <c r="A18" s="21"/>
      <c r="B18" s="21" t="s">
        <v>81</v>
      </c>
      <c r="C18" s="22">
        <v>0.1</v>
      </c>
      <c r="D18" s="22"/>
      <c r="E18" s="45">
        <v>13.12</v>
      </c>
      <c r="F18" s="45">
        <f t="shared" si="0"/>
        <v>1.312</v>
      </c>
      <c r="G18" s="45">
        <f t="shared" si="1"/>
        <v>13.12</v>
      </c>
      <c r="H18" s="45">
        <f t="shared" si="0"/>
        <v>1.312</v>
      </c>
      <c r="I18" s="45"/>
      <c r="J18" s="45">
        <v>18.52</v>
      </c>
      <c r="K18" s="45">
        <f t="shared" si="2"/>
        <v>1.852</v>
      </c>
      <c r="L18" s="45">
        <f t="shared" si="3"/>
        <v>18.52</v>
      </c>
      <c r="M18" s="45">
        <f t="shared" si="2"/>
        <v>1.852</v>
      </c>
      <c r="N18" s="45"/>
      <c r="O18" s="45">
        <v>26.54</v>
      </c>
      <c r="P18" s="45">
        <f t="shared" si="4"/>
        <v>2.654</v>
      </c>
      <c r="Q18" s="45">
        <f t="shared" si="5"/>
        <v>26.54</v>
      </c>
      <c r="R18" s="45">
        <f t="shared" si="4"/>
        <v>2.654</v>
      </c>
    </row>
    <row r="19" spans="1:18" ht="12.75">
      <c r="A19" s="21"/>
      <c r="B19" s="21" t="s">
        <v>82</v>
      </c>
      <c r="C19" s="22">
        <v>0.05</v>
      </c>
      <c r="D19" s="22"/>
      <c r="E19" s="45">
        <v>8.64</v>
      </c>
      <c r="F19" s="45">
        <f t="shared" si="0"/>
        <v>0.43200000000000005</v>
      </c>
      <c r="G19" s="45">
        <f t="shared" si="1"/>
        <v>8.64</v>
      </c>
      <c r="H19" s="45">
        <f t="shared" si="0"/>
        <v>0.43200000000000005</v>
      </c>
      <c r="I19" s="45"/>
      <c r="J19" s="45">
        <v>12.55</v>
      </c>
      <c r="K19" s="45">
        <f t="shared" si="2"/>
        <v>0.6275000000000001</v>
      </c>
      <c r="L19" s="45">
        <f t="shared" si="3"/>
        <v>12.55</v>
      </c>
      <c r="M19" s="45">
        <f t="shared" si="2"/>
        <v>0.6275000000000001</v>
      </c>
      <c r="N19" s="45"/>
      <c r="O19" s="45">
        <v>14.04</v>
      </c>
      <c r="P19" s="45">
        <f t="shared" si="4"/>
        <v>0.702</v>
      </c>
      <c r="Q19" s="45">
        <f t="shared" si="5"/>
        <v>14.04</v>
      </c>
      <c r="R19" s="45">
        <f t="shared" si="4"/>
        <v>0.702</v>
      </c>
    </row>
    <row r="20" spans="1:18" ht="12.75">
      <c r="A20" s="21"/>
      <c r="B20" s="21" t="s">
        <v>83</v>
      </c>
      <c r="C20" s="22">
        <v>0.5</v>
      </c>
      <c r="D20" s="22"/>
      <c r="E20" s="45">
        <v>13.38</v>
      </c>
      <c r="F20" s="45">
        <f t="shared" si="0"/>
        <v>6.69</v>
      </c>
      <c r="G20" s="45">
        <f t="shared" si="1"/>
        <v>13.38</v>
      </c>
      <c r="H20" s="45">
        <f t="shared" si="0"/>
        <v>6.69</v>
      </c>
      <c r="I20" s="45"/>
      <c r="J20" s="45">
        <v>19.37</v>
      </c>
      <c r="K20" s="45">
        <f t="shared" si="2"/>
        <v>9.685</v>
      </c>
      <c r="L20" s="45">
        <f t="shared" si="3"/>
        <v>19.37</v>
      </c>
      <c r="M20" s="45">
        <f t="shared" si="2"/>
        <v>9.685</v>
      </c>
      <c r="N20" s="45"/>
      <c r="O20" s="45">
        <v>22.78</v>
      </c>
      <c r="P20" s="45">
        <f t="shared" si="4"/>
        <v>11.39</v>
      </c>
      <c r="Q20" s="45">
        <f t="shared" si="5"/>
        <v>22.78</v>
      </c>
      <c r="R20" s="45">
        <f t="shared" si="4"/>
        <v>11.39</v>
      </c>
    </row>
    <row r="21" spans="1:18" ht="12.75">
      <c r="A21" s="21"/>
      <c r="B21" s="21" t="s">
        <v>84</v>
      </c>
      <c r="C21" s="22">
        <v>0.1</v>
      </c>
      <c r="D21" s="22"/>
      <c r="E21" s="45">
        <v>12.71</v>
      </c>
      <c r="F21" s="45">
        <f t="shared" si="0"/>
        <v>1.2710000000000001</v>
      </c>
      <c r="G21" s="45">
        <f t="shared" si="1"/>
        <v>12.71</v>
      </c>
      <c r="H21" s="45">
        <f t="shared" si="0"/>
        <v>1.2710000000000001</v>
      </c>
      <c r="I21" s="45"/>
      <c r="J21" s="45">
        <v>17.14</v>
      </c>
      <c r="K21" s="45">
        <f t="shared" si="2"/>
        <v>1.7140000000000002</v>
      </c>
      <c r="L21" s="45">
        <f t="shared" si="3"/>
        <v>17.14</v>
      </c>
      <c r="M21" s="45">
        <f t="shared" si="2"/>
        <v>1.7140000000000002</v>
      </c>
      <c r="N21" s="45"/>
      <c r="O21" s="45">
        <v>12.45</v>
      </c>
      <c r="P21" s="45">
        <f t="shared" si="4"/>
        <v>1.245</v>
      </c>
      <c r="Q21" s="45">
        <f t="shared" si="5"/>
        <v>12.45</v>
      </c>
      <c r="R21" s="45">
        <f t="shared" si="4"/>
        <v>1.245</v>
      </c>
    </row>
    <row r="22" spans="1:18" ht="12.75">
      <c r="A22" s="21"/>
      <c r="B22" s="21" t="s">
        <v>85</v>
      </c>
      <c r="C22" s="22">
        <v>0.1</v>
      </c>
      <c r="D22" s="22"/>
      <c r="E22" s="45">
        <v>6.35</v>
      </c>
      <c r="F22" s="45">
        <f t="shared" si="0"/>
        <v>0.635</v>
      </c>
      <c r="G22" s="45">
        <f t="shared" si="1"/>
        <v>6.35</v>
      </c>
      <c r="H22" s="45">
        <f t="shared" si="0"/>
        <v>0.635</v>
      </c>
      <c r="I22" s="45"/>
      <c r="J22" s="45">
        <v>9.05</v>
      </c>
      <c r="K22" s="45">
        <f t="shared" si="2"/>
        <v>0.9050000000000001</v>
      </c>
      <c r="L22" s="45">
        <f t="shared" si="3"/>
        <v>9.05</v>
      </c>
      <c r="M22" s="45">
        <f t="shared" si="2"/>
        <v>0.9050000000000001</v>
      </c>
      <c r="N22" s="45"/>
      <c r="O22" s="45">
        <v>6.33</v>
      </c>
      <c r="P22" s="45">
        <f t="shared" si="4"/>
        <v>0.633</v>
      </c>
      <c r="Q22" s="45">
        <f t="shared" si="5"/>
        <v>6.33</v>
      </c>
      <c r="R22" s="45">
        <f t="shared" si="4"/>
        <v>0.633</v>
      </c>
    </row>
    <row r="23" spans="1:18" ht="12.75">
      <c r="A23" s="21"/>
      <c r="B23" s="21" t="s">
        <v>86</v>
      </c>
      <c r="C23" s="22">
        <v>0.1</v>
      </c>
      <c r="D23" s="22"/>
      <c r="E23" s="45">
        <v>0.48</v>
      </c>
      <c r="F23" s="45">
        <f t="shared" si="0"/>
        <v>0.048</v>
      </c>
      <c r="G23" s="45">
        <f t="shared" si="1"/>
        <v>0.48</v>
      </c>
      <c r="H23" s="45">
        <f t="shared" si="0"/>
        <v>0.048</v>
      </c>
      <c r="I23" s="45"/>
      <c r="J23" s="45">
        <v>0.56</v>
      </c>
      <c r="K23" s="45">
        <f t="shared" si="2"/>
        <v>0.05600000000000001</v>
      </c>
      <c r="L23" s="45">
        <f t="shared" si="3"/>
        <v>0.56</v>
      </c>
      <c r="M23" s="45">
        <f t="shared" si="2"/>
        <v>0.05600000000000001</v>
      </c>
      <c r="N23" s="45"/>
      <c r="O23" s="45">
        <v>0.42</v>
      </c>
      <c r="P23" s="45">
        <f t="shared" si="4"/>
        <v>0.042</v>
      </c>
      <c r="Q23" s="45">
        <f t="shared" si="5"/>
        <v>0.42</v>
      </c>
      <c r="R23" s="45">
        <f t="shared" si="4"/>
        <v>0.042</v>
      </c>
    </row>
    <row r="24" spans="1:18" ht="12.75">
      <c r="A24" s="21"/>
      <c r="B24" s="21" t="s">
        <v>87</v>
      </c>
      <c r="C24" s="22">
        <v>0.1</v>
      </c>
      <c r="D24" s="22"/>
      <c r="E24" s="45">
        <v>6.59</v>
      </c>
      <c r="F24" s="45">
        <f t="shared" si="0"/>
        <v>0.659</v>
      </c>
      <c r="G24" s="45">
        <f t="shared" si="1"/>
        <v>6.59</v>
      </c>
      <c r="H24" s="45">
        <f t="shared" si="0"/>
        <v>0.659</v>
      </c>
      <c r="I24" s="45"/>
      <c r="J24" s="45">
        <v>8.99</v>
      </c>
      <c r="K24" s="45">
        <f t="shared" si="2"/>
        <v>0.899</v>
      </c>
      <c r="L24" s="45">
        <f t="shared" si="3"/>
        <v>8.99</v>
      </c>
      <c r="M24" s="45">
        <f t="shared" si="2"/>
        <v>0.899</v>
      </c>
      <c r="N24" s="45"/>
      <c r="O24" s="45">
        <v>6.27</v>
      </c>
      <c r="P24" s="45">
        <f t="shared" si="4"/>
        <v>0.627</v>
      </c>
      <c r="Q24" s="45">
        <f t="shared" si="5"/>
        <v>6.27</v>
      </c>
      <c r="R24" s="45">
        <f t="shared" si="4"/>
        <v>0.627</v>
      </c>
    </row>
    <row r="25" spans="1:18" ht="12.75">
      <c r="A25" s="21"/>
      <c r="B25" s="21" t="s">
        <v>88</v>
      </c>
      <c r="C25" s="22">
        <v>0.01</v>
      </c>
      <c r="D25" s="22"/>
      <c r="E25" s="45">
        <v>7.48</v>
      </c>
      <c r="F25" s="45">
        <f t="shared" si="0"/>
        <v>0.0748</v>
      </c>
      <c r="G25" s="45">
        <f t="shared" si="1"/>
        <v>7.48</v>
      </c>
      <c r="H25" s="45">
        <f t="shared" si="0"/>
        <v>0.0748</v>
      </c>
      <c r="I25" s="45"/>
      <c r="J25" s="45">
        <v>9.7</v>
      </c>
      <c r="K25" s="45">
        <f t="shared" si="2"/>
        <v>0.09699999999999999</v>
      </c>
      <c r="L25" s="45">
        <f t="shared" si="3"/>
        <v>9.7</v>
      </c>
      <c r="M25" s="45">
        <f t="shared" si="2"/>
        <v>0.09699999999999999</v>
      </c>
      <c r="N25" s="45"/>
      <c r="O25" s="45">
        <v>5.35</v>
      </c>
      <c r="P25" s="45">
        <f t="shared" si="4"/>
        <v>0.0535</v>
      </c>
      <c r="Q25" s="45">
        <f t="shared" si="5"/>
        <v>5.35</v>
      </c>
      <c r="R25" s="45">
        <f t="shared" si="4"/>
        <v>0.0535</v>
      </c>
    </row>
    <row r="26" spans="1:18" ht="12.75">
      <c r="A26" s="21"/>
      <c r="B26" s="21" t="s">
        <v>89</v>
      </c>
      <c r="C26" s="22">
        <v>0.01</v>
      </c>
      <c r="D26" s="22"/>
      <c r="E26" s="45">
        <v>1.3</v>
      </c>
      <c r="F26" s="45">
        <f t="shared" si="0"/>
        <v>0.013000000000000001</v>
      </c>
      <c r="G26" s="45">
        <f t="shared" si="1"/>
        <v>1.3</v>
      </c>
      <c r="H26" s="45">
        <f t="shared" si="0"/>
        <v>0.013000000000000001</v>
      </c>
      <c r="I26" s="45"/>
      <c r="J26" s="45">
        <v>1.42</v>
      </c>
      <c r="K26" s="45">
        <f t="shared" si="2"/>
        <v>0.014199999999999999</v>
      </c>
      <c r="L26" s="45">
        <f t="shared" si="3"/>
        <v>1.42</v>
      </c>
      <c r="M26" s="45">
        <f t="shared" si="2"/>
        <v>0.014199999999999999</v>
      </c>
      <c r="N26" s="45"/>
      <c r="O26" s="45">
        <v>0.83</v>
      </c>
      <c r="P26" s="45">
        <f t="shared" si="4"/>
        <v>0.0083</v>
      </c>
      <c r="Q26" s="45">
        <f t="shared" si="5"/>
        <v>0.83</v>
      </c>
      <c r="R26" s="45">
        <f t="shared" si="4"/>
        <v>0.0083</v>
      </c>
    </row>
    <row r="27" spans="1:18" ht="12.75">
      <c r="A27" s="21"/>
      <c r="B27" s="21" t="s">
        <v>90</v>
      </c>
      <c r="C27" s="22">
        <v>0.001</v>
      </c>
      <c r="D27" s="22"/>
      <c r="E27" s="45">
        <v>1.06</v>
      </c>
      <c r="F27" s="45">
        <f t="shared" si="0"/>
        <v>0.0010600000000000002</v>
      </c>
      <c r="G27" s="45">
        <f t="shared" si="1"/>
        <v>1.06</v>
      </c>
      <c r="H27" s="45">
        <f t="shared" si="0"/>
        <v>0.0010600000000000002</v>
      </c>
      <c r="I27" s="45"/>
      <c r="J27" s="45">
        <v>1.12</v>
      </c>
      <c r="K27" s="45">
        <f t="shared" si="2"/>
        <v>0.0011200000000000001</v>
      </c>
      <c r="L27" s="45">
        <f t="shared" si="3"/>
        <v>1.12</v>
      </c>
      <c r="M27" s="45">
        <f t="shared" si="2"/>
        <v>0.0011200000000000001</v>
      </c>
      <c r="N27" s="45"/>
      <c r="O27" s="45">
        <v>0.81</v>
      </c>
      <c r="P27" s="45">
        <f t="shared" si="4"/>
        <v>0.0008100000000000001</v>
      </c>
      <c r="Q27" s="45">
        <f t="shared" si="5"/>
        <v>0.81</v>
      </c>
      <c r="R27" s="45">
        <f t="shared" si="4"/>
        <v>0.0008100000000000001</v>
      </c>
    </row>
    <row r="28" spans="1:18" ht="12.75">
      <c r="A28" s="21"/>
      <c r="B28" s="21" t="s">
        <v>91</v>
      </c>
      <c r="C28" s="22">
        <v>0</v>
      </c>
      <c r="D28" s="22"/>
      <c r="E28" s="45">
        <f>E11+11.54</f>
        <v>11.899999999999999</v>
      </c>
      <c r="F28" s="45">
        <f t="shared" si="0"/>
        <v>0</v>
      </c>
      <c r="G28" s="45">
        <f t="shared" si="1"/>
        <v>11.899999999999999</v>
      </c>
      <c r="H28" s="45">
        <f t="shared" si="0"/>
        <v>0</v>
      </c>
      <c r="I28" s="45"/>
      <c r="J28" s="45">
        <f>J11+12.71</f>
        <v>13.190000000000001</v>
      </c>
      <c r="K28" s="45">
        <f t="shared" si="2"/>
        <v>0</v>
      </c>
      <c r="L28" s="45">
        <f t="shared" si="3"/>
        <v>13.190000000000001</v>
      </c>
      <c r="M28" s="45">
        <f t="shared" si="2"/>
        <v>0</v>
      </c>
      <c r="N28" s="45"/>
      <c r="O28" s="45">
        <f>O11+24.77</f>
        <v>25.68</v>
      </c>
      <c r="P28" s="45">
        <f t="shared" si="4"/>
        <v>0</v>
      </c>
      <c r="Q28" s="45">
        <f t="shared" si="5"/>
        <v>25.68</v>
      </c>
      <c r="R28" s="45">
        <f t="shared" si="4"/>
        <v>0</v>
      </c>
    </row>
    <row r="29" spans="1:18" ht="12.75">
      <c r="A29" s="21"/>
      <c r="B29" s="21" t="s">
        <v>92</v>
      </c>
      <c r="C29" s="22">
        <v>0</v>
      </c>
      <c r="D29" s="22"/>
      <c r="E29" s="45">
        <f>E12+15.21</f>
        <v>16.12</v>
      </c>
      <c r="F29" s="45">
        <f t="shared" si="0"/>
        <v>0</v>
      </c>
      <c r="G29" s="45">
        <f t="shared" si="1"/>
        <v>16.12</v>
      </c>
      <c r="H29" s="45">
        <f t="shared" si="0"/>
        <v>0</v>
      </c>
      <c r="I29" s="45"/>
      <c r="J29" s="45">
        <f>J12+13.74</f>
        <v>14.85</v>
      </c>
      <c r="K29" s="45">
        <f t="shared" si="2"/>
        <v>0</v>
      </c>
      <c r="L29" s="45">
        <f t="shared" si="3"/>
        <v>14.85</v>
      </c>
      <c r="M29" s="45">
        <f t="shared" si="2"/>
        <v>0</v>
      </c>
      <c r="N29" s="45"/>
      <c r="O29" s="45">
        <f>O12+18.79</f>
        <v>19.93</v>
      </c>
      <c r="P29" s="45">
        <f t="shared" si="4"/>
        <v>0</v>
      </c>
      <c r="Q29" s="45">
        <f t="shared" si="5"/>
        <v>19.93</v>
      </c>
      <c r="R29" s="45">
        <f t="shared" si="4"/>
        <v>0</v>
      </c>
    </row>
    <row r="30" spans="1:18" ht="12.75">
      <c r="A30" s="21"/>
      <c r="B30" s="21" t="s">
        <v>93</v>
      </c>
      <c r="C30" s="22">
        <v>0</v>
      </c>
      <c r="D30" s="22"/>
      <c r="E30" s="45">
        <f>E13+E14+E15+13.5</f>
        <v>17.27</v>
      </c>
      <c r="F30" s="45">
        <f t="shared" si="0"/>
        <v>0</v>
      </c>
      <c r="G30" s="45">
        <f t="shared" si="1"/>
        <v>17.27</v>
      </c>
      <c r="H30" s="45">
        <f t="shared" si="0"/>
        <v>0</v>
      </c>
      <c r="I30" s="45"/>
      <c r="J30" s="45">
        <f>J13+J14+J15+9.97</f>
        <v>13.080000000000002</v>
      </c>
      <c r="K30" s="45">
        <f t="shared" si="2"/>
        <v>0</v>
      </c>
      <c r="L30" s="45">
        <f t="shared" si="3"/>
        <v>13.080000000000002</v>
      </c>
      <c r="M30" s="45">
        <f t="shared" si="2"/>
        <v>0</v>
      </c>
      <c r="N30" s="45"/>
      <c r="O30" s="45">
        <f>O13+O14+O15+11.08</f>
        <v>13.81</v>
      </c>
      <c r="P30" s="45">
        <f t="shared" si="4"/>
        <v>0</v>
      </c>
      <c r="Q30" s="45">
        <f t="shared" si="5"/>
        <v>13.81</v>
      </c>
      <c r="R30" s="45">
        <f t="shared" si="4"/>
        <v>0</v>
      </c>
    </row>
    <row r="31" spans="1:18" ht="12.75">
      <c r="A31" s="21"/>
      <c r="B31" s="21" t="s">
        <v>94</v>
      </c>
      <c r="C31" s="22">
        <v>0</v>
      </c>
      <c r="D31" s="22"/>
      <c r="E31" s="45">
        <f>E16+5.85</f>
        <v>12.719999999999999</v>
      </c>
      <c r="F31" s="45">
        <f t="shared" si="0"/>
        <v>0</v>
      </c>
      <c r="G31" s="45">
        <f t="shared" si="1"/>
        <v>12.719999999999999</v>
      </c>
      <c r="H31" s="45">
        <f t="shared" si="0"/>
        <v>0</v>
      </c>
      <c r="I31" s="45"/>
      <c r="J31" s="45">
        <f>J16+3.93</f>
        <v>8.03</v>
      </c>
      <c r="K31" s="45">
        <f t="shared" si="2"/>
        <v>0</v>
      </c>
      <c r="L31" s="45">
        <f t="shared" si="3"/>
        <v>8.03</v>
      </c>
      <c r="M31" s="45">
        <f t="shared" si="2"/>
        <v>0</v>
      </c>
      <c r="N31" s="45"/>
      <c r="O31" s="45">
        <f>O16+3.97</f>
        <v>8.35</v>
      </c>
      <c r="P31" s="45">
        <f t="shared" si="4"/>
        <v>0</v>
      </c>
      <c r="Q31" s="45">
        <f t="shared" si="5"/>
        <v>8.35</v>
      </c>
      <c r="R31" s="45">
        <f t="shared" si="4"/>
        <v>0</v>
      </c>
    </row>
    <row r="32" spans="1:18" ht="12.75">
      <c r="A32" s="21"/>
      <c r="B32" s="21" t="s">
        <v>95</v>
      </c>
      <c r="C32" s="22">
        <v>0</v>
      </c>
      <c r="D32" s="22"/>
      <c r="E32" s="44">
        <f>E18+338.34</f>
        <v>351.46</v>
      </c>
      <c r="F32" s="45">
        <f t="shared" si="0"/>
        <v>0</v>
      </c>
      <c r="G32" s="45">
        <f t="shared" si="1"/>
        <v>351.46</v>
      </c>
      <c r="H32" s="45">
        <f t="shared" si="0"/>
        <v>0</v>
      </c>
      <c r="I32" s="45"/>
      <c r="J32" s="44">
        <f>J18+416.44</f>
        <v>434.96</v>
      </c>
      <c r="K32" s="45">
        <f t="shared" si="2"/>
        <v>0</v>
      </c>
      <c r="L32" s="45">
        <f t="shared" si="3"/>
        <v>434.96</v>
      </c>
      <c r="M32" s="45">
        <f t="shared" si="2"/>
        <v>0</v>
      </c>
      <c r="N32" s="45"/>
      <c r="O32" s="44">
        <f>O18+586.09</f>
        <v>612.63</v>
      </c>
      <c r="P32" s="45">
        <f t="shared" si="4"/>
        <v>0</v>
      </c>
      <c r="Q32" s="45">
        <f t="shared" si="5"/>
        <v>612.63</v>
      </c>
      <c r="R32" s="45">
        <f t="shared" si="4"/>
        <v>0</v>
      </c>
    </row>
    <row r="33" spans="1:18" ht="12.75">
      <c r="A33" s="21"/>
      <c r="B33" s="21" t="s">
        <v>96</v>
      </c>
      <c r="C33" s="22">
        <v>0</v>
      </c>
      <c r="D33" s="22"/>
      <c r="E33" s="44">
        <f>E19+E20+117.53</f>
        <v>139.55</v>
      </c>
      <c r="F33" s="45">
        <f t="shared" si="0"/>
        <v>0</v>
      </c>
      <c r="G33" s="45">
        <f t="shared" si="1"/>
        <v>139.55</v>
      </c>
      <c r="H33" s="45">
        <f t="shared" si="0"/>
        <v>0</v>
      </c>
      <c r="I33" s="45"/>
      <c r="J33" s="44">
        <f>J19+J20+158.02</f>
        <v>189.94</v>
      </c>
      <c r="K33" s="45">
        <f t="shared" si="2"/>
        <v>0</v>
      </c>
      <c r="L33" s="45">
        <f t="shared" si="3"/>
        <v>189.94</v>
      </c>
      <c r="M33" s="45">
        <f t="shared" si="2"/>
        <v>0</v>
      </c>
      <c r="N33" s="45"/>
      <c r="O33" s="44">
        <f>O19+O20+194.62</f>
        <v>231.44</v>
      </c>
      <c r="P33" s="45">
        <f t="shared" si="4"/>
        <v>0</v>
      </c>
      <c r="Q33" s="45">
        <f t="shared" si="5"/>
        <v>231.44</v>
      </c>
      <c r="R33" s="45">
        <f t="shared" si="4"/>
        <v>0</v>
      </c>
    </row>
    <row r="34" spans="1:18" ht="12.75">
      <c r="A34" s="21"/>
      <c r="B34" s="21" t="s">
        <v>97</v>
      </c>
      <c r="C34" s="22">
        <v>0</v>
      </c>
      <c r="D34" s="22"/>
      <c r="E34" s="44">
        <f>SUM(E21:E24)+33.87</f>
        <v>60</v>
      </c>
      <c r="F34" s="45">
        <f t="shared" si="0"/>
        <v>0</v>
      </c>
      <c r="G34" s="45">
        <f t="shared" si="1"/>
        <v>60</v>
      </c>
      <c r="H34" s="45">
        <f t="shared" si="0"/>
        <v>0</v>
      </c>
      <c r="I34" s="45"/>
      <c r="J34" s="44">
        <f>SUM(J21:J24)+45.38</f>
        <v>81.12</v>
      </c>
      <c r="K34" s="45">
        <f t="shared" si="2"/>
        <v>0</v>
      </c>
      <c r="L34" s="45">
        <f t="shared" si="3"/>
        <v>81.12</v>
      </c>
      <c r="M34" s="45">
        <f t="shared" si="2"/>
        <v>0</v>
      </c>
      <c r="N34" s="45"/>
      <c r="O34" s="44">
        <f>SUM(O21:O24)+32.82</f>
        <v>58.290000000000006</v>
      </c>
      <c r="P34" s="45">
        <f t="shared" si="4"/>
        <v>0</v>
      </c>
      <c r="Q34" s="45">
        <f t="shared" si="5"/>
        <v>58.290000000000006</v>
      </c>
      <c r="R34" s="45">
        <f t="shared" si="4"/>
        <v>0</v>
      </c>
    </row>
    <row r="35" spans="1:18" ht="12.75">
      <c r="A35" s="21" t="s">
        <v>98</v>
      </c>
      <c r="B35" s="21" t="s">
        <v>99</v>
      </c>
      <c r="C35" s="22">
        <v>0</v>
      </c>
      <c r="D35" s="22"/>
      <c r="E35" s="45">
        <f>E25+E26+4.09</f>
        <v>12.870000000000001</v>
      </c>
      <c r="F35" s="45">
        <f t="shared" si="0"/>
        <v>0</v>
      </c>
      <c r="G35" s="45">
        <f t="shared" si="1"/>
        <v>12.870000000000001</v>
      </c>
      <c r="H35" s="45">
        <f t="shared" si="0"/>
        <v>0</v>
      </c>
      <c r="I35" s="45"/>
      <c r="J35" s="45">
        <f>J25+J26+4.8</f>
        <v>15.919999999999998</v>
      </c>
      <c r="K35" s="45">
        <f t="shared" si="2"/>
        <v>0</v>
      </c>
      <c r="L35" s="45">
        <f t="shared" si="3"/>
        <v>15.919999999999998</v>
      </c>
      <c r="M35" s="45">
        <f t="shared" si="2"/>
        <v>0</v>
      </c>
      <c r="N35" s="45"/>
      <c r="O35" s="45">
        <f>O25+O26+2.77</f>
        <v>8.95</v>
      </c>
      <c r="P35" s="45">
        <f t="shared" si="4"/>
        <v>0</v>
      </c>
      <c r="Q35" s="45">
        <f t="shared" si="5"/>
        <v>8.95</v>
      </c>
      <c r="R35" s="45">
        <f t="shared" si="4"/>
        <v>0</v>
      </c>
    </row>
    <row r="36" spans="1:18" ht="12.75">
      <c r="A36" s="21"/>
      <c r="B36" s="21"/>
      <c r="C36" s="21"/>
      <c r="D36" s="21"/>
      <c r="E36" s="44"/>
      <c r="F36" s="40"/>
      <c r="G36" s="44"/>
      <c r="H36" s="40"/>
      <c r="I36" s="44"/>
      <c r="J36" s="21"/>
      <c r="K36" s="23"/>
      <c r="L36" s="23"/>
      <c r="M36" s="23"/>
      <c r="N36" s="44"/>
      <c r="O36" s="21"/>
      <c r="P36" s="39"/>
      <c r="Q36" s="44"/>
      <c r="R36" s="39"/>
    </row>
    <row r="37" spans="1:18" ht="12.75">
      <c r="A37" s="21"/>
      <c r="B37" s="21" t="s">
        <v>100</v>
      </c>
      <c r="C37" s="21"/>
      <c r="D37" s="21"/>
      <c r="E37" s="44"/>
      <c r="F37" s="44">
        <v>149.458</v>
      </c>
      <c r="G37" s="44">
        <v>149.458</v>
      </c>
      <c r="H37" s="44">
        <v>149.458</v>
      </c>
      <c r="I37" s="44"/>
      <c r="J37" s="44"/>
      <c r="K37" s="44">
        <v>145.804</v>
      </c>
      <c r="L37" s="44">
        <v>145.804</v>
      </c>
      <c r="M37" s="44">
        <v>145.804</v>
      </c>
      <c r="N37" s="44"/>
      <c r="O37" s="44"/>
      <c r="P37" s="44">
        <v>132.592</v>
      </c>
      <c r="Q37" s="44">
        <v>132.592</v>
      </c>
      <c r="R37" s="44">
        <v>132.592</v>
      </c>
    </row>
    <row r="38" spans="1:18" ht="12.75">
      <c r="A38" s="21"/>
      <c r="B38" s="21" t="s">
        <v>101</v>
      </c>
      <c r="C38" s="21"/>
      <c r="D38" s="21"/>
      <c r="E38" s="44"/>
      <c r="F38" s="44">
        <v>16.1</v>
      </c>
      <c r="G38" s="44">
        <v>16.1</v>
      </c>
      <c r="H38" s="44">
        <v>16.1</v>
      </c>
      <c r="I38" s="44"/>
      <c r="J38" s="44"/>
      <c r="K38" s="23">
        <v>16.5</v>
      </c>
      <c r="L38" s="23">
        <v>16.5</v>
      </c>
      <c r="M38" s="23">
        <v>16.5</v>
      </c>
      <c r="N38" s="44"/>
      <c r="O38" s="44"/>
      <c r="P38" s="44">
        <v>16.4</v>
      </c>
      <c r="Q38" s="44">
        <v>16.4</v>
      </c>
      <c r="R38" s="44">
        <v>16.4</v>
      </c>
    </row>
    <row r="39" spans="1:18" ht="12.75">
      <c r="A39" s="21"/>
      <c r="B39" s="21"/>
      <c r="C39" s="21"/>
      <c r="D39" s="21"/>
      <c r="E39" s="44"/>
      <c r="F39" s="21"/>
      <c r="G39" s="44"/>
      <c r="H39" s="21"/>
      <c r="I39" s="21"/>
      <c r="J39" s="44"/>
      <c r="K39" s="23"/>
      <c r="L39" s="23"/>
      <c r="M39" s="23"/>
      <c r="N39" s="44"/>
      <c r="O39" s="44"/>
      <c r="P39" s="44"/>
      <c r="Q39" s="44"/>
      <c r="R39" s="44"/>
    </row>
    <row r="40" spans="1:18" ht="12.75">
      <c r="A40" s="21"/>
      <c r="B40" s="21" t="s">
        <v>102</v>
      </c>
      <c r="C40" s="40"/>
      <c r="D40" s="40"/>
      <c r="E40" s="23"/>
      <c r="F40" s="45">
        <f>SUM(F11:F27)</f>
        <v>12.401100000000001</v>
      </c>
      <c r="G40" s="23">
        <f>SUM(G27,G35,G34,G33,G32,G17,G31,G30,G29,G28)</f>
        <v>627.49</v>
      </c>
      <c r="H40" s="45">
        <f>SUM(H11:H27)</f>
        <v>12.401100000000001</v>
      </c>
      <c r="I40" s="40"/>
      <c r="J40" s="23"/>
      <c r="K40" s="45">
        <f>SUM(K11:K27)</f>
        <v>17.240540000000003</v>
      </c>
      <c r="L40" s="23">
        <f>SUM(L27,L35,L34,L33,L32,L17,L31,L30,L29,L28)</f>
        <v>774.9300000000001</v>
      </c>
      <c r="M40" s="45">
        <f>SUM(M11:M27)</f>
        <v>17.240540000000003</v>
      </c>
      <c r="N40" s="40"/>
      <c r="O40" s="44"/>
      <c r="P40" s="45">
        <f>SUM(P11:P27)</f>
        <v>19.15474</v>
      </c>
      <c r="Q40" s="23">
        <f>SUM(Q27,Q35,Q34,Q33,Q32,Q17,Q31,Q30,Q29,Q28)</f>
        <v>982.2199999999999</v>
      </c>
      <c r="R40" s="45">
        <f>SUM(R11:R27)</f>
        <v>19.15474</v>
      </c>
    </row>
    <row r="41" spans="1:18" ht="12.75">
      <c r="A41" s="21"/>
      <c r="B41" s="21" t="s">
        <v>103</v>
      </c>
      <c r="C41" s="40"/>
      <c r="D41" s="23">
        <f>(F41-H41)*2/F41*100</f>
        <v>0</v>
      </c>
      <c r="E41" s="44"/>
      <c r="F41" s="44">
        <f>(F40/F37/0.0283*(21-7)/(21-F38))</f>
        <v>8.376962346374654</v>
      </c>
      <c r="G41" s="44">
        <f>(G40/G37/0.0283*(21-7)/(21-G38))</f>
        <v>423.8704713877504</v>
      </c>
      <c r="H41" s="44">
        <f>(H40/H37/0.0283*(21-7)/(21-H38))</f>
        <v>8.376962346374654</v>
      </c>
      <c r="I41" s="23">
        <f>(K41-M41)*2/K41*100</f>
        <v>0</v>
      </c>
      <c r="J41" s="44"/>
      <c r="K41" s="44">
        <f>K40/K37/0.0283*(21-7)/(21-K38)</f>
        <v>12.99901701513508</v>
      </c>
      <c r="L41" s="44">
        <f>(L40/L37/0.0283*(21-7)/(21-L38))</f>
        <v>584.2814816437667</v>
      </c>
      <c r="M41" s="44">
        <f>M40/M37/0.0283*(21-7)/(21-M38)</f>
        <v>12.99901701513508</v>
      </c>
      <c r="N41" s="23">
        <f>(P41-R41)*2/P41*100</f>
        <v>0</v>
      </c>
      <c r="O41" s="44"/>
      <c r="P41" s="44">
        <f>P40/P37/0.0283*(21-7)/(21-P38)</f>
        <v>15.536125055647387</v>
      </c>
      <c r="Q41" s="44">
        <f>(Q40/Q37/0.0283*(21-7)/(21-Q38))</f>
        <v>796.6640503686281</v>
      </c>
      <c r="R41" s="44">
        <f>R40/R37/0.0283*(21-7)/(21-R38)</f>
        <v>15.536125055647387</v>
      </c>
    </row>
    <row r="42" spans="1:18" ht="12.75">
      <c r="A42" s="21"/>
      <c r="B42" s="21"/>
      <c r="C42" s="21"/>
      <c r="D42" s="21"/>
      <c r="E42" s="45"/>
      <c r="F42" s="40"/>
      <c r="G42" s="45"/>
      <c r="H42" s="40"/>
      <c r="I42" s="45"/>
      <c r="J42" s="45"/>
      <c r="K42" s="45"/>
      <c r="L42" s="45"/>
      <c r="M42" s="45"/>
      <c r="N42" s="45"/>
      <c r="O42" s="45"/>
      <c r="P42" s="39"/>
      <c r="Q42" s="45"/>
      <c r="R42" s="39"/>
    </row>
    <row r="43" spans="1:18" ht="12.75">
      <c r="A43" s="44"/>
      <c r="B43" s="21" t="s">
        <v>104</v>
      </c>
      <c r="C43" s="45">
        <f>AVERAGE(H41,M41,R41)</f>
        <v>12.304034805719041</v>
      </c>
      <c r="D43" s="44"/>
      <c r="E43" s="46"/>
      <c r="F43" s="40"/>
      <c r="G43" s="44"/>
      <c r="H43" s="40"/>
      <c r="I43" s="44"/>
      <c r="J43" s="44"/>
      <c r="K43" s="44"/>
      <c r="L43" s="44"/>
      <c r="M43" s="44"/>
      <c r="N43" s="44"/>
      <c r="O43" s="44"/>
      <c r="P43" s="39"/>
      <c r="Q43" s="44"/>
      <c r="R43" s="39"/>
    </row>
    <row r="44" spans="1:18" ht="12.75">
      <c r="A44" s="21"/>
      <c r="B44" s="21" t="s">
        <v>105</v>
      </c>
      <c r="C44" s="44">
        <f>AVERAGE(G41,L41,Q41)</f>
        <v>601.6053344667151</v>
      </c>
      <c r="D44" s="21"/>
      <c r="E44" s="39"/>
      <c r="F44" s="40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4"/>
  <sheetViews>
    <sheetView workbookViewId="0" topLeftCell="A1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7.57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421875" style="0" customWidth="1"/>
    <col min="16" max="16" width="9.00390625" style="0" customWidth="1"/>
    <col min="18" max="18" width="9.00390625" style="0" customWidth="1"/>
  </cols>
  <sheetData>
    <row r="1" spans="1:18" ht="12.75">
      <c r="A1" s="38" t="s">
        <v>65</v>
      </c>
      <c r="B1" s="21"/>
      <c r="C1" s="21"/>
      <c r="D1" s="21"/>
      <c r="E1" s="39"/>
      <c r="F1" s="40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9" customHeight="1">
      <c r="A2" s="21" t="s">
        <v>259</v>
      </c>
      <c r="B2" s="21"/>
      <c r="C2" s="21"/>
      <c r="D2" s="21"/>
      <c r="E2" s="39"/>
      <c r="F2" s="40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21" t="s">
        <v>66</v>
      </c>
      <c r="B3" s="21"/>
      <c r="C3" s="8" t="s">
        <v>257</v>
      </c>
      <c r="D3" s="8"/>
      <c r="E3" s="39"/>
      <c r="F3" s="40"/>
      <c r="G3" s="39"/>
      <c r="H3" s="40"/>
      <c r="I3" s="39"/>
      <c r="J3" s="41"/>
      <c r="K3" s="39"/>
      <c r="L3" s="39"/>
      <c r="M3" s="39"/>
      <c r="N3" s="39"/>
      <c r="O3" s="39"/>
      <c r="P3" s="39"/>
      <c r="Q3" s="39"/>
      <c r="R3" s="39"/>
    </row>
    <row r="4" spans="1:18" ht="12.75">
      <c r="A4" s="21" t="s">
        <v>67</v>
      </c>
      <c r="B4" s="21"/>
      <c r="C4" s="54" t="s">
        <v>166</v>
      </c>
      <c r="D4" s="8" t="s">
        <v>122</v>
      </c>
      <c r="E4" s="42"/>
      <c r="F4" s="43"/>
      <c r="G4" s="42"/>
      <c r="H4" s="43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.75">
      <c r="A5" s="21" t="s">
        <v>68</v>
      </c>
      <c r="B5" s="21"/>
      <c r="C5" s="47">
        <v>36665</v>
      </c>
      <c r="D5" s="9"/>
      <c r="E5" s="9"/>
      <c r="F5" s="9"/>
      <c r="G5" s="9"/>
      <c r="H5" s="9"/>
      <c r="I5" s="9"/>
      <c r="J5" s="9"/>
      <c r="K5" s="39"/>
      <c r="L5" s="9"/>
      <c r="M5" s="39"/>
      <c r="N5" s="39"/>
      <c r="O5" s="39"/>
      <c r="P5" s="39"/>
      <c r="Q5" s="39"/>
      <c r="R5" s="39"/>
    </row>
    <row r="6" spans="1:18" ht="12.75">
      <c r="A6" s="21"/>
      <c r="B6" s="21"/>
      <c r="C6" s="22"/>
      <c r="D6" s="22"/>
      <c r="E6" s="24"/>
      <c r="F6" s="40"/>
      <c r="G6" s="24"/>
      <c r="H6" s="40"/>
      <c r="I6" s="39"/>
      <c r="J6" s="24"/>
      <c r="K6" s="39"/>
      <c r="L6" s="24"/>
      <c r="M6" s="39"/>
      <c r="N6" s="39"/>
      <c r="O6" s="24"/>
      <c r="P6" s="39"/>
      <c r="Q6" s="24"/>
      <c r="R6" s="39"/>
    </row>
    <row r="7" spans="1:18" ht="12.75">
      <c r="A7" s="21"/>
      <c r="B7" s="21"/>
      <c r="C7" s="22" t="s">
        <v>69</v>
      </c>
      <c r="D7" s="22"/>
      <c r="E7" s="93" t="s">
        <v>30</v>
      </c>
      <c r="F7" s="93"/>
      <c r="G7" s="93"/>
      <c r="H7" s="93"/>
      <c r="I7" s="94"/>
      <c r="J7" s="93" t="s">
        <v>31</v>
      </c>
      <c r="K7" s="93"/>
      <c r="L7" s="93"/>
      <c r="M7" s="93"/>
      <c r="N7" s="94"/>
      <c r="O7" s="93" t="s">
        <v>32</v>
      </c>
      <c r="P7" s="93"/>
      <c r="Q7" s="93"/>
      <c r="R7" s="93"/>
    </row>
    <row r="8" spans="1:18" ht="12.75">
      <c r="A8" s="21"/>
      <c r="B8" s="21"/>
      <c r="C8" s="22" t="s">
        <v>70</v>
      </c>
      <c r="D8" s="21"/>
      <c r="E8" s="24" t="s">
        <v>63</v>
      </c>
      <c r="F8" s="43" t="s">
        <v>71</v>
      </c>
      <c r="G8" s="24" t="s">
        <v>63</v>
      </c>
      <c r="H8" s="43" t="s">
        <v>71</v>
      </c>
      <c r="I8" s="39"/>
      <c r="J8" s="24" t="s">
        <v>63</v>
      </c>
      <c r="K8" s="24" t="s">
        <v>72</v>
      </c>
      <c r="L8" s="24" t="s">
        <v>63</v>
      </c>
      <c r="M8" s="24" t="s">
        <v>72</v>
      </c>
      <c r="N8" s="39"/>
      <c r="O8" s="24" t="s">
        <v>63</v>
      </c>
      <c r="P8" s="24" t="s">
        <v>72</v>
      </c>
      <c r="Q8" s="24" t="s">
        <v>63</v>
      </c>
      <c r="R8" s="24" t="s">
        <v>72</v>
      </c>
    </row>
    <row r="9" spans="1:18" ht="12.75">
      <c r="A9" s="21"/>
      <c r="B9" s="21"/>
      <c r="C9" s="22"/>
      <c r="D9" s="21"/>
      <c r="E9" s="24" t="s">
        <v>222</v>
      </c>
      <c r="F9" s="24" t="s">
        <v>222</v>
      </c>
      <c r="G9" s="24" t="s">
        <v>73</v>
      </c>
      <c r="H9" s="43" t="s">
        <v>73</v>
      </c>
      <c r="I9" s="39"/>
      <c r="J9" s="24" t="s">
        <v>222</v>
      </c>
      <c r="K9" s="24" t="s">
        <v>222</v>
      </c>
      <c r="L9" s="24" t="s">
        <v>73</v>
      </c>
      <c r="M9" s="43" t="s">
        <v>73</v>
      </c>
      <c r="N9" s="39"/>
      <c r="O9" s="24" t="s">
        <v>222</v>
      </c>
      <c r="P9" s="24" t="s">
        <v>222</v>
      </c>
      <c r="Q9" s="24" t="s">
        <v>73</v>
      </c>
      <c r="R9" s="43" t="s">
        <v>73</v>
      </c>
    </row>
    <row r="10" spans="1:18" ht="12.75">
      <c r="A10" s="21" t="s">
        <v>157</v>
      </c>
      <c r="B10" s="21"/>
      <c r="C10" s="21"/>
      <c r="D10" s="21"/>
      <c r="E10" s="39"/>
      <c r="F10" s="40"/>
      <c r="G10" s="39"/>
      <c r="H10" s="40"/>
      <c r="I10" s="39"/>
      <c r="J10" s="39"/>
      <c r="K10" s="39"/>
      <c r="L10" s="39"/>
      <c r="M10" s="39"/>
      <c r="N10" s="39"/>
      <c r="O10" s="23"/>
      <c r="P10" s="39"/>
      <c r="Q10" s="39"/>
      <c r="R10" s="39"/>
    </row>
    <row r="11" spans="1:18" ht="12.75">
      <c r="A11" s="21"/>
      <c r="B11" s="21" t="s">
        <v>74</v>
      </c>
      <c r="C11" s="22">
        <v>1</v>
      </c>
      <c r="D11" s="22"/>
      <c r="E11" s="23">
        <v>28.6</v>
      </c>
      <c r="F11" s="64">
        <f aca="true" t="shared" si="0" ref="F11:H35">IF(E11="","",E11*$C11)</f>
        <v>28.6</v>
      </c>
      <c r="G11" s="64">
        <f aca="true" t="shared" si="1" ref="G11:G35">IF(E11=0,"",IF(D11="nd",E11/2,E11))</f>
        <v>28.6</v>
      </c>
      <c r="H11" s="64">
        <f t="shared" si="0"/>
        <v>28.6</v>
      </c>
      <c r="I11" s="64"/>
      <c r="J11" s="23">
        <v>54.1</v>
      </c>
      <c r="K11" s="64">
        <f aca="true" t="shared" si="2" ref="K11:M35">IF(J11="","",J11*$C11)</f>
        <v>54.1</v>
      </c>
      <c r="L11" s="64">
        <f aca="true" t="shared" si="3" ref="L11:L35">IF(J11=0,"",IF(I11="nd",J11/2,J11))</f>
        <v>54.1</v>
      </c>
      <c r="M11" s="64">
        <f t="shared" si="2"/>
        <v>54.1</v>
      </c>
      <c r="N11" s="64"/>
      <c r="O11" s="23">
        <v>105</v>
      </c>
      <c r="P11" s="64">
        <f aca="true" t="shared" si="4" ref="P11:R35">IF(O11="","",O11*$C11)</f>
        <v>105</v>
      </c>
      <c r="Q11" s="64">
        <f aca="true" t="shared" si="5" ref="Q11:Q35">IF(O11=0,"",IF(N11="nd",O11/2,O11))</f>
        <v>105</v>
      </c>
      <c r="R11" s="64">
        <f t="shared" si="4"/>
        <v>105</v>
      </c>
    </row>
    <row r="12" spans="1:18" ht="12.75">
      <c r="A12" s="21"/>
      <c r="B12" s="21" t="s">
        <v>75</v>
      </c>
      <c r="C12" s="22">
        <v>0.5</v>
      </c>
      <c r="D12" s="22"/>
      <c r="E12" s="23">
        <v>129</v>
      </c>
      <c r="F12" s="64">
        <f t="shared" si="0"/>
        <v>64.5</v>
      </c>
      <c r="G12" s="64">
        <f t="shared" si="1"/>
        <v>129</v>
      </c>
      <c r="H12" s="64">
        <f t="shared" si="0"/>
        <v>64.5</v>
      </c>
      <c r="I12" s="64"/>
      <c r="J12" s="23">
        <v>93.5</v>
      </c>
      <c r="K12" s="64">
        <f t="shared" si="2"/>
        <v>46.75</v>
      </c>
      <c r="L12" s="64">
        <f t="shared" si="3"/>
        <v>93.5</v>
      </c>
      <c r="M12" s="64">
        <f t="shared" si="2"/>
        <v>46.75</v>
      </c>
      <c r="N12" s="64"/>
      <c r="O12" s="23">
        <v>105</v>
      </c>
      <c r="P12" s="64">
        <f t="shared" si="4"/>
        <v>52.5</v>
      </c>
      <c r="Q12" s="64">
        <f t="shared" si="5"/>
        <v>105</v>
      </c>
      <c r="R12" s="64">
        <f t="shared" si="4"/>
        <v>52.5</v>
      </c>
    </row>
    <row r="13" spans="1:18" ht="12.75">
      <c r="A13" s="21"/>
      <c r="B13" s="21" t="s">
        <v>76</v>
      </c>
      <c r="C13" s="22">
        <v>0.1</v>
      </c>
      <c r="D13" s="22"/>
      <c r="E13" s="23">
        <v>180</v>
      </c>
      <c r="F13" s="64">
        <f t="shared" si="0"/>
        <v>18</v>
      </c>
      <c r="G13" s="64">
        <f t="shared" si="1"/>
        <v>180</v>
      </c>
      <c r="H13" s="64">
        <f t="shared" si="0"/>
        <v>18</v>
      </c>
      <c r="I13" s="64"/>
      <c r="J13" s="23">
        <v>78.2</v>
      </c>
      <c r="K13" s="64">
        <f t="shared" si="2"/>
        <v>7.82</v>
      </c>
      <c r="L13" s="64">
        <f t="shared" si="3"/>
        <v>78.2</v>
      </c>
      <c r="M13" s="64">
        <f t="shared" si="2"/>
        <v>7.82</v>
      </c>
      <c r="N13" s="64"/>
      <c r="O13" s="23">
        <v>73.6</v>
      </c>
      <c r="P13" s="64">
        <f t="shared" si="4"/>
        <v>7.359999999999999</v>
      </c>
      <c r="Q13" s="64">
        <f t="shared" si="5"/>
        <v>73.6</v>
      </c>
      <c r="R13" s="64">
        <f t="shared" si="4"/>
        <v>7.359999999999999</v>
      </c>
    </row>
    <row r="14" spans="1:18" ht="12.75">
      <c r="A14" s="21"/>
      <c r="B14" s="21" t="s">
        <v>77</v>
      </c>
      <c r="C14" s="22">
        <v>0.1</v>
      </c>
      <c r="D14" s="22"/>
      <c r="E14" s="23">
        <v>747</v>
      </c>
      <c r="F14" s="64">
        <f t="shared" si="0"/>
        <v>74.7</v>
      </c>
      <c r="G14" s="64">
        <f t="shared" si="1"/>
        <v>747</v>
      </c>
      <c r="H14" s="64">
        <f t="shared" si="0"/>
        <v>74.7</v>
      </c>
      <c r="I14" s="64"/>
      <c r="J14" s="23">
        <v>381</v>
      </c>
      <c r="K14" s="64">
        <f t="shared" si="2"/>
        <v>38.1</v>
      </c>
      <c r="L14" s="64">
        <f t="shared" si="3"/>
        <v>381</v>
      </c>
      <c r="M14" s="64">
        <f t="shared" si="2"/>
        <v>38.1</v>
      </c>
      <c r="N14" s="64"/>
      <c r="O14" s="23">
        <v>325</v>
      </c>
      <c r="P14" s="64">
        <f t="shared" si="4"/>
        <v>32.5</v>
      </c>
      <c r="Q14" s="64">
        <f t="shared" si="5"/>
        <v>325</v>
      </c>
      <c r="R14" s="64">
        <f t="shared" si="4"/>
        <v>32.5</v>
      </c>
    </row>
    <row r="15" spans="1:18" ht="12.75">
      <c r="A15" s="21"/>
      <c r="B15" s="21" t="s">
        <v>78</v>
      </c>
      <c r="C15" s="22">
        <v>0.1</v>
      </c>
      <c r="D15" s="22"/>
      <c r="E15" s="23">
        <v>371</v>
      </c>
      <c r="F15" s="64">
        <f t="shared" si="0"/>
        <v>37.1</v>
      </c>
      <c r="G15" s="64">
        <f t="shared" si="1"/>
        <v>371</v>
      </c>
      <c r="H15" s="64">
        <f t="shared" si="0"/>
        <v>37.1</v>
      </c>
      <c r="I15" s="64"/>
      <c r="J15" s="23">
        <v>178</v>
      </c>
      <c r="K15" s="64">
        <f t="shared" si="2"/>
        <v>17.8</v>
      </c>
      <c r="L15" s="64">
        <f t="shared" si="3"/>
        <v>178</v>
      </c>
      <c r="M15" s="64">
        <f t="shared" si="2"/>
        <v>17.8</v>
      </c>
      <c r="N15" s="64"/>
      <c r="O15" s="23">
        <v>161</v>
      </c>
      <c r="P15" s="64">
        <f t="shared" si="4"/>
        <v>16.1</v>
      </c>
      <c r="Q15" s="64">
        <f t="shared" si="5"/>
        <v>161</v>
      </c>
      <c r="R15" s="64">
        <f t="shared" si="4"/>
        <v>16.1</v>
      </c>
    </row>
    <row r="16" spans="1:18" ht="12.75">
      <c r="A16" s="21"/>
      <c r="B16" s="21" t="s">
        <v>79</v>
      </c>
      <c r="C16" s="22">
        <v>0.01</v>
      </c>
      <c r="D16" s="22"/>
      <c r="E16" s="23">
        <v>4240</v>
      </c>
      <c r="F16" s="64">
        <f t="shared" si="0"/>
        <v>42.4</v>
      </c>
      <c r="G16" s="64">
        <f t="shared" si="1"/>
        <v>4240</v>
      </c>
      <c r="H16" s="64">
        <f t="shared" si="0"/>
        <v>42.4</v>
      </c>
      <c r="I16" s="64"/>
      <c r="J16" s="23">
        <v>1630</v>
      </c>
      <c r="K16" s="64">
        <f t="shared" si="2"/>
        <v>16.3</v>
      </c>
      <c r="L16" s="64">
        <f t="shared" si="3"/>
        <v>1630</v>
      </c>
      <c r="M16" s="64">
        <f t="shared" si="2"/>
        <v>16.3</v>
      </c>
      <c r="N16" s="64"/>
      <c r="O16" s="23">
        <v>1400</v>
      </c>
      <c r="P16" s="64">
        <f t="shared" si="4"/>
        <v>14</v>
      </c>
      <c r="Q16" s="64">
        <f t="shared" si="5"/>
        <v>1400</v>
      </c>
      <c r="R16" s="64">
        <f t="shared" si="4"/>
        <v>14</v>
      </c>
    </row>
    <row r="17" spans="1:18" ht="12.75">
      <c r="A17" s="21"/>
      <c r="B17" s="21" t="s">
        <v>80</v>
      </c>
      <c r="C17" s="22">
        <v>0.001</v>
      </c>
      <c r="D17" s="22"/>
      <c r="E17" s="23">
        <v>15700</v>
      </c>
      <c r="F17" s="64">
        <f t="shared" si="0"/>
        <v>15.700000000000001</v>
      </c>
      <c r="G17" s="64">
        <f t="shared" si="1"/>
        <v>15700</v>
      </c>
      <c r="H17" s="64">
        <f t="shared" si="0"/>
        <v>15.700000000000001</v>
      </c>
      <c r="I17" s="64"/>
      <c r="J17" s="23">
        <v>2280</v>
      </c>
      <c r="K17" s="64">
        <f t="shared" si="2"/>
        <v>2.2800000000000002</v>
      </c>
      <c r="L17" s="64">
        <f t="shared" si="3"/>
        <v>2280</v>
      </c>
      <c r="M17" s="64">
        <f t="shared" si="2"/>
        <v>2.2800000000000002</v>
      </c>
      <c r="N17" s="64"/>
      <c r="O17" s="23">
        <v>1860</v>
      </c>
      <c r="P17" s="64">
        <f t="shared" si="4"/>
        <v>1.86</v>
      </c>
      <c r="Q17" s="64">
        <f t="shared" si="5"/>
        <v>1860</v>
      </c>
      <c r="R17" s="64">
        <f t="shared" si="4"/>
        <v>1.86</v>
      </c>
    </row>
    <row r="18" spans="1:18" ht="12.75">
      <c r="A18" s="21"/>
      <c r="B18" s="21" t="s">
        <v>81</v>
      </c>
      <c r="C18" s="22">
        <v>0.1</v>
      </c>
      <c r="D18" s="22"/>
      <c r="E18" s="23">
        <v>546</v>
      </c>
      <c r="F18" s="64">
        <f t="shared" si="0"/>
        <v>54.6</v>
      </c>
      <c r="G18" s="64">
        <f t="shared" si="1"/>
        <v>546</v>
      </c>
      <c r="H18" s="64">
        <f t="shared" si="0"/>
        <v>54.6</v>
      </c>
      <c r="I18" s="64"/>
      <c r="J18" s="23">
        <v>1410</v>
      </c>
      <c r="K18" s="64">
        <f t="shared" si="2"/>
        <v>141</v>
      </c>
      <c r="L18" s="64">
        <f t="shared" si="3"/>
        <v>1410</v>
      </c>
      <c r="M18" s="64">
        <f t="shared" si="2"/>
        <v>141</v>
      </c>
      <c r="N18" s="64"/>
      <c r="O18" s="23">
        <v>3100</v>
      </c>
      <c r="P18" s="64">
        <f t="shared" si="4"/>
        <v>310</v>
      </c>
      <c r="Q18" s="64">
        <f t="shared" si="5"/>
        <v>3100</v>
      </c>
      <c r="R18" s="64">
        <f t="shared" si="4"/>
        <v>310</v>
      </c>
    </row>
    <row r="19" spans="1:18" ht="12.75">
      <c r="A19" s="21"/>
      <c r="B19" s="21" t="s">
        <v>82</v>
      </c>
      <c r="C19" s="22">
        <v>0.05</v>
      </c>
      <c r="D19" s="22"/>
      <c r="E19" s="23">
        <v>385</v>
      </c>
      <c r="F19" s="64">
        <f t="shared" si="0"/>
        <v>19.25</v>
      </c>
      <c r="G19" s="64">
        <f t="shared" si="1"/>
        <v>385</v>
      </c>
      <c r="H19" s="64">
        <f t="shared" si="0"/>
        <v>19.25</v>
      </c>
      <c r="I19" s="64"/>
      <c r="J19" s="23">
        <v>736</v>
      </c>
      <c r="K19" s="64">
        <f t="shared" si="2"/>
        <v>36.800000000000004</v>
      </c>
      <c r="L19" s="64">
        <f t="shared" si="3"/>
        <v>736</v>
      </c>
      <c r="M19" s="64">
        <f t="shared" si="2"/>
        <v>36.800000000000004</v>
      </c>
      <c r="N19" s="64"/>
      <c r="O19" s="23">
        <v>1600</v>
      </c>
      <c r="P19" s="64">
        <f t="shared" si="4"/>
        <v>80</v>
      </c>
      <c r="Q19" s="64">
        <f t="shared" si="5"/>
        <v>1600</v>
      </c>
      <c r="R19" s="64">
        <f t="shared" si="4"/>
        <v>80</v>
      </c>
    </row>
    <row r="20" spans="1:18" ht="12.75">
      <c r="A20" s="21"/>
      <c r="B20" s="21" t="s">
        <v>83</v>
      </c>
      <c r="C20" s="22">
        <v>0.5</v>
      </c>
      <c r="D20" s="22"/>
      <c r="E20" s="23">
        <v>509</v>
      </c>
      <c r="F20" s="64">
        <f t="shared" si="0"/>
        <v>254.5</v>
      </c>
      <c r="G20" s="64">
        <f t="shared" si="1"/>
        <v>509</v>
      </c>
      <c r="H20" s="64">
        <f t="shared" si="0"/>
        <v>254.5</v>
      </c>
      <c r="I20" s="64"/>
      <c r="J20" s="23">
        <v>893</v>
      </c>
      <c r="K20" s="64">
        <f t="shared" si="2"/>
        <v>446.5</v>
      </c>
      <c r="L20" s="64">
        <f t="shared" si="3"/>
        <v>893</v>
      </c>
      <c r="M20" s="64">
        <f t="shared" si="2"/>
        <v>446.5</v>
      </c>
      <c r="N20" s="64"/>
      <c r="O20" s="23">
        <v>1900</v>
      </c>
      <c r="P20" s="64">
        <f t="shared" si="4"/>
        <v>950</v>
      </c>
      <c r="Q20" s="64">
        <f t="shared" si="5"/>
        <v>1900</v>
      </c>
      <c r="R20" s="64">
        <f t="shared" si="4"/>
        <v>950</v>
      </c>
    </row>
    <row r="21" spans="1:18" ht="12.75">
      <c r="A21" s="21"/>
      <c r="B21" s="21" t="s">
        <v>84</v>
      </c>
      <c r="C21" s="22">
        <v>0.1</v>
      </c>
      <c r="D21" s="22"/>
      <c r="E21" s="23">
        <v>634</v>
      </c>
      <c r="F21" s="64">
        <f t="shared" si="0"/>
        <v>63.400000000000006</v>
      </c>
      <c r="G21" s="64">
        <f t="shared" si="1"/>
        <v>634</v>
      </c>
      <c r="H21" s="64">
        <f t="shared" si="0"/>
        <v>63.400000000000006</v>
      </c>
      <c r="I21" s="64"/>
      <c r="J21" s="23">
        <v>424</v>
      </c>
      <c r="K21" s="64">
        <f t="shared" si="2"/>
        <v>42.400000000000006</v>
      </c>
      <c r="L21" s="64">
        <f t="shared" si="3"/>
        <v>424</v>
      </c>
      <c r="M21" s="64">
        <f t="shared" si="2"/>
        <v>42.400000000000006</v>
      </c>
      <c r="N21" s="64"/>
      <c r="O21" s="17">
        <v>561</v>
      </c>
      <c r="P21" s="64">
        <f t="shared" si="4"/>
        <v>56.1</v>
      </c>
      <c r="Q21" s="64">
        <f t="shared" si="5"/>
        <v>561</v>
      </c>
      <c r="R21" s="64">
        <f t="shared" si="4"/>
        <v>56.1</v>
      </c>
    </row>
    <row r="22" spans="1:18" ht="12.75">
      <c r="A22" s="21"/>
      <c r="B22" s="21" t="s">
        <v>85</v>
      </c>
      <c r="C22" s="22">
        <v>0.1</v>
      </c>
      <c r="D22" s="22"/>
      <c r="E22" s="23">
        <v>399</v>
      </c>
      <c r="F22" s="64">
        <f t="shared" si="0"/>
        <v>39.900000000000006</v>
      </c>
      <c r="G22" s="64">
        <f t="shared" si="1"/>
        <v>399</v>
      </c>
      <c r="H22" s="64">
        <f t="shared" si="0"/>
        <v>39.900000000000006</v>
      </c>
      <c r="I22" s="64"/>
      <c r="J22" s="23">
        <v>278</v>
      </c>
      <c r="K22" s="64">
        <f t="shared" si="2"/>
        <v>27.8</v>
      </c>
      <c r="L22" s="64">
        <f t="shared" si="3"/>
        <v>278</v>
      </c>
      <c r="M22" s="64">
        <f t="shared" si="2"/>
        <v>27.8</v>
      </c>
      <c r="N22" s="64"/>
      <c r="O22" s="23">
        <v>427</v>
      </c>
      <c r="P22" s="64">
        <f t="shared" si="4"/>
        <v>42.7</v>
      </c>
      <c r="Q22" s="64">
        <f t="shared" si="5"/>
        <v>427</v>
      </c>
      <c r="R22" s="64">
        <f t="shared" si="4"/>
        <v>42.7</v>
      </c>
    </row>
    <row r="23" spans="1:18" ht="12.75">
      <c r="A23" s="21"/>
      <c r="B23" s="21" t="s">
        <v>86</v>
      </c>
      <c r="C23" s="22">
        <v>0.1</v>
      </c>
      <c r="D23" s="22"/>
      <c r="E23" s="23">
        <v>134</v>
      </c>
      <c r="F23" s="64">
        <f t="shared" si="0"/>
        <v>13.4</v>
      </c>
      <c r="G23" s="64">
        <f t="shared" si="1"/>
        <v>134</v>
      </c>
      <c r="H23" s="64">
        <f t="shared" si="0"/>
        <v>13.4</v>
      </c>
      <c r="I23" s="64"/>
      <c r="J23" s="23">
        <v>76.6</v>
      </c>
      <c r="K23" s="64">
        <f t="shared" si="2"/>
        <v>7.66</v>
      </c>
      <c r="L23" s="64">
        <f t="shared" si="3"/>
        <v>76.6</v>
      </c>
      <c r="M23" s="64">
        <f t="shared" si="2"/>
        <v>7.66</v>
      </c>
      <c r="N23" s="64"/>
      <c r="O23" s="23">
        <v>79.4</v>
      </c>
      <c r="P23" s="64">
        <f t="shared" si="4"/>
        <v>7.940000000000001</v>
      </c>
      <c r="Q23" s="64">
        <f t="shared" si="5"/>
        <v>79.4</v>
      </c>
      <c r="R23" s="64">
        <f t="shared" si="4"/>
        <v>7.940000000000001</v>
      </c>
    </row>
    <row r="24" spans="1:18" ht="12.75">
      <c r="A24" s="21"/>
      <c r="B24" s="21" t="s">
        <v>87</v>
      </c>
      <c r="C24" s="22">
        <v>0.1</v>
      </c>
      <c r="D24" s="22"/>
      <c r="E24" s="23">
        <v>369</v>
      </c>
      <c r="F24" s="64">
        <f t="shared" si="0"/>
        <v>36.9</v>
      </c>
      <c r="G24" s="64">
        <f t="shared" si="1"/>
        <v>369</v>
      </c>
      <c r="H24" s="64">
        <f t="shared" si="0"/>
        <v>36.9</v>
      </c>
      <c r="I24" s="64"/>
      <c r="J24" s="23">
        <v>142</v>
      </c>
      <c r="K24" s="64">
        <f t="shared" si="2"/>
        <v>14.200000000000001</v>
      </c>
      <c r="L24" s="64">
        <f t="shared" si="3"/>
        <v>142</v>
      </c>
      <c r="M24" s="64">
        <f t="shared" si="2"/>
        <v>14.200000000000001</v>
      </c>
      <c r="N24" s="64"/>
      <c r="O24" s="23">
        <v>184</v>
      </c>
      <c r="P24" s="64">
        <f t="shared" si="4"/>
        <v>18.400000000000002</v>
      </c>
      <c r="Q24" s="64">
        <f t="shared" si="5"/>
        <v>184</v>
      </c>
      <c r="R24" s="64">
        <f t="shared" si="4"/>
        <v>18.400000000000002</v>
      </c>
    </row>
    <row r="25" spans="1:18" ht="12.75">
      <c r="A25" s="21"/>
      <c r="B25" s="21" t="s">
        <v>88</v>
      </c>
      <c r="C25" s="22">
        <v>0.01</v>
      </c>
      <c r="D25" s="22"/>
      <c r="E25" s="23">
        <v>2430</v>
      </c>
      <c r="F25" s="64">
        <f t="shared" si="0"/>
        <v>24.3</v>
      </c>
      <c r="G25" s="64">
        <f t="shared" si="1"/>
        <v>2430</v>
      </c>
      <c r="H25" s="64">
        <f t="shared" si="0"/>
        <v>24.3</v>
      </c>
      <c r="I25" s="64"/>
      <c r="J25" s="23">
        <v>527</v>
      </c>
      <c r="K25" s="64">
        <f t="shared" si="2"/>
        <v>5.2700000000000005</v>
      </c>
      <c r="L25" s="64">
        <f t="shared" si="3"/>
        <v>527</v>
      </c>
      <c r="M25" s="64">
        <f t="shared" si="2"/>
        <v>5.2700000000000005</v>
      </c>
      <c r="N25" s="64"/>
      <c r="O25" s="23">
        <v>515</v>
      </c>
      <c r="P25" s="64">
        <f t="shared" si="4"/>
        <v>5.15</v>
      </c>
      <c r="Q25" s="64">
        <f t="shared" si="5"/>
        <v>515</v>
      </c>
      <c r="R25" s="64">
        <f t="shared" si="4"/>
        <v>5.15</v>
      </c>
    </row>
    <row r="26" spans="1:18" ht="12.75">
      <c r="A26" s="21"/>
      <c r="B26" s="21" t="s">
        <v>89</v>
      </c>
      <c r="C26" s="22">
        <v>0.01</v>
      </c>
      <c r="D26" s="22"/>
      <c r="E26" s="23">
        <v>300</v>
      </c>
      <c r="F26" s="64">
        <f t="shared" si="0"/>
        <v>3</v>
      </c>
      <c r="G26" s="64">
        <f t="shared" si="1"/>
        <v>300</v>
      </c>
      <c r="H26" s="64">
        <f t="shared" si="0"/>
        <v>3</v>
      </c>
      <c r="I26" s="64"/>
      <c r="J26" s="23">
        <v>104</v>
      </c>
      <c r="K26" s="64">
        <f t="shared" si="2"/>
        <v>1.04</v>
      </c>
      <c r="L26" s="64">
        <f t="shared" si="3"/>
        <v>104</v>
      </c>
      <c r="M26" s="64">
        <f t="shared" si="2"/>
        <v>1.04</v>
      </c>
      <c r="N26" s="64"/>
      <c r="O26" s="23">
        <v>78.7</v>
      </c>
      <c r="P26" s="64">
        <f t="shared" si="4"/>
        <v>0.787</v>
      </c>
      <c r="Q26" s="64">
        <f t="shared" si="5"/>
        <v>78.7</v>
      </c>
      <c r="R26" s="64">
        <f t="shared" si="4"/>
        <v>0.787</v>
      </c>
    </row>
    <row r="27" spans="1:18" ht="12.75">
      <c r="A27" s="21"/>
      <c r="B27" s="21" t="s">
        <v>90</v>
      </c>
      <c r="C27" s="22">
        <v>0.001</v>
      </c>
      <c r="D27" s="22"/>
      <c r="E27" s="23">
        <v>2750</v>
      </c>
      <c r="F27" s="64">
        <f t="shared" si="0"/>
        <v>2.75</v>
      </c>
      <c r="G27" s="64">
        <f t="shared" si="1"/>
        <v>2750</v>
      </c>
      <c r="H27" s="64">
        <f t="shared" si="0"/>
        <v>2.75</v>
      </c>
      <c r="I27" s="64"/>
      <c r="J27" s="23">
        <v>628</v>
      </c>
      <c r="K27" s="64">
        <f t="shared" si="2"/>
        <v>0.628</v>
      </c>
      <c r="L27" s="64">
        <f t="shared" si="3"/>
        <v>628</v>
      </c>
      <c r="M27" s="64">
        <f t="shared" si="2"/>
        <v>0.628</v>
      </c>
      <c r="N27" s="64"/>
      <c r="O27" s="23">
        <v>565</v>
      </c>
      <c r="P27" s="64">
        <f t="shared" si="4"/>
        <v>0.5650000000000001</v>
      </c>
      <c r="Q27" s="64">
        <f t="shared" si="5"/>
        <v>565</v>
      </c>
      <c r="R27" s="64">
        <f t="shared" si="4"/>
        <v>0.5650000000000001</v>
      </c>
    </row>
    <row r="28" spans="1:18" ht="12.75">
      <c r="A28" s="21"/>
      <c r="B28" s="21" t="s">
        <v>91</v>
      </c>
      <c r="C28" s="22">
        <v>0</v>
      </c>
      <c r="D28" s="22"/>
      <c r="E28" s="64">
        <f>E11+1731.4</f>
        <v>1760</v>
      </c>
      <c r="F28" s="64">
        <f t="shared" si="0"/>
        <v>0</v>
      </c>
      <c r="G28" s="64">
        <f t="shared" si="1"/>
        <v>1760</v>
      </c>
      <c r="H28" s="64">
        <f t="shared" si="0"/>
        <v>0</v>
      </c>
      <c r="I28" s="64"/>
      <c r="J28" s="64">
        <f>J11+2425.9</f>
        <v>2480</v>
      </c>
      <c r="K28" s="64">
        <f t="shared" si="2"/>
        <v>0</v>
      </c>
      <c r="L28" s="64">
        <f t="shared" si="3"/>
        <v>2480</v>
      </c>
      <c r="M28" s="64">
        <f t="shared" si="2"/>
        <v>0</v>
      </c>
      <c r="N28" s="64"/>
      <c r="O28" s="64">
        <f>O11+3855</f>
        <v>3960</v>
      </c>
      <c r="P28" s="64">
        <f t="shared" si="4"/>
        <v>0</v>
      </c>
      <c r="Q28" s="64">
        <f t="shared" si="5"/>
        <v>3960</v>
      </c>
      <c r="R28" s="64">
        <f t="shared" si="4"/>
        <v>0</v>
      </c>
    </row>
    <row r="29" spans="1:18" ht="12.75">
      <c r="A29" s="21"/>
      <c r="B29" s="21" t="s">
        <v>92</v>
      </c>
      <c r="C29" s="22">
        <v>0</v>
      </c>
      <c r="D29" s="22"/>
      <c r="E29" s="64">
        <f>E12+3251</f>
        <v>3380</v>
      </c>
      <c r="F29" s="64">
        <f t="shared" si="0"/>
        <v>0</v>
      </c>
      <c r="G29" s="64">
        <f t="shared" si="1"/>
        <v>3380</v>
      </c>
      <c r="H29" s="64">
        <f t="shared" si="0"/>
        <v>0</v>
      </c>
      <c r="I29" s="64"/>
      <c r="J29" s="64">
        <f>J12+2076.5</f>
        <v>2170</v>
      </c>
      <c r="K29" s="64">
        <f t="shared" si="2"/>
        <v>0</v>
      </c>
      <c r="L29" s="64">
        <f t="shared" si="3"/>
        <v>2170</v>
      </c>
      <c r="M29" s="64">
        <f t="shared" si="2"/>
        <v>0</v>
      </c>
      <c r="N29" s="64"/>
      <c r="O29" s="64">
        <f>O12+2325</f>
        <v>2430</v>
      </c>
      <c r="P29" s="64">
        <f t="shared" si="4"/>
        <v>0</v>
      </c>
      <c r="Q29" s="64">
        <f t="shared" si="5"/>
        <v>2430</v>
      </c>
      <c r="R29" s="64">
        <f t="shared" si="4"/>
        <v>0</v>
      </c>
    </row>
    <row r="30" spans="1:18" ht="12.75">
      <c r="A30" s="21"/>
      <c r="B30" s="21" t="s">
        <v>93</v>
      </c>
      <c r="C30" s="22">
        <v>0</v>
      </c>
      <c r="D30" s="22"/>
      <c r="E30" s="64">
        <f>SUM(E13:E15)+5452</f>
        <v>6750</v>
      </c>
      <c r="F30" s="64">
        <f t="shared" si="0"/>
        <v>0</v>
      </c>
      <c r="G30" s="64">
        <f t="shared" si="1"/>
        <v>6750</v>
      </c>
      <c r="H30" s="64">
        <f t="shared" si="0"/>
        <v>0</v>
      </c>
      <c r="I30" s="64"/>
      <c r="J30" s="64">
        <f>SUM(J13:J15)+2702.8</f>
        <v>3340</v>
      </c>
      <c r="K30" s="64">
        <f t="shared" si="2"/>
        <v>0</v>
      </c>
      <c r="L30" s="64">
        <f t="shared" si="3"/>
        <v>3340</v>
      </c>
      <c r="M30" s="64">
        <f t="shared" si="2"/>
        <v>0</v>
      </c>
      <c r="N30" s="64"/>
      <c r="O30" s="64">
        <f>SUM(O13:O15)+2490.4</f>
        <v>3050</v>
      </c>
      <c r="P30" s="64">
        <f t="shared" si="4"/>
        <v>0</v>
      </c>
      <c r="Q30" s="64">
        <f t="shared" si="5"/>
        <v>3050</v>
      </c>
      <c r="R30" s="64">
        <f t="shared" si="4"/>
        <v>0</v>
      </c>
    </row>
    <row r="31" spans="1:18" ht="12.75">
      <c r="A31" s="21"/>
      <c r="B31" s="21" t="s">
        <v>94</v>
      </c>
      <c r="C31" s="22">
        <v>0</v>
      </c>
      <c r="D31" s="22"/>
      <c r="E31" s="64">
        <f>E16+2850</f>
        <v>7090</v>
      </c>
      <c r="F31" s="64">
        <f t="shared" si="0"/>
        <v>0</v>
      </c>
      <c r="G31" s="64">
        <f t="shared" si="1"/>
        <v>7090</v>
      </c>
      <c r="H31" s="64">
        <f t="shared" si="0"/>
        <v>0</v>
      </c>
      <c r="I31" s="64"/>
      <c r="J31" s="64">
        <f>J16+970</f>
        <v>2600</v>
      </c>
      <c r="K31" s="64">
        <f t="shared" si="2"/>
        <v>0</v>
      </c>
      <c r="L31" s="64">
        <f t="shared" si="3"/>
        <v>2600</v>
      </c>
      <c r="M31" s="64">
        <f t="shared" si="2"/>
        <v>0</v>
      </c>
      <c r="N31" s="64"/>
      <c r="O31" s="64">
        <f>O16+870</f>
        <v>2270</v>
      </c>
      <c r="P31" s="64">
        <f t="shared" si="4"/>
        <v>0</v>
      </c>
      <c r="Q31" s="64">
        <f t="shared" si="5"/>
        <v>2270</v>
      </c>
      <c r="R31" s="64">
        <f t="shared" si="4"/>
        <v>0</v>
      </c>
    </row>
    <row r="32" spans="1:18" ht="12.75">
      <c r="A32" s="21"/>
      <c r="B32" s="21" t="s">
        <v>95</v>
      </c>
      <c r="C32" s="22">
        <v>0</v>
      </c>
      <c r="D32" s="22"/>
      <c r="E32" s="64">
        <f>E18+30054</f>
        <v>30600</v>
      </c>
      <c r="F32" s="64">
        <f t="shared" si="0"/>
        <v>0</v>
      </c>
      <c r="G32" s="64">
        <f t="shared" si="1"/>
        <v>30600</v>
      </c>
      <c r="H32" s="64">
        <f t="shared" si="0"/>
        <v>0</v>
      </c>
      <c r="I32" s="64"/>
      <c r="J32" s="64">
        <f>J18+67490</f>
        <v>68900</v>
      </c>
      <c r="K32" s="64">
        <f t="shared" si="2"/>
        <v>0</v>
      </c>
      <c r="L32" s="64">
        <f t="shared" si="3"/>
        <v>68900</v>
      </c>
      <c r="M32" s="64">
        <f t="shared" si="2"/>
        <v>0</v>
      </c>
      <c r="N32" s="64"/>
      <c r="O32" s="64">
        <f>O18+122900</f>
        <v>126000</v>
      </c>
      <c r="P32" s="64">
        <f t="shared" si="4"/>
        <v>0</v>
      </c>
      <c r="Q32" s="64">
        <f t="shared" si="5"/>
        <v>126000</v>
      </c>
      <c r="R32" s="64">
        <f t="shared" si="4"/>
        <v>0</v>
      </c>
    </row>
    <row r="33" spans="1:18" ht="12.75">
      <c r="A33" s="21"/>
      <c r="B33" s="21" t="s">
        <v>96</v>
      </c>
      <c r="C33" s="22">
        <v>0</v>
      </c>
      <c r="D33" s="22"/>
      <c r="E33" s="64">
        <f>E19+E20+7406</f>
        <v>8300</v>
      </c>
      <c r="F33" s="64">
        <f t="shared" si="0"/>
        <v>0</v>
      </c>
      <c r="G33" s="64">
        <f t="shared" si="1"/>
        <v>8300</v>
      </c>
      <c r="H33" s="64">
        <f t="shared" si="0"/>
        <v>0</v>
      </c>
      <c r="I33" s="64"/>
      <c r="J33" s="64">
        <f>J19+J20+15671</f>
        <v>17300</v>
      </c>
      <c r="K33" s="64">
        <f t="shared" si="2"/>
        <v>0</v>
      </c>
      <c r="L33" s="64">
        <f t="shared" si="3"/>
        <v>17300</v>
      </c>
      <c r="M33" s="64">
        <f t="shared" si="2"/>
        <v>0</v>
      </c>
      <c r="N33" s="64"/>
      <c r="O33" s="64">
        <f>O19+O20+33300</f>
        <v>36800</v>
      </c>
      <c r="P33" s="64">
        <f t="shared" si="4"/>
        <v>0</v>
      </c>
      <c r="Q33" s="64">
        <f t="shared" si="5"/>
        <v>36800</v>
      </c>
      <c r="R33" s="64">
        <f t="shared" si="4"/>
        <v>0</v>
      </c>
    </row>
    <row r="34" spans="1:18" ht="12.75">
      <c r="A34" s="21"/>
      <c r="B34" s="21" t="s">
        <v>97</v>
      </c>
      <c r="C34" s="22">
        <v>0</v>
      </c>
      <c r="D34" s="22"/>
      <c r="E34" s="64">
        <f>SUM(E21:E24)+1754</f>
        <v>3290</v>
      </c>
      <c r="F34" s="64">
        <f t="shared" si="0"/>
        <v>0</v>
      </c>
      <c r="G34" s="64">
        <f t="shared" si="1"/>
        <v>3290</v>
      </c>
      <c r="H34" s="64">
        <f t="shared" si="0"/>
        <v>0</v>
      </c>
      <c r="I34" s="64"/>
      <c r="J34" s="64">
        <f>SUM(J21:J24)+1499.4</f>
        <v>2420</v>
      </c>
      <c r="K34" s="64">
        <f t="shared" si="2"/>
        <v>0</v>
      </c>
      <c r="L34" s="64">
        <f t="shared" si="3"/>
        <v>2420</v>
      </c>
      <c r="M34" s="64">
        <f t="shared" si="2"/>
        <v>0</v>
      </c>
      <c r="N34" s="64"/>
      <c r="O34" s="23">
        <f>SUM(O21:O24)+2648.6</f>
        <v>3900</v>
      </c>
      <c r="P34" s="64">
        <f t="shared" si="4"/>
        <v>0</v>
      </c>
      <c r="Q34" s="64">
        <f t="shared" si="5"/>
        <v>3900</v>
      </c>
      <c r="R34" s="64">
        <f t="shared" si="4"/>
        <v>0</v>
      </c>
    </row>
    <row r="35" spans="1:18" ht="12.75">
      <c r="A35" s="21" t="s">
        <v>98</v>
      </c>
      <c r="B35" s="21" t="s">
        <v>99</v>
      </c>
      <c r="C35" s="22">
        <v>0</v>
      </c>
      <c r="D35" s="22"/>
      <c r="E35" s="64">
        <f>E25+E26+790</f>
        <v>3520</v>
      </c>
      <c r="F35" s="64">
        <f t="shared" si="0"/>
        <v>0</v>
      </c>
      <c r="G35" s="64">
        <f t="shared" si="1"/>
        <v>3520</v>
      </c>
      <c r="H35" s="64">
        <f t="shared" si="0"/>
        <v>0</v>
      </c>
      <c r="I35" s="64"/>
      <c r="J35" s="64">
        <f>J25+J26+188</f>
        <v>819</v>
      </c>
      <c r="K35" s="64">
        <f t="shared" si="2"/>
        <v>0</v>
      </c>
      <c r="L35" s="64">
        <f t="shared" si="3"/>
        <v>819</v>
      </c>
      <c r="M35" s="64">
        <f t="shared" si="2"/>
        <v>0</v>
      </c>
      <c r="N35" s="64"/>
      <c r="O35" s="64">
        <f>O25+O26+181.3</f>
        <v>775</v>
      </c>
      <c r="P35" s="64">
        <f t="shared" si="4"/>
        <v>0</v>
      </c>
      <c r="Q35" s="64">
        <f t="shared" si="5"/>
        <v>775</v>
      </c>
      <c r="R35" s="64">
        <f t="shared" si="4"/>
        <v>0</v>
      </c>
    </row>
    <row r="36" spans="1:19" ht="8.25" customHeight="1">
      <c r="A36" s="21"/>
      <c r="B36" s="21"/>
      <c r="C36" s="21"/>
      <c r="D36" s="21"/>
      <c r="E36" s="44"/>
      <c r="F36" s="40"/>
      <c r="G36" s="44"/>
      <c r="H36" s="40"/>
      <c r="I36" s="44"/>
      <c r="J36" s="21"/>
      <c r="K36" s="23"/>
      <c r="L36" s="23"/>
      <c r="M36" s="23"/>
      <c r="N36" s="44"/>
      <c r="O36" s="21"/>
      <c r="P36" s="39"/>
      <c r="Q36" s="44"/>
      <c r="R36" s="39"/>
      <c r="S36" s="77"/>
    </row>
    <row r="37" spans="1:19" ht="12.75">
      <c r="A37" s="21"/>
      <c r="B37" s="21" t="s">
        <v>100</v>
      </c>
      <c r="C37" s="21"/>
      <c r="D37" s="21"/>
      <c r="E37" s="44"/>
      <c r="F37" s="44">
        <v>164.679</v>
      </c>
      <c r="G37" s="44">
        <v>164.679</v>
      </c>
      <c r="H37" s="44">
        <v>164.679</v>
      </c>
      <c r="I37" s="44"/>
      <c r="J37" s="44"/>
      <c r="K37" s="44">
        <v>166.198</v>
      </c>
      <c r="L37" s="44">
        <v>166.198</v>
      </c>
      <c r="M37" s="44">
        <v>166.198</v>
      </c>
      <c r="N37" s="44"/>
      <c r="O37" s="44"/>
      <c r="P37" s="44">
        <v>159.155</v>
      </c>
      <c r="Q37" s="44">
        <v>159.155</v>
      </c>
      <c r="R37" s="44">
        <v>159.155</v>
      </c>
      <c r="S37" s="77"/>
    </row>
    <row r="38" spans="1:19" ht="12.75">
      <c r="A38" s="21"/>
      <c r="B38" s="21" t="s">
        <v>101</v>
      </c>
      <c r="C38" s="21"/>
      <c r="D38" s="21"/>
      <c r="E38" s="44"/>
      <c r="F38" s="44">
        <v>16</v>
      </c>
      <c r="G38" s="44">
        <v>16</v>
      </c>
      <c r="H38" s="44">
        <v>16</v>
      </c>
      <c r="I38" s="44"/>
      <c r="J38" s="44"/>
      <c r="K38" s="23">
        <v>15.9</v>
      </c>
      <c r="L38" s="23">
        <v>15.9</v>
      </c>
      <c r="M38" s="23">
        <v>15.9</v>
      </c>
      <c r="N38" s="44"/>
      <c r="O38" s="44"/>
      <c r="P38" s="44">
        <v>11.6</v>
      </c>
      <c r="Q38" s="44">
        <v>11.6</v>
      </c>
      <c r="R38" s="44">
        <v>11.6</v>
      </c>
      <c r="S38" s="77"/>
    </row>
    <row r="39" spans="1:19" ht="12.75">
      <c r="A39" s="21"/>
      <c r="B39" s="21"/>
      <c r="C39" s="21"/>
      <c r="D39" s="21"/>
      <c r="E39" s="44"/>
      <c r="F39" s="21"/>
      <c r="G39" s="44"/>
      <c r="H39" s="21"/>
      <c r="I39" s="21"/>
      <c r="J39" s="44"/>
      <c r="K39" s="23"/>
      <c r="L39" s="23"/>
      <c r="M39" s="23"/>
      <c r="N39" s="44"/>
      <c r="O39" s="44"/>
      <c r="P39" s="44"/>
      <c r="Q39" s="44"/>
      <c r="R39" s="44"/>
      <c r="S39" s="77"/>
    </row>
    <row r="40" spans="1:19" ht="12.75">
      <c r="A40" s="21"/>
      <c r="B40" s="21" t="s">
        <v>102</v>
      </c>
      <c r="C40" s="40"/>
      <c r="D40" s="40"/>
      <c r="E40" s="23"/>
      <c r="F40" s="45">
        <f>SUM(F11:F27)/1000</f>
        <v>0.7929999999999999</v>
      </c>
      <c r="G40" s="23">
        <f>SUM(G27,G35,G34,G33,G32,G17,G31,G30,G29,G28)/1000</f>
        <v>83.14</v>
      </c>
      <c r="H40" s="45">
        <f>SUM(H11:H27)/1000</f>
        <v>0.7929999999999999</v>
      </c>
      <c r="I40" s="40"/>
      <c r="J40" s="23"/>
      <c r="K40" s="45">
        <f>SUM(K11:K27)/1000</f>
        <v>0.906448</v>
      </c>
      <c r="L40" s="23">
        <f>SUM(L27,L35,L34,L33,L32,L17,L31,L30,L29,L28)/1000</f>
        <v>102.937</v>
      </c>
      <c r="M40" s="45">
        <f>SUM(M11:M27)/1000</f>
        <v>0.906448</v>
      </c>
      <c r="N40" s="40"/>
      <c r="O40" s="44"/>
      <c r="P40" s="45">
        <f>SUM(P11:P27)/1000</f>
        <v>1.7009620000000005</v>
      </c>
      <c r="Q40" s="23">
        <f>SUM(Q27,Q35,Q34,Q33,Q32,Q17,Q31,Q30,Q29,Q28)/1000</f>
        <v>181.61</v>
      </c>
      <c r="R40" s="45">
        <f>SUM(R11:R27)/1000</f>
        <v>1.7009620000000005</v>
      </c>
      <c r="S40" s="77"/>
    </row>
    <row r="41" spans="1:19" ht="12.75">
      <c r="A41" s="21"/>
      <c r="B41" s="21" t="s">
        <v>103</v>
      </c>
      <c r="C41" s="40"/>
      <c r="D41" s="23">
        <f>(F41-H41)*2/F41*100</f>
        <v>0</v>
      </c>
      <c r="E41" s="44"/>
      <c r="F41" s="45">
        <f>(F40/F37/0.0283*(21-7)/(21-F38))</f>
        <v>0.47643818554640954</v>
      </c>
      <c r="G41" s="44">
        <f>(G40/G37/0.0283*(21-7)/(21-G38))</f>
        <v>49.950908885660134</v>
      </c>
      <c r="H41" s="45">
        <f>(H40/H37/0.0283*(21-7)/(21-H38))</f>
        <v>0.47643818554640954</v>
      </c>
      <c r="I41" s="23">
        <f>(K41-M41)*2/K41*100</f>
        <v>0</v>
      </c>
      <c r="J41" s="44"/>
      <c r="K41" s="45">
        <f>K40/K37/0.0283*(21-7)/(21-K38)</f>
        <v>0.5290400197123174</v>
      </c>
      <c r="L41" s="44">
        <f>(L40/L37/0.0283*(21-7)/(21-L38))</f>
        <v>60.078231193766</v>
      </c>
      <c r="M41" s="45">
        <f>M40/M37/0.0283*(21-7)/(21-M38)</f>
        <v>0.5290400197123174</v>
      </c>
      <c r="N41" s="23">
        <f>(P41-R41)*2/P41*100</f>
        <v>0</v>
      </c>
      <c r="O41" s="44"/>
      <c r="P41" s="45">
        <f>P40/P37/0.0283*(21-7)/(21-P38)</f>
        <v>0.5624553745969286</v>
      </c>
      <c r="Q41" s="44">
        <f>(Q40/Q37/0.0283*(21-7)/(21-Q38))</f>
        <v>60.052793995720165</v>
      </c>
      <c r="R41" s="45">
        <f>R40/R37/0.0283*(21-7)/(21-R38)</f>
        <v>0.5624553745969286</v>
      </c>
      <c r="S41" s="77"/>
    </row>
    <row r="42" spans="1:18" ht="12.75">
      <c r="A42" s="21"/>
      <c r="B42" s="21"/>
      <c r="C42" s="21"/>
      <c r="D42" s="21"/>
      <c r="E42" s="45"/>
      <c r="F42" s="40"/>
      <c r="G42" s="45"/>
      <c r="H42" s="40"/>
      <c r="I42" s="45"/>
      <c r="J42" s="45"/>
      <c r="K42" s="45"/>
      <c r="L42" s="45"/>
      <c r="M42" s="45"/>
      <c r="N42" s="45"/>
      <c r="O42" s="45"/>
      <c r="P42" s="39"/>
      <c r="Q42" s="45"/>
      <c r="R42" s="39"/>
    </row>
    <row r="43" spans="1:18" ht="12.75">
      <c r="A43" s="44"/>
      <c r="B43" s="21" t="s">
        <v>104</v>
      </c>
      <c r="C43" s="45">
        <f>AVERAGE(H41,M41,R41)</f>
        <v>0.5226445266185519</v>
      </c>
      <c r="D43" s="44"/>
      <c r="E43" s="46"/>
      <c r="F43" s="40"/>
      <c r="G43" s="44"/>
      <c r="H43" s="40"/>
      <c r="I43" s="44"/>
      <c r="J43" s="44"/>
      <c r="K43" s="44"/>
      <c r="L43" s="44"/>
      <c r="M43" s="44"/>
      <c r="N43" s="44"/>
      <c r="O43" s="44"/>
      <c r="P43" s="39"/>
      <c r="Q43" s="44"/>
      <c r="R43" s="39"/>
    </row>
    <row r="44" spans="1:18" ht="12.75">
      <c r="A44" s="21"/>
      <c r="B44" s="21" t="s">
        <v>105</v>
      </c>
      <c r="C44" s="44">
        <f>AVERAGE(G41,L41,Q41)</f>
        <v>56.69397802504877</v>
      </c>
      <c r="D44" s="21"/>
      <c r="E44" s="39"/>
      <c r="F44" s="40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L469"/>
  <sheetViews>
    <sheetView workbookViewId="0" topLeftCell="B1">
      <selection activeCell="C1" sqref="C1"/>
    </sheetView>
  </sheetViews>
  <sheetFormatPr defaultColWidth="9.140625" defaultRowHeight="12.75"/>
  <cols>
    <col min="1" max="1" width="2.57421875" style="1" hidden="1" customWidth="1"/>
    <col min="2" max="2" width="23.8515625" style="1" customWidth="1"/>
    <col min="3" max="3" width="61.281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48</v>
      </c>
      <c r="C1" s="32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217</v>
      </c>
      <c r="C3" s="10">
        <v>312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2" t="s">
        <v>129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131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127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128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162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228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202</v>
      </c>
      <c r="C12" s="9" t="s">
        <v>244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201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7" customFormat="1" ht="12.75">
      <c r="B14" s="26" t="s">
        <v>42</v>
      </c>
      <c r="C14" s="58"/>
      <c r="D14" s="31"/>
      <c r="E14" s="26"/>
      <c r="F14" s="26"/>
      <c r="G14" s="26"/>
      <c r="H14" s="26"/>
      <c r="I14" s="26"/>
      <c r="J14" s="26"/>
      <c r="K14" s="26"/>
      <c r="L14" s="26"/>
    </row>
    <row r="15" spans="2:12" s="27" customFormat="1" ht="12.75">
      <c r="B15" s="26" t="s">
        <v>44</v>
      </c>
      <c r="C15" s="65"/>
      <c r="D15" s="26"/>
      <c r="E15" s="26"/>
      <c r="F15" s="26"/>
      <c r="G15" s="26"/>
      <c r="H15" s="26"/>
      <c r="I15" s="26"/>
      <c r="J15" s="26"/>
      <c r="K15" s="26"/>
      <c r="L15" s="26"/>
    </row>
    <row r="16" spans="2:12" s="27" customFormat="1" ht="12.75">
      <c r="B16" s="9" t="s">
        <v>49</v>
      </c>
      <c r="C16" s="26"/>
      <c r="F16" s="26"/>
      <c r="G16" s="26"/>
      <c r="H16" s="26"/>
      <c r="I16" s="26"/>
      <c r="J16" s="26"/>
      <c r="K16" s="26"/>
      <c r="L16" s="26"/>
    </row>
    <row r="17" spans="2:12" s="27" customFormat="1" ht="12.75">
      <c r="B17" s="9" t="s">
        <v>229</v>
      </c>
      <c r="C17" s="58" t="s">
        <v>167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2:12" s="27" customFormat="1" ht="12.75">
      <c r="B18" s="9" t="s">
        <v>230</v>
      </c>
      <c r="C18" s="58" t="s">
        <v>231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2:12" ht="38.25">
      <c r="B19" s="26" t="s">
        <v>7</v>
      </c>
      <c r="C19" s="26" t="s">
        <v>221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64</v>
      </c>
      <c r="C20" s="1" t="s">
        <v>232</v>
      </c>
      <c r="D20" s="32"/>
      <c r="E20" s="9"/>
      <c r="F20" s="9"/>
      <c r="G20" s="9"/>
      <c r="H20" s="9"/>
      <c r="I20" s="9"/>
      <c r="J20" s="9"/>
      <c r="K20" s="9"/>
      <c r="L20" s="9"/>
    </row>
    <row r="21" spans="2:12" ht="12.75">
      <c r="B21" s="33" t="s">
        <v>50</v>
      </c>
      <c r="C21" s="34" t="s">
        <v>141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43</v>
      </c>
      <c r="C22" s="26" t="s">
        <v>233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60">
        <v>4.3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61">
        <v>80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45</v>
      </c>
      <c r="C27" s="11">
        <v>16.056703085131684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46</v>
      </c>
      <c r="C28" s="10">
        <v>352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3" t="s">
        <v>11</v>
      </c>
      <c r="C30" s="34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60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59" spans="2:12" ht="12.75">
      <c r="B59" s="21"/>
      <c r="C59" s="56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21"/>
      <c r="C60" s="5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21"/>
      <c r="C61" s="56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21"/>
      <c r="C62" s="21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21"/>
      <c r="C63" s="56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21"/>
      <c r="C64" s="5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21"/>
      <c r="C65" s="56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21"/>
      <c r="C66" s="21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21"/>
      <c r="C67" s="21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2:12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2:12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2:12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2:12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2:12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2:12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2:12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2:12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2:12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0"/>
  <sheetViews>
    <sheetView workbookViewId="0" topLeftCell="B1">
      <selection activeCell="C1" sqref="C1"/>
    </sheetView>
  </sheetViews>
  <sheetFormatPr defaultColWidth="9.140625" defaultRowHeight="12.75"/>
  <cols>
    <col min="1" max="1" width="3.57421875" style="101" hidden="1" customWidth="1"/>
    <col min="2" max="2" width="18.8515625" style="69" customWidth="1"/>
    <col min="3" max="3" width="67.7109375" style="80" customWidth="1"/>
    <col min="4" max="16384" width="9.140625" style="69" customWidth="1"/>
  </cols>
  <sheetData>
    <row r="1" ht="12.75">
      <c r="B1" s="85" t="s">
        <v>200</v>
      </c>
    </row>
    <row r="3" spans="1:12" s="27" customFormat="1" ht="12.75">
      <c r="A3" s="102"/>
      <c r="B3" s="79" t="s">
        <v>164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7" customFormat="1" ht="12.75">
      <c r="A4" s="102"/>
      <c r="B4" s="79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7" customFormat="1" ht="12.75">
      <c r="A5" s="102"/>
      <c r="B5" s="26" t="s">
        <v>182</v>
      </c>
      <c r="C5" s="58" t="s">
        <v>130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s="27" customFormat="1" ht="12.75">
      <c r="A6" s="102"/>
      <c r="B6" s="26" t="s">
        <v>196</v>
      </c>
      <c r="C6" s="26" t="s">
        <v>132</v>
      </c>
      <c r="D6" s="31"/>
      <c r="E6" s="26"/>
      <c r="F6" s="26"/>
      <c r="G6" s="26"/>
      <c r="H6" s="26"/>
      <c r="I6" s="26"/>
      <c r="J6" s="26"/>
      <c r="K6" s="26"/>
      <c r="L6" s="26"/>
    </row>
    <row r="7" spans="1:12" s="27" customFormat="1" ht="12.75">
      <c r="A7" s="102"/>
      <c r="B7" s="26" t="s">
        <v>184</v>
      </c>
      <c r="C7" s="26" t="s">
        <v>133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s="27" customFormat="1" ht="12.75">
      <c r="A8" s="102"/>
      <c r="B8" s="26" t="s">
        <v>197</v>
      </c>
      <c r="C8" s="81" t="s">
        <v>134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2.75">
      <c r="A9" s="102"/>
      <c r="B9" s="26" t="s">
        <v>226</v>
      </c>
      <c r="C9" s="97">
        <v>36281</v>
      </c>
      <c r="D9" s="26"/>
      <c r="E9" s="26"/>
      <c r="F9" s="26"/>
      <c r="G9" s="26"/>
      <c r="H9" s="26"/>
      <c r="I9" s="26"/>
      <c r="J9" s="26"/>
      <c r="K9" s="26"/>
      <c r="L9" s="26"/>
    </row>
    <row r="10" spans="1:12" s="27" customFormat="1" ht="12.75">
      <c r="A10" s="102"/>
      <c r="B10" s="26" t="s">
        <v>198</v>
      </c>
      <c r="C10" s="26" t="s">
        <v>158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s="27" customFormat="1" ht="14.25">
      <c r="A11" s="102"/>
      <c r="B11" s="26" t="s">
        <v>199</v>
      </c>
      <c r="C11" s="81" t="s">
        <v>144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s="27" customFormat="1" ht="12.75">
      <c r="A12" s="102"/>
      <c r="B12" s="82"/>
      <c r="C12" s="83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27" customFormat="1" ht="12.75">
      <c r="A13" s="102"/>
      <c r="B13" s="79" t="s">
        <v>165</v>
      </c>
      <c r="C13" s="26"/>
      <c r="D13" s="31"/>
      <c r="E13" s="26"/>
      <c r="F13" s="26"/>
      <c r="G13" s="26"/>
      <c r="H13" s="26"/>
      <c r="I13" s="26"/>
      <c r="J13" s="26"/>
      <c r="K13" s="26"/>
      <c r="L13" s="26"/>
    </row>
    <row r="14" spans="1:12" s="27" customFormat="1" ht="12.75">
      <c r="A14" s="102"/>
      <c r="B14" s="79"/>
      <c r="C14" s="26"/>
      <c r="D14" s="31"/>
      <c r="E14" s="26"/>
      <c r="F14" s="26"/>
      <c r="G14" s="26"/>
      <c r="H14" s="26"/>
      <c r="I14" s="26"/>
      <c r="J14" s="26"/>
      <c r="K14" s="26"/>
      <c r="L14" s="26"/>
    </row>
    <row r="15" spans="1:12" s="27" customFormat="1" ht="12.75">
      <c r="A15" s="102"/>
      <c r="B15" s="26" t="s">
        <v>182</v>
      </c>
      <c r="C15" s="58" t="s">
        <v>145</v>
      </c>
      <c r="D15" s="26"/>
      <c r="E15" s="31"/>
      <c r="F15" s="26"/>
      <c r="G15" s="26"/>
      <c r="H15" s="26"/>
      <c r="I15" s="26"/>
      <c r="J15" s="26"/>
      <c r="K15" s="26"/>
      <c r="L15" s="26"/>
    </row>
    <row r="16" spans="1:12" s="27" customFormat="1" ht="12.75">
      <c r="A16" s="102"/>
      <c r="B16" s="26" t="s">
        <v>196</v>
      </c>
      <c r="C16" s="26" t="s">
        <v>132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s="27" customFormat="1" ht="12.75">
      <c r="A17" s="102"/>
      <c r="B17" s="26" t="s">
        <v>184</v>
      </c>
      <c r="C17" s="26" t="s">
        <v>133</v>
      </c>
      <c r="D17" s="31"/>
      <c r="E17" s="26"/>
      <c r="F17" s="26"/>
      <c r="G17" s="26"/>
      <c r="H17" s="26"/>
      <c r="I17" s="26"/>
      <c r="J17" s="26"/>
      <c r="K17" s="26"/>
      <c r="L17" s="26"/>
    </row>
    <row r="18" spans="1:12" s="27" customFormat="1" ht="12.75">
      <c r="A18" s="102"/>
      <c r="B18" s="26" t="s">
        <v>197</v>
      </c>
      <c r="C18" s="81" t="s">
        <v>227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2" s="27" customFormat="1" ht="12.75">
      <c r="A19" s="102"/>
      <c r="B19" s="26" t="s">
        <v>226</v>
      </c>
      <c r="C19" s="97">
        <v>36465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7" customFormat="1" ht="12.75">
      <c r="A20" s="102"/>
      <c r="B20" s="26" t="s">
        <v>198</v>
      </c>
      <c r="C20" s="26" t="s">
        <v>143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1:12" s="27" customFormat="1" ht="12.75">
      <c r="A21" s="102"/>
      <c r="B21" s="26" t="s">
        <v>199</v>
      </c>
      <c r="C21" s="81" t="s">
        <v>160</v>
      </c>
      <c r="D21" s="26"/>
      <c r="E21" s="26"/>
      <c r="F21" s="26"/>
      <c r="G21" s="26"/>
      <c r="H21" s="26"/>
      <c r="I21" s="26"/>
      <c r="J21" s="26"/>
      <c r="K21" s="26"/>
      <c r="L21" s="26"/>
    </row>
    <row r="22" spans="1:12" s="27" customFormat="1" ht="12.75">
      <c r="A22" s="102"/>
      <c r="B22" s="82"/>
      <c r="C22" s="83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7" customFormat="1" ht="12.75">
      <c r="A23" s="102"/>
      <c r="B23" s="79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27" customFormat="1" ht="12.75">
      <c r="A24" s="10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7" customFormat="1" ht="25.5">
      <c r="A25" s="102"/>
      <c r="B25" s="26" t="s">
        <v>182</v>
      </c>
      <c r="C25" s="58" t="s">
        <v>153</v>
      </c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7" customFormat="1" ht="12.75">
      <c r="A26" s="102"/>
      <c r="B26" s="26" t="s">
        <v>196</v>
      </c>
      <c r="C26" s="26" t="s">
        <v>156</v>
      </c>
      <c r="D26" s="26"/>
      <c r="E26" s="26"/>
      <c r="F26" s="26"/>
      <c r="G26" s="26"/>
      <c r="H26" s="26"/>
      <c r="I26" s="26"/>
      <c r="J26" s="26"/>
      <c r="K26" s="26"/>
      <c r="L26" s="26"/>
    </row>
    <row r="27" spans="1:12" s="27" customFormat="1" ht="12.75">
      <c r="A27" s="102"/>
      <c r="B27" s="26" t="s">
        <v>184</v>
      </c>
      <c r="C27" s="26" t="s">
        <v>133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2" s="27" customFormat="1" ht="12.75">
      <c r="A28" s="102"/>
      <c r="B28" s="26" t="s">
        <v>197</v>
      </c>
      <c r="C28" s="81" t="s">
        <v>168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1:12" s="27" customFormat="1" ht="12.75">
      <c r="A29" s="102"/>
      <c r="B29" s="26" t="s">
        <v>226</v>
      </c>
      <c r="C29" s="97">
        <v>36647</v>
      </c>
      <c r="D29" s="26"/>
      <c r="E29" s="26"/>
      <c r="F29" s="26"/>
      <c r="G29" s="26"/>
      <c r="H29" s="26"/>
      <c r="I29" s="26"/>
      <c r="J29" s="26"/>
      <c r="K29" s="26"/>
      <c r="L29" s="26"/>
    </row>
    <row r="30" spans="1:12" s="27" customFormat="1" ht="12.75">
      <c r="A30" s="102"/>
      <c r="B30" s="26" t="s">
        <v>198</v>
      </c>
      <c r="C30" s="26" t="s">
        <v>154</v>
      </c>
      <c r="D30" s="26"/>
      <c r="E30" s="26"/>
      <c r="F30" s="26"/>
      <c r="G30" s="26"/>
      <c r="H30" s="26"/>
      <c r="I30" s="26"/>
      <c r="J30" s="26"/>
      <c r="K30" s="26"/>
      <c r="L30" s="26"/>
    </row>
    <row r="31" spans="1:12" s="27" customFormat="1" ht="12.75">
      <c r="A31" s="102"/>
      <c r="B31" s="26" t="s">
        <v>199</v>
      </c>
      <c r="C31" s="81" t="s">
        <v>155</v>
      </c>
      <c r="D31" s="26"/>
      <c r="E31" s="26"/>
      <c r="F31" s="26"/>
      <c r="G31" s="26"/>
      <c r="H31" s="26"/>
      <c r="I31" s="26"/>
      <c r="J31" s="26"/>
      <c r="K31" s="26"/>
      <c r="L31" s="26"/>
    </row>
    <row r="33" ht="12.75">
      <c r="B33" s="79" t="s">
        <v>181</v>
      </c>
    </row>
    <row r="35" spans="2:3" ht="25.5">
      <c r="B35" s="69" t="s">
        <v>182</v>
      </c>
      <c r="C35" s="80" t="s">
        <v>213</v>
      </c>
    </row>
    <row r="36" spans="2:3" ht="12.75">
      <c r="B36" s="69" t="s">
        <v>183</v>
      </c>
      <c r="C36" s="80" t="s">
        <v>214</v>
      </c>
    </row>
    <row r="37" spans="2:3" ht="12.75">
      <c r="B37" s="69" t="s">
        <v>184</v>
      </c>
      <c r="C37" s="80" t="s">
        <v>214</v>
      </c>
    </row>
    <row r="38" spans="1:3" ht="12.75">
      <c r="A38" s="101" t="s">
        <v>181</v>
      </c>
      <c r="B38" s="69" t="s">
        <v>185</v>
      </c>
      <c r="C38" s="80" t="s">
        <v>220</v>
      </c>
    </row>
    <row r="39" spans="2:5" ht="12.75">
      <c r="B39" s="26" t="s">
        <v>197</v>
      </c>
      <c r="E39" s="84"/>
    </row>
    <row r="40" spans="2:5" ht="12.75">
      <c r="B40" s="26" t="s">
        <v>226</v>
      </c>
      <c r="C40" s="98">
        <v>33824</v>
      </c>
      <c r="E40" s="84"/>
    </row>
    <row r="41" ht="12.75">
      <c r="E41" s="84"/>
    </row>
    <row r="42" ht="12.75">
      <c r="E42" s="84"/>
    </row>
    <row r="43" spans="2:5" ht="12.75">
      <c r="B43" s="79" t="s">
        <v>186</v>
      </c>
      <c r="E43" s="84"/>
    </row>
    <row r="44" ht="12.75">
      <c r="E44" s="84"/>
    </row>
    <row r="45" spans="2:5" ht="25.5">
      <c r="B45" s="69" t="s">
        <v>182</v>
      </c>
      <c r="C45" s="80" t="s">
        <v>211</v>
      </c>
      <c r="E45" s="84"/>
    </row>
    <row r="46" spans="2:5" ht="12.75">
      <c r="B46" s="69" t="s">
        <v>183</v>
      </c>
      <c r="C46" s="80" t="s">
        <v>212</v>
      </c>
      <c r="E46" s="84"/>
    </row>
    <row r="47" spans="1:3" ht="12.75">
      <c r="A47" s="101" t="s">
        <v>186</v>
      </c>
      <c r="B47" s="69" t="s">
        <v>184</v>
      </c>
      <c r="C47" s="80" t="s">
        <v>133</v>
      </c>
    </row>
    <row r="48" spans="1:5" ht="12.75">
      <c r="A48" s="101" t="s">
        <v>186</v>
      </c>
      <c r="B48" s="69" t="s">
        <v>185</v>
      </c>
      <c r="C48" s="80" t="s">
        <v>179</v>
      </c>
      <c r="E48" s="84"/>
    </row>
    <row r="49" spans="2:3" ht="12.75">
      <c r="B49" s="26" t="s">
        <v>197</v>
      </c>
      <c r="C49" s="99">
        <v>34844</v>
      </c>
    </row>
    <row r="50" spans="2:3" ht="12.75">
      <c r="B50" s="26" t="s">
        <v>226</v>
      </c>
      <c r="C50" s="98">
        <v>34820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04"/>
  <sheetViews>
    <sheetView workbookViewId="0" topLeftCell="B1">
      <selection activeCell="C1" sqref="C1"/>
    </sheetView>
  </sheetViews>
  <sheetFormatPr defaultColWidth="9.140625" defaultRowHeight="12.75"/>
  <cols>
    <col min="1" max="1" width="2.8515625" style="13" hidden="1" customWidth="1"/>
    <col min="2" max="2" width="19.8515625" style="13" customWidth="1"/>
    <col min="3" max="3" width="4.7109375" style="13" customWidth="1"/>
    <col min="4" max="4" width="8.7109375" style="4" customWidth="1"/>
    <col min="5" max="5" width="4.421875" style="4" customWidth="1"/>
    <col min="6" max="6" width="2.7109375" style="4" customWidth="1"/>
    <col min="7" max="7" width="10.28125" style="13" customWidth="1"/>
    <col min="8" max="8" width="2.7109375" style="13" customWidth="1"/>
    <col min="9" max="9" width="10.140625" style="14" customWidth="1"/>
    <col min="10" max="10" width="2.57421875" style="13" customWidth="1"/>
    <col min="11" max="11" width="10.421875" style="13" customWidth="1"/>
    <col min="12" max="12" width="5.28125" style="13" customWidth="1"/>
    <col min="13" max="13" width="10.57421875" style="13" customWidth="1"/>
    <col min="14" max="14" width="2.140625" style="13" customWidth="1"/>
    <col min="15" max="15" width="8.8515625" style="13" customWidth="1"/>
    <col min="16" max="16" width="2.140625" style="13" customWidth="1"/>
    <col min="17" max="16384" width="8.8515625" style="13" customWidth="1"/>
  </cols>
  <sheetData>
    <row r="1" spans="2:5" ht="12.75">
      <c r="B1" s="12" t="s">
        <v>203</v>
      </c>
      <c r="C1" s="12"/>
      <c r="E1" s="29"/>
    </row>
    <row r="2" spans="2:5" ht="12.75">
      <c r="B2" s="12"/>
      <c r="C2" s="12"/>
      <c r="E2" s="29"/>
    </row>
    <row r="3" spans="2:5" ht="12.75">
      <c r="B3" s="12"/>
      <c r="C3" s="12"/>
      <c r="E3" s="29"/>
    </row>
    <row r="4" spans="1:13" ht="12.75">
      <c r="A4" s="15">
        <v>10</v>
      </c>
      <c r="B4" s="12" t="s">
        <v>164</v>
      </c>
      <c r="C4" s="13" t="s">
        <v>179</v>
      </c>
      <c r="G4" s="15" t="s">
        <v>169</v>
      </c>
      <c r="H4" s="15"/>
      <c r="I4" s="15" t="s">
        <v>170</v>
      </c>
      <c r="J4" s="15"/>
      <c r="K4" s="15" t="s">
        <v>171</v>
      </c>
      <c r="M4" s="15" t="s">
        <v>172</v>
      </c>
    </row>
    <row r="5" spans="3:6" ht="12.75">
      <c r="C5" s="22"/>
      <c r="D5" s="15"/>
      <c r="E5" s="68"/>
      <c r="F5" s="13"/>
    </row>
    <row r="6" spans="2:13" ht="12.75">
      <c r="B6" s="4" t="s">
        <v>13</v>
      </c>
      <c r="C6" s="4" t="s">
        <v>223</v>
      </c>
      <c r="D6" s="4" t="s">
        <v>14</v>
      </c>
      <c r="E6" s="15" t="s">
        <v>15</v>
      </c>
      <c r="G6" s="40">
        <v>0.00617</v>
      </c>
      <c r="H6" s="40"/>
      <c r="I6" s="40">
        <v>0.0044</v>
      </c>
      <c r="J6" s="40"/>
      <c r="K6" s="40">
        <v>0.00271</v>
      </c>
      <c r="M6" s="86">
        <f aca="true" t="shared" si="0" ref="M6:M11">AVERAGE(G6,I6,K6)</f>
        <v>0.004426666666666666</v>
      </c>
    </row>
    <row r="7" spans="2:13" ht="12.75">
      <c r="B7" s="4" t="s">
        <v>61</v>
      </c>
      <c r="C7" s="4" t="s">
        <v>223</v>
      </c>
      <c r="D7" s="4" t="s">
        <v>16</v>
      </c>
      <c r="E7" s="15" t="s">
        <v>15</v>
      </c>
      <c r="G7" s="23">
        <v>37.81</v>
      </c>
      <c r="H7" s="23"/>
      <c r="I7" s="23">
        <v>35.85</v>
      </c>
      <c r="J7" s="23"/>
      <c r="K7" s="23">
        <v>43.44</v>
      </c>
      <c r="L7" s="17"/>
      <c r="M7" s="17">
        <f t="shared" si="0"/>
        <v>39.03333333333333</v>
      </c>
    </row>
    <row r="8" spans="2:13" ht="12.75">
      <c r="B8" s="4" t="s">
        <v>135</v>
      </c>
      <c r="C8" s="4" t="s">
        <v>223</v>
      </c>
      <c r="D8" s="4" t="s">
        <v>16</v>
      </c>
      <c r="E8" s="15" t="s">
        <v>15</v>
      </c>
      <c r="G8" s="23">
        <v>65.95</v>
      </c>
      <c r="H8" s="23"/>
      <c r="I8" s="23">
        <v>57.32</v>
      </c>
      <c r="J8" s="23"/>
      <c r="K8" s="23">
        <v>51.66</v>
      </c>
      <c r="L8" s="17"/>
      <c r="M8" s="17">
        <f t="shared" si="0"/>
        <v>58.31</v>
      </c>
    </row>
    <row r="9" spans="2:15" ht="12.75">
      <c r="B9" s="4" t="s">
        <v>25</v>
      </c>
      <c r="C9" s="4" t="s">
        <v>223</v>
      </c>
      <c r="D9" s="4" t="s">
        <v>16</v>
      </c>
      <c r="E9" s="15" t="s">
        <v>15</v>
      </c>
      <c r="G9" s="64">
        <v>859</v>
      </c>
      <c r="H9" s="64"/>
      <c r="I9" s="64">
        <v>1013</v>
      </c>
      <c r="J9" s="64"/>
      <c r="K9" s="64">
        <v>1184</v>
      </c>
      <c r="M9" s="20">
        <f t="shared" si="0"/>
        <v>1018.6666666666666</v>
      </c>
      <c r="O9" s="35"/>
    </row>
    <row r="10" spans="2:15" ht="12.75">
      <c r="B10" s="4" t="s">
        <v>26</v>
      </c>
      <c r="C10" s="4" t="s">
        <v>223</v>
      </c>
      <c r="D10" s="4" t="s">
        <v>16</v>
      </c>
      <c r="E10" s="15" t="s">
        <v>15</v>
      </c>
      <c r="G10" s="44">
        <v>0.929</v>
      </c>
      <c r="H10" s="44"/>
      <c r="I10" s="44">
        <v>1.61</v>
      </c>
      <c r="J10" s="44"/>
      <c r="K10" s="44">
        <v>2.52</v>
      </c>
      <c r="M10" s="17">
        <f t="shared" si="0"/>
        <v>1.6863333333333335</v>
      </c>
      <c r="O10" s="35"/>
    </row>
    <row r="11" spans="2:13" ht="12.75">
      <c r="B11" s="4" t="s">
        <v>56</v>
      </c>
      <c r="C11" s="4" t="s">
        <v>223</v>
      </c>
      <c r="D11" s="4" t="s">
        <v>16</v>
      </c>
      <c r="E11" s="15" t="s">
        <v>15</v>
      </c>
      <c r="G11" s="7">
        <f>G9+2*G10</f>
        <v>860.858</v>
      </c>
      <c r="H11" s="7"/>
      <c r="I11" s="7">
        <f>I9+2*I10</f>
        <v>1016.22</v>
      </c>
      <c r="J11" s="7"/>
      <c r="K11" s="7">
        <f>K9+2*K10</f>
        <v>1189.04</v>
      </c>
      <c r="L11" s="6"/>
      <c r="M11" s="20">
        <f t="shared" si="0"/>
        <v>1022.0393333333333</v>
      </c>
    </row>
    <row r="12" spans="4:9" ht="12.75">
      <c r="D12" s="13"/>
      <c r="E12" s="13"/>
      <c r="F12" s="13"/>
      <c r="I12" s="13"/>
    </row>
    <row r="13" spans="2:13" ht="12.75">
      <c r="B13" s="4" t="s">
        <v>109</v>
      </c>
      <c r="D13" s="4" t="s">
        <v>29</v>
      </c>
      <c r="E13" s="13"/>
      <c r="F13" s="13" t="s">
        <v>107</v>
      </c>
      <c r="G13" s="49">
        <v>3.79E-05</v>
      </c>
      <c r="H13" s="49" t="s">
        <v>107</v>
      </c>
      <c r="I13" s="49">
        <v>4.46E-05</v>
      </c>
      <c r="J13" s="13" t="s">
        <v>107</v>
      </c>
      <c r="K13" s="49">
        <v>4.72E-05</v>
      </c>
      <c r="M13" s="49"/>
    </row>
    <row r="14" spans="2:13" ht="12.75">
      <c r="B14" s="4" t="s">
        <v>108</v>
      </c>
      <c r="D14" s="4" t="s">
        <v>29</v>
      </c>
      <c r="E14" s="13"/>
      <c r="F14" s="13"/>
      <c r="G14" s="49">
        <v>0.000378</v>
      </c>
      <c r="I14" s="49">
        <v>0.000402</v>
      </c>
      <c r="K14" s="49">
        <v>0.000414</v>
      </c>
      <c r="M14" s="49"/>
    </row>
    <row r="15" spans="2:13" ht="12.75">
      <c r="B15" s="4" t="s">
        <v>110</v>
      </c>
      <c r="D15" s="4" t="s">
        <v>29</v>
      </c>
      <c r="E15" s="13"/>
      <c r="F15" s="13"/>
      <c r="G15" s="49">
        <v>0.000441</v>
      </c>
      <c r="I15" s="49">
        <v>0.000487</v>
      </c>
      <c r="K15" s="49">
        <v>0.000338</v>
      </c>
      <c r="M15" s="49"/>
    </row>
    <row r="16" spans="2:13" ht="12.75">
      <c r="B16" s="4" t="s">
        <v>111</v>
      </c>
      <c r="D16" s="4" t="s">
        <v>29</v>
      </c>
      <c r="E16" s="13"/>
      <c r="F16" s="13"/>
      <c r="G16" s="49">
        <v>3.94E-05</v>
      </c>
      <c r="I16" s="49">
        <v>4.11E-05</v>
      </c>
      <c r="J16" s="49"/>
      <c r="K16" s="49">
        <v>4.34E-05</v>
      </c>
      <c r="M16" s="49"/>
    </row>
    <row r="17" spans="2:13" ht="12.75">
      <c r="B17" s="4" t="s">
        <v>112</v>
      </c>
      <c r="D17" s="4" t="s">
        <v>29</v>
      </c>
      <c r="E17" s="13"/>
      <c r="F17" s="13"/>
      <c r="G17" s="49">
        <v>0.000118</v>
      </c>
      <c r="I17" s="49">
        <v>9.94E-05</v>
      </c>
      <c r="K17" s="49">
        <v>0.000101</v>
      </c>
      <c r="M17" s="49"/>
    </row>
    <row r="18" spans="2:13" ht="12.75">
      <c r="B18" s="4" t="s">
        <v>113</v>
      </c>
      <c r="D18" s="4" t="s">
        <v>29</v>
      </c>
      <c r="E18" s="13"/>
      <c r="F18" s="13"/>
      <c r="G18" s="49">
        <v>0.000349</v>
      </c>
      <c r="I18" s="49">
        <v>0.000549</v>
      </c>
      <c r="K18" s="49">
        <v>0.000722</v>
      </c>
      <c r="M18" s="49"/>
    </row>
    <row r="19" spans="2:13" ht="12.75">
      <c r="B19" s="72" t="s">
        <v>190</v>
      </c>
      <c r="D19" s="4" t="s">
        <v>29</v>
      </c>
      <c r="E19" s="13"/>
      <c r="F19" s="13" t="s">
        <v>107</v>
      </c>
      <c r="G19" s="49">
        <v>6.26E-05</v>
      </c>
      <c r="H19" s="13" t="s">
        <v>107</v>
      </c>
      <c r="I19" s="49">
        <v>6.84E-05</v>
      </c>
      <c r="J19" s="13" t="s">
        <v>107</v>
      </c>
      <c r="K19" s="49">
        <v>6.27E-05</v>
      </c>
      <c r="M19" s="49"/>
    </row>
    <row r="20" spans="2:13" ht="12.75">
      <c r="B20" s="4" t="s">
        <v>136</v>
      </c>
      <c r="D20" s="4" t="s">
        <v>29</v>
      </c>
      <c r="E20" s="13"/>
      <c r="F20" s="13" t="s">
        <v>107</v>
      </c>
      <c r="G20" s="49">
        <v>3.79E-05</v>
      </c>
      <c r="H20" s="13" t="s">
        <v>107</v>
      </c>
      <c r="I20" s="49">
        <v>4.46E-05</v>
      </c>
      <c r="K20" s="49">
        <v>0.000107</v>
      </c>
      <c r="M20" s="49"/>
    </row>
    <row r="21" spans="2:13" ht="12.75">
      <c r="B21" s="4" t="s">
        <v>114</v>
      </c>
      <c r="D21" s="4" t="s">
        <v>29</v>
      </c>
      <c r="E21" s="13"/>
      <c r="F21" s="13"/>
      <c r="G21" s="49">
        <v>0.000378</v>
      </c>
      <c r="I21" s="49">
        <v>0.000456</v>
      </c>
      <c r="K21" s="49">
        <v>0.000301</v>
      </c>
      <c r="M21" s="49"/>
    </row>
    <row r="22" spans="2:13" ht="12.75">
      <c r="B22" s="4" t="s">
        <v>115</v>
      </c>
      <c r="D22" s="4" t="s">
        <v>29</v>
      </c>
      <c r="E22" s="13"/>
      <c r="F22" s="13"/>
      <c r="G22" s="49">
        <v>0.00187</v>
      </c>
      <c r="I22" s="49">
        <v>0.00279</v>
      </c>
      <c r="K22" s="49">
        <v>0.0027</v>
      </c>
      <c r="M22" s="87"/>
    </row>
    <row r="23" spans="2:13" ht="12.75">
      <c r="B23" s="4" t="s">
        <v>137</v>
      </c>
      <c r="D23" s="4" t="s">
        <v>29</v>
      </c>
      <c r="E23" s="13"/>
      <c r="F23" s="13"/>
      <c r="G23" s="49">
        <v>0.0012</v>
      </c>
      <c r="I23" s="49">
        <v>0.00172</v>
      </c>
      <c r="K23" s="49">
        <v>0.0023</v>
      </c>
      <c r="M23" s="87"/>
    </row>
    <row r="24" spans="2:13" ht="12.75">
      <c r="B24" s="4" t="s">
        <v>116</v>
      </c>
      <c r="D24" s="4" t="s">
        <v>29</v>
      </c>
      <c r="E24" s="13"/>
      <c r="F24" s="13"/>
      <c r="G24" s="49">
        <v>0.000153</v>
      </c>
      <c r="I24" s="49">
        <v>0.000171</v>
      </c>
      <c r="K24" s="49">
        <v>0.000208</v>
      </c>
      <c r="M24" s="49"/>
    </row>
    <row r="25" spans="2:13" ht="12.75">
      <c r="B25" s="4" t="s">
        <v>117</v>
      </c>
      <c r="D25" s="4" t="s">
        <v>29</v>
      </c>
      <c r="E25" s="13"/>
      <c r="F25" s="13"/>
      <c r="G25" s="49">
        <v>0.000748</v>
      </c>
      <c r="I25" s="49">
        <v>0.000135</v>
      </c>
      <c r="K25" s="49">
        <v>0.00276</v>
      </c>
      <c r="M25" s="49"/>
    </row>
    <row r="26" spans="2:13" ht="12.75">
      <c r="B26" s="4" t="s">
        <v>118</v>
      </c>
      <c r="D26" s="4" t="s">
        <v>29</v>
      </c>
      <c r="E26" s="13"/>
      <c r="F26" s="13"/>
      <c r="G26" s="49">
        <v>0.000875</v>
      </c>
      <c r="I26" s="49">
        <v>0.000423</v>
      </c>
      <c r="K26" s="49">
        <v>0.000451</v>
      </c>
      <c r="M26" s="49"/>
    </row>
    <row r="27" spans="2:13" ht="12.75">
      <c r="B27" s="4" t="s">
        <v>119</v>
      </c>
      <c r="D27" s="4" t="s">
        <v>29</v>
      </c>
      <c r="E27" s="13"/>
      <c r="F27" s="13" t="s">
        <v>107</v>
      </c>
      <c r="G27" s="49">
        <v>1.52E-05</v>
      </c>
      <c r="H27" s="13" t="s">
        <v>107</v>
      </c>
      <c r="I27" s="49">
        <v>1.78E-05</v>
      </c>
      <c r="J27" s="13" t="s">
        <v>107</v>
      </c>
      <c r="K27" s="49">
        <v>1.75E-05</v>
      </c>
      <c r="M27" s="49"/>
    </row>
    <row r="28" spans="2:13" ht="12.75">
      <c r="B28" s="4" t="s">
        <v>120</v>
      </c>
      <c r="D28" s="4" t="s">
        <v>29</v>
      </c>
      <c r="E28" s="13"/>
      <c r="F28" s="13" t="s">
        <v>107</v>
      </c>
      <c r="G28" s="49">
        <v>3.79E-05</v>
      </c>
      <c r="H28" s="13" t="s">
        <v>107</v>
      </c>
      <c r="I28" s="49">
        <v>4.46E-05</v>
      </c>
      <c r="J28" s="13" t="s">
        <v>107</v>
      </c>
      <c r="K28" s="49">
        <v>4.37E-05</v>
      </c>
      <c r="M28" s="49"/>
    </row>
    <row r="29" spans="2:13" ht="12.75">
      <c r="B29" s="4" t="s">
        <v>121</v>
      </c>
      <c r="D29" s="4" t="s">
        <v>29</v>
      </c>
      <c r="E29" s="13"/>
      <c r="F29" s="13"/>
      <c r="G29" s="49">
        <v>0.000532</v>
      </c>
      <c r="I29" s="49">
        <v>0.000583</v>
      </c>
      <c r="K29" s="49">
        <v>0.000404</v>
      </c>
      <c r="M29" s="49"/>
    </row>
    <row r="30" spans="2:13" ht="12.75">
      <c r="B30" s="4"/>
      <c r="C30" s="4"/>
      <c r="G30" s="18"/>
      <c r="H30" s="18"/>
      <c r="I30" s="19"/>
      <c r="J30" s="18"/>
      <c r="K30" s="18"/>
      <c r="L30" s="15"/>
      <c r="M30" s="20"/>
    </row>
    <row r="31" spans="2:13" ht="12.75">
      <c r="B31" s="4" t="s">
        <v>57</v>
      </c>
      <c r="C31" s="4" t="s">
        <v>53</v>
      </c>
      <c r="D31" s="4" t="s">
        <v>223</v>
      </c>
      <c r="L31" s="15"/>
      <c r="M31" s="51"/>
    </row>
    <row r="32" spans="2:13" ht="12.75">
      <c r="B32" s="4" t="s">
        <v>52</v>
      </c>
      <c r="C32" s="4"/>
      <c r="D32" s="4" t="s">
        <v>17</v>
      </c>
      <c r="G32" s="18">
        <v>27436</v>
      </c>
      <c r="H32" s="18"/>
      <c r="I32" s="18">
        <v>29549</v>
      </c>
      <c r="J32" s="7"/>
      <c r="K32" s="18">
        <v>29919</v>
      </c>
      <c r="M32" s="20">
        <f>AVERAGE(G32,I32,K32)</f>
        <v>28968</v>
      </c>
    </row>
    <row r="33" spans="2:13" ht="12.75">
      <c r="B33" s="4" t="s">
        <v>54</v>
      </c>
      <c r="C33" s="4"/>
      <c r="D33" s="4" t="s">
        <v>18</v>
      </c>
      <c r="G33" s="23">
        <v>15</v>
      </c>
      <c r="H33" s="18"/>
      <c r="I33" s="23">
        <v>16</v>
      </c>
      <c r="J33" s="18"/>
      <c r="K33" s="23">
        <v>16.9</v>
      </c>
      <c r="M33" s="17">
        <f>AVERAGE(G33,I33,K33)</f>
        <v>15.966666666666667</v>
      </c>
    </row>
    <row r="34" spans="2:13" ht="12.75">
      <c r="B34" s="4" t="s">
        <v>55</v>
      </c>
      <c r="C34" s="4"/>
      <c r="D34" s="4" t="s">
        <v>18</v>
      </c>
      <c r="G34" s="23">
        <v>12.8</v>
      </c>
      <c r="H34" s="18"/>
      <c r="I34" s="23">
        <v>6.8</v>
      </c>
      <c r="J34" s="18"/>
      <c r="K34" s="23">
        <v>5.3</v>
      </c>
      <c r="M34" s="17">
        <f>AVERAGE(G34,I34,K34)</f>
        <v>8.3</v>
      </c>
    </row>
    <row r="35" spans="2:13" ht="12.75">
      <c r="B35" s="4" t="s">
        <v>51</v>
      </c>
      <c r="C35" s="4"/>
      <c r="D35" s="4" t="s">
        <v>19</v>
      </c>
      <c r="G35" s="64">
        <v>360</v>
      </c>
      <c r="H35" s="7"/>
      <c r="I35" s="64">
        <v>331</v>
      </c>
      <c r="J35" s="7"/>
      <c r="K35" s="64">
        <v>343</v>
      </c>
      <c r="M35" s="20">
        <f>AVERAGE(G35,I35,K35)</f>
        <v>344.6666666666667</v>
      </c>
    </row>
    <row r="36" spans="2:13" ht="12.75">
      <c r="B36" s="4"/>
      <c r="C36" s="4"/>
      <c r="G36" s="18"/>
      <c r="H36" s="18"/>
      <c r="I36" s="19"/>
      <c r="J36" s="18"/>
      <c r="K36" s="18"/>
      <c r="M36" s="51"/>
    </row>
    <row r="37" spans="2:13" ht="12.75">
      <c r="B37" s="4" t="s">
        <v>57</v>
      </c>
      <c r="C37" s="4" t="s">
        <v>123</v>
      </c>
      <c r="D37" s="4" t="s">
        <v>224</v>
      </c>
      <c r="G37" s="18"/>
      <c r="H37" s="18"/>
      <c r="I37" s="19"/>
      <c r="J37" s="18"/>
      <c r="K37" s="18"/>
      <c r="M37" s="51"/>
    </row>
    <row r="38" spans="2:13" ht="12.75">
      <c r="B38" s="4" t="s">
        <v>52</v>
      </c>
      <c r="C38" s="4"/>
      <c r="D38" s="4" t="s">
        <v>17</v>
      </c>
      <c r="G38" s="18">
        <v>27559</v>
      </c>
      <c r="H38" s="18"/>
      <c r="I38" s="19">
        <v>28855</v>
      </c>
      <c r="J38" s="18"/>
      <c r="K38" s="18">
        <v>29386</v>
      </c>
      <c r="M38" s="51"/>
    </row>
    <row r="39" spans="2:13" ht="12.75">
      <c r="B39" s="4" t="s">
        <v>54</v>
      </c>
      <c r="C39" s="4"/>
      <c r="D39" s="4" t="s">
        <v>18</v>
      </c>
      <c r="G39" s="5">
        <v>15</v>
      </c>
      <c r="H39" s="5"/>
      <c r="I39" s="5">
        <v>16</v>
      </c>
      <c r="J39" s="5"/>
      <c r="K39" s="5">
        <v>16.9</v>
      </c>
      <c r="M39" s="51"/>
    </row>
    <row r="40" spans="2:13" ht="12.75">
      <c r="B40" s="4" t="s">
        <v>55</v>
      </c>
      <c r="C40" s="4"/>
      <c r="D40" s="4" t="s">
        <v>18</v>
      </c>
      <c r="G40" s="18">
        <v>13</v>
      </c>
      <c r="H40" s="18"/>
      <c r="I40" s="19">
        <v>7.9</v>
      </c>
      <c r="J40" s="18"/>
      <c r="K40" s="18">
        <v>5.3</v>
      </c>
      <c r="M40" s="51"/>
    </row>
    <row r="41" spans="2:13" ht="12.75">
      <c r="B41" s="4" t="s">
        <v>51</v>
      </c>
      <c r="C41" s="4"/>
      <c r="D41" s="4" t="s">
        <v>19</v>
      </c>
      <c r="G41" s="18">
        <v>354</v>
      </c>
      <c r="H41" s="18"/>
      <c r="I41" s="19">
        <v>324</v>
      </c>
      <c r="J41" s="18"/>
      <c r="K41" s="18">
        <v>337</v>
      </c>
      <c r="M41" s="51"/>
    </row>
    <row r="42" spans="2:13" ht="12.75">
      <c r="B42" s="4"/>
      <c r="C42" s="4"/>
      <c r="G42" s="18"/>
      <c r="H42" s="18"/>
      <c r="I42" s="19"/>
      <c r="J42" s="18"/>
      <c r="K42" s="18"/>
      <c r="M42" s="51"/>
    </row>
    <row r="43" spans="2:13" ht="13.5" customHeight="1">
      <c r="B43" s="4"/>
      <c r="C43" s="4"/>
      <c r="G43" s="18"/>
      <c r="H43" s="18"/>
      <c r="I43" s="19"/>
      <c r="J43" s="18"/>
      <c r="K43" s="18"/>
      <c r="L43" s="15"/>
      <c r="M43" s="20"/>
    </row>
    <row r="44" spans="2:13" ht="12.75">
      <c r="B44" s="4" t="s">
        <v>109</v>
      </c>
      <c r="C44" s="4" t="s">
        <v>224</v>
      </c>
      <c r="D44" s="4" t="s">
        <v>35</v>
      </c>
      <c r="E44" s="15" t="s">
        <v>15</v>
      </c>
      <c r="F44" s="4" t="s">
        <v>107</v>
      </c>
      <c r="G44" s="5">
        <f>G13*1/60*454*1000000/(G$38*0.0283)*(21-7)/(21-G$39)</f>
        <v>0.8579672440067299</v>
      </c>
      <c r="H44" s="4" t="s">
        <v>107</v>
      </c>
      <c r="I44" s="5">
        <f>I13*1/60*454*1000000/(I$38*0.0283)*(21-7)/(21-I$39)</f>
        <v>1.157150849083156</v>
      </c>
      <c r="J44" s="4" t="s">
        <v>107</v>
      </c>
      <c r="K44" s="5">
        <f aca="true" t="shared" si="1" ref="K44:K60">K13*1/60*454*1000000/(K$38*0.0283)*(21-7)/(21-K$39)</f>
        <v>1.4664385546109093</v>
      </c>
      <c r="L44" s="7">
        <v>100</v>
      </c>
      <c r="M44" s="51">
        <f aca="true" t="shared" si="2" ref="M44:M54">AVERAGE(G44,I44,K44)</f>
        <v>1.1605188825669317</v>
      </c>
    </row>
    <row r="45" spans="2:13" ht="12.75">
      <c r="B45" s="4" t="s">
        <v>108</v>
      </c>
      <c r="C45" s="4" t="s">
        <v>224</v>
      </c>
      <c r="D45" s="4" t="s">
        <v>35</v>
      </c>
      <c r="E45" s="15" t="s">
        <v>15</v>
      </c>
      <c r="F45" s="13"/>
      <c r="G45" s="5">
        <f aca="true" t="shared" si="3" ref="G45:I60">G14*1/60*454*1000000/(G$38*0.0283)*(21-7)/(21-G$39)</f>
        <v>8.557034781914089</v>
      </c>
      <c r="I45" s="5">
        <f t="shared" si="3"/>
        <v>10.42992469352979</v>
      </c>
      <c r="K45" s="5">
        <f t="shared" si="1"/>
        <v>12.862405966290606</v>
      </c>
      <c r="L45" s="90"/>
      <c r="M45" s="51">
        <f t="shared" si="2"/>
        <v>10.616455147244828</v>
      </c>
    </row>
    <row r="46" spans="1:13" ht="12.75">
      <c r="A46" s="15"/>
      <c r="B46" s="4" t="s">
        <v>110</v>
      </c>
      <c r="C46" s="4" t="s">
        <v>224</v>
      </c>
      <c r="D46" s="4" t="s">
        <v>35</v>
      </c>
      <c r="E46" s="15" t="s">
        <v>15</v>
      </c>
      <c r="F46" s="13"/>
      <c r="G46" s="5">
        <f t="shared" si="3"/>
        <v>9.983207245566435</v>
      </c>
      <c r="I46" s="5">
        <f t="shared" si="3"/>
        <v>12.635257029226388</v>
      </c>
      <c r="K46" s="5">
        <f t="shared" si="1"/>
        <v>10.501191344459478</v>
      </c>
      <c r="L46" s="7"/>
      <c r="M46" s="51">
        <f t="shared" si="2"/>
        <v>11.039885206417432</v>
      </c>
    </row>
    <row r="47" spans="2:13" ht="12.75">
      <c r="B47" s="4" t="s">
        <v>111</v>
      </c>
      <c r="C47" s="4" t="s">
        <v>224</v>
      </c>
      <c r="D47" s="4" t="s">
        <v>35</v>
      </c>
      <c r="E47" s="15" t="s">
        <v>15</v>
      </c>
      <c r="F47" s="13"/>
      <c r="G47" s="5">
        <f t="shared" si="3"/>
        <v>0.891923731236548</v>
      </c>
      <c r="I47" s="5">
        <f t="shared" si="3"/>
        <v>1.0663430470250608</v>
      </c>
      <c r="K47" s="5">
        <f t="shared" si="1"/>
        <v>1.3483778235193533</v>
      </c>
      <c r="L47" s="20"/>
      <c r="M47" s="51">
        <f t="shared" si="2"/>
        <v>1.1022148672603207</v>
      </c>
    </row>
    <row r="48" spans="2:13" ht="12.75">
      <c r="B48" s="4" t="s">
        <v>112</v>
      </c>
      <c r="C48" s="4" t="s">
        <v>224</v>
      </c>
      <c r="D48" s="4" t="s">
        <v>35</v>
      </c>
      <c r="E48" s="15" t="s">
        <v>15</v>
      </c>
      <c r="F48" s="13"/>
      <c r="G48" s="5">
        <f t="shared" si="3"/>
        <v>2.6712436620790014</v>
      </c>
      <c r="I48" s="5">
        <f t="shared" si="3"/>
        <v>2.5789415784499043</v>
      </c>
      <c r="K48" s="5">
        <f t="shared" si="1"/>
        <v>3.1379299579597855</v>
      </c>
      <c r="L48" s="20"/>
      <c r="M48" s="51">
        <f t="shared" si="2"/>
        <v>2.7960383994962306</v>
      </c>
    </row>
    <row r="49" spans="2:13" ht="12.75">
      <c r="B49" s="4" t="s">
        <v>113</v>
      </c>
      <c r="C49" s="4" t="s">
        <v>224</v>
      </c>
      <c r="D49" s="4" t="s">
        <v>35</v>
      </c>
      <c r="E49" s="15" t="s">
        <v>15</v>
      </c>
      <c r="F49" s="13"/>
      <c r="G49" s="5">
        <f t="shared" si="3"/>
        <v>7.900542695470944</v>
      </c>
      <c r="I49" s="5">
        <f t="shared" si="3"/>
        <v>14.24385237996979</v>
      </c>
      <c r="K49" s="5">
        <f t="shared" si="1"/>
        <v>22.431538907395694</v>
      </c>
      <c r="L49" s="20"/>
      <c r="M49" s="51">
        <f t="shared" si="2"/>
        <v>14.858644660945478</v>
      </c>
    </row>
    <row r="50" spans="2:13" ht="12.75">
      <c r="B50" s="72" t="s">
        <v>190</v>
      </c>
      <c r="C50" s="4" t="s">
        <v>224</v>
      </c>
      <c r="D50" s="4" t="s">
        <v>35</v>
      </c>
      <c r="E50" s="15" t="s">
        <v>15</v>
      </c>
      <c r="F50" s="13" t="s">
        <v>107</v>
      </c>
      <c r="G50" s="5">
        <f t="shared" si="3"/>
        <v>1.4171174003910634</v>
      </c>
      <c r="H50" s="13" t="s">
        <v>107</v>
      </c>
      <c r="I50" s="5">
        <f t="shared" si="3"/>
        <v>1.774643903078203</v>
      </c>
      <c r="J50" s="13" t="s">
        <v>107</v>
      </c>
      <c r="K50" s="5">
        <f t="shared" si="1"/>
        <v>1.948002063010679</v>
      </c>
      <c r="L50" s="20">
        <v>100</v>
      </c>
      <c r="M50" s="51">
        <f t="shared" si="2"/>
        <v>1.7132544554933151</v>
      </c>
    </row>
    <row r="51" spans="2:13" ht="12.75">
      <c r="B51" s="4" t="s">
        <v>136</v>
      </c>
      <c r="C51" s="4" t="s">
        <v>224</v>
      </c>
      <c r="D51" s="4" t="s">
        <v>35</v>
      </c>
      <c r="E51" s="15" t="s">
        <v>15</v>
      </c>
      <c r="F51" s="4" t="s">
        <v>107</v>
      </c>
      <c r="G51" s="5">
        <f t="shared" si="3"/>
        <v>0.8579672440067299</v>
      </c>
      <c r="H51" s="4" t="s">
        <v>107</v>
      </c>
      <c r="I51" s="5">
        <f t="shared" si="3"/>
        <v>1.157150849083156</v>
      </c>
      <c r="J51" s="4"/>
      <c r="K51" s="5">
        <f t="shared" si="1"/>
        <v>3.3243416386306635</v>
      </c>
      <c r="L51" s="17"/>
      <c r="M51" s="51">
        <f t="shared" si="2"/>
        <v>1.7798199105735162</v>
      </c>
    </row>
    <row r="52" spans="2:13" ht="12.75">
      <c r="B52" s="4" t="s">
        <v>114</v>
      </c>
      <c r="C52" s="4" t="s">
        <v>224</v>
      </c>
      <c r="D52" s="4" t="s">
        <v>35</v>
      </c>
      <c r="E52" s="15" t="s">
        <v>15</v>
      </c>
      <c r="F52" s="13"/>
      <c r="G52" s="5">
        <f t="shared" si="3"/>
        <v>8.557034781914089</v>
      </c>
      <c r="I52" s="5">
        <f t="shared" si="3"/>
        <v>11.83095935385469</v>
      </c>
      <c r="K52" s="5">
        <f t="shared" si="1"/>
        <v>9.351652646989063</v>
      </c>
      <c r="M52" s="51">
        <f t="shared" si="2"/>
        <v>9.913215594252614</v>
      </c>
    </row>
    <row r="53" spans="2:13" ht="12.75">
      <c r="B53" s="4" t="s">
        <v>115</v>
      </c>
      <c r="C53" s="4" t="s">
        <v>224</v>
      </c>
      <c r="D53" s="4" t="s">
        <v>35</v>
      </c>
      <c r="E53" s="15" t="s">
        <v>15</v>
      </c>
      <c r="F53" s="13"/>
      <c r="G53" s="5">
        <f t="shared" si="3"/>
        <v>42.332420746506195</v>
      </c>
      <c r="I53" s="5">
        <f t="shared" si="3"/>
        <v>72.38679078345301</v>
      </c>
      <c r="K53" s="5">
        <f t="shared" si="1"/>
        <v>83.88525630189525</v>
      </c>
      <c r="M53" s="51">
        <f t="shared" si="2"/>
        <v>66.20148927728482</v>
      </c>
    </row>
    <row r="54" spans="2:13" ht="12.75">
      <c r="B54" s="4" t="s">
        <v>137</v>
      </c>
      <c r="C54" s="4" t="s">
        <v>224</v>
      </c>
      <c r="D54" s="4" t="s">
        <v>35</v>
      </c>
      <c r="E54" s="15" t="s">
        <v>15</v>
      </c>
      <c r="F54" s="13"/>
      <c r="G54" s="5">
        <f t="shared" si="3"/>
        <v>27.165189783854245</v>
      </c>
      <c r="I54" s="5">
        <f t="shared" si="3"/>
        <v>44.62554843997821</v>
      </c>
      <c r="K54" s="5">
        <f t="shared" si="1"/>
        <v>71.4578109238367</v>
      </c>
      <c r="M54" s="51">
        <f t="shared" si="2"/>
        <v>47.749516382556386</v>
      </c>
    </row>
    <row r="55" spans="2:13" ht="12.75">
      <c r="B55" s="4" t="s">
        <v>116</v>
      </c>
      <c r="C55" s="4" t="s">
        <v>224</v>
      </c>
      <c r="D55" s="4" t="s">
        <v>35</v>
      </c>
      <c r="E55" s="15" t="s">
        <v>15</v>
      </c>
      <c r="F55" s="13"/>
      <c r="G55" s="5">
        <f t="shared" si="3"/>
        <v>3.463561697441417</v>
      </c>
      <c r="I55" s="5">
        <f t="shared" si="3"/>
        <v>4.436609757695509</v>
      </c>
      <c r="K55" s="5">
        <f t="shared" si="1"/>
        <v>6.462271596590448</v>
      </c>
      <c r="M55" s="51">
        <f aca="true" t="shared" si="4" ref="M55:M60">AVERAGE(G55,I55,K55)</f>
        <v>4.787481017242458</v>
      </c>
    </row>
    <row r="56" spans="2:13" ht="12.75">
      <c r="B56" s="4" t="s">
        <v>117</v>
      </c>
      <c r="C56" s="4" t="s">
        <v>224</v>
      </c>
      <c r="D56" s="4" t="s">
        <v>35</v>
      </c>
      <c r="E56" s="15" t="s">
        <v>15</v>
      </c>
      <c r="F56" s="13"/>
      <c r="G56" s="5">
        <f t="shared" si="3"/>
        <v>16.93296829860248</v>
      </c>
      <c r="I56" s="5">
        <f t="shared" si="3"/>
        <v>3.502586650812243</v>
      </c>
      <c r="K56" s="5">
        <f t="shared" si="1"/>
        <v>85.74937310860403</v>
      </c>
      <c r="M56" s="51">
        <f t="shared" si="4"/>
        <v>35.39497601933959</v>
      </c>
    </row>
    <row r="57" spans="2:13" ht="12.75">
      <c r="B57" s="4" t="s">
        <v>118</v>
      </c>
      <c r="C57" s="4" t="s">
        <v>224</v>
      </c>
      <c r="D57" s="4" t="s">
        <v>35</v>
      </c>
      <c r="E57" s="15" t="s">
        <v>15</v>
      </c>
      <c r="F57" s="13"/>
      <c r="G57" s="5">
        <f t="shared" si="3"/>
        <v>19.80795088406039</v>
      </c>
      <c r="I57" s="5">
        <f t="shared" si="3"/>
        <v>10.974771505878362</v>
      </c>
      <c r="K57" s="5">
        <f t="shared" si="1"/>
        <v>14.011944663761021</v>
      </c>
      <c r="M57" s="51">
        <f t="shared" si="4"/>
        <v>14.93155568456659</v>
      </c>
    </row>
    <row r="58" spans="2:13" ht="12.75">
      <c r="B58" s="4" t="s">
        <v>119</v>
      </c>
      <c r="C58" s="4" t="s">
        <v>224</v>
      </c>
      <c r="D58" s="4" t="s">
        <v>35</v>
      </c>
      <c r="E58" s="15" t="s">
        <v>15</v>
      </c>
      <c r="F58" s="4" t="s">
        <v>107</v>
      </c>
      <c r="G58" s="5">
        <f t="shared" si="3"/>
        <v>0.34409240392882046</v>
      </c>
      <c r="H58" s="4" t="s">
        <v>107</v>
      </c>
      <c r="I58" s="5">
        <f t="shared" si="3"/>
        <v>0.46182253618116986</v>
      </c>
      <c r="J58" s="4" t="s">
        <v>107</v>
      </c>
      <c r="K58" s="5">
        <f t="shared" si="1"/>
        <v>0.5437007352900618</v>
      </c>
      <c r="L58" s="13">
        <v>100</v>
      </c>
      <c r="M58" s="51">
        <f t="shared" si="4"/>
        <v>0.44987189180001735</v>
      </c>
    </row>
    <row r="59" spans="2:13" ht="12.75">
      <c r="B59" s="4" t="s">
        <v>120</v>
      </c>
      <c r="C59" s="4" t="s">
        <v>224</v>
      </c>
      <c r="D59" s="4" t="s">
        <v>35</v>
      </c>
      <c r="E59" s="15" t="s">
        <v>15</v>
      </c>
      <c r="F59" s="13" t="s">
        <v>107</v>
      </c>
      <c r="G59" s="5">
        <f t="shared" si="3"/>
        <v>0.8579672440067299</v>
      </c>
      <c r="H59" s="13" t="s">
        <v>107</v>
      </c>
      <c r="I59" s="5">
        <f t="shared" si="3"/>
        <v>1.157150849083156</v>
      </c>
      <c r="J59" s="13" t="s">
        <v>107</v>
      </c>
      <c r="K59" s="5">
        <f t="shared" si="1"/>
        <v>1.357698407552897</v>
      </c>
      <c r="L59" s="13">
        <v>100</v>
      </c>
      <c r="M59" s="51">
        <f t="shared" si="4"/>
        <v>1.1242721668809275</v>
      </c>
    </row>
    <row r="60" spans="2:13" ht="12.75">
      <c r="B60" s="4" t="s">
        <v>121</v>
      </c>
      <c r="C60" s="4" t="s">
        <v>224</v>
      </c>
      <c r="D60" s="4" t="s">
        <v>35</v>
      </c>
      <c r="E60" s="15" t="s">
        <v>15</v>
      </c>
      <c r="F60" s="13"/>
      <c r="G60" s="5">
        <f t="shared" si="3"/>
        <v>12.043234137508717</v>
      </c>
      <c r="I60" s="5">
        <f t="shared" si="3"/>
        <v>15.125985314248425</v>
      </c>
      <c r="K60" s="5">
        <f t="shared" si="1"/>
        <v>12.551719831839142</v>
      </c>
      <c r="M60" s="51">
        <f t="shared" si="4"/>
        <v>13.240313094532096</v>
      </c>
    </row>
    <row r="61" spans="2:13" ht="12.75">
      <c r="B61" s="4"/>
      <c r="C61" s="4"/>
      <c r="E61" s="15"/>
      <c r="F61" s="13"/>
      <c r="G61" s="5"/>
      <c r="I61" s="5"/>
      <c r="K61" s="5"/>
      <c r="M61" s="51"/>
    </row>
    <row r="62" spans="2:13" ht="12.75">
      <c r="B62" s="4" t="s">
        <v>37</v>
      </c>
      <c r="C62" s="4" t="s">
        <v>224</v>
      </c>
      <c r="D62" s="4" t="s">
        <v>35</v>
      </c>
      <c r="E62" s="15" t="s">
        <v>15</v>
      </c>
      <c r="G62" s="17">
        <f>G45+G47+G49</f>
        <v>17.34950120862158</v>
      </c>
      <c r="I62" s="17">
        <f>I45+I47+I49</f>
        <v>25.74012012052464</v>
      </c>
      <c r="K62" s="17">
        <f>K45+K47+K49</f>
        <v>36.64232269720566</v>
      </c>
      <c r="M62" s="51">
        <f>AVERAGE(G62,I62,K62)</f>
        <v>26.577314675450623</v>
      </c>
    </row>
    <row r="63" spans="2:13" ht="12.75">
      <c r="B63" s="4" t="s">
        <v>36</v>
      </c>
      <c r="C63" s="4" t="s">
        <v>224</v>
      </c>
      <c r="D63" s="4" t="s">
        <v>35</v>
      </c>
      <c r="E63" s="15" t="s">
        <v>15</v>
      </c>
      <c r="G63" s="17">
        <f>G48+G53</f>
        <v>45.003664408585195</v>
      </c>
      <c r="I63" s="17">
        <f>I48+I53</f>
        <v>74.96573236190291</v>
      </c>
      <c r="K63" s="17">
        <f>K48+K53</f>
        <v>87.02318625985504</v>
      </c>
      <c r="M63" s="51">
        <f>AVERAGE(G63,I63,K63)</f>
        <v>68.99752767678105</v>
      </c>
    </row>
    <row r="64" spans="2:13" ht="12.75">
      <c r="B64" s="4"/>
      <c r="C64" s="4"/>
      <c r="G64" s="49"/>
      <c r="I64" s="49"/>
      <c r="K64" s="49"/>
      <c r="M64" s="89"/>
    </row>
    <row r="65" spans="1:13" ht="12.75">
      <c r="A65" s="15">
        <v>11</v>
      </c>
      <c r="B65" s="12" t="s">
        <v>165</v>
      </c>
      <c r="C65" s="13" t="s">
        <v>122</v>
      </c>
      <c r="G65" s="15" t="s">
        <v>169</v>
      </c>
      <c r="H65" s="15"/>
      <c r="I65" s="15" t="s">
        <v>170</v>
      </c>
      <c r="J65" s="15"/>
      <c r="K65" s="15" t="s">
        <v>171</v>
      </c>
      <c r="M65" s="15" t="s">
        <v>172</v>
      </c>
    </row>
    <row r="66" spans="3:13" ht="12.75">
      <c r="C66" s="88"/>
      <c r="D66" s="36"/>
      <c r="E66" s="50"/>
      <c r="F66" s="13"/>
      <c r="G66" s="15"/>
      <c r="H66" s="15"/>
      <c r="I66" s="15"/>
      <c r="J66" s="15"/>
      <c r="K66" s="15"/>
      <c r="M66" s="15"/>
    </row>
    <row r="67" spans="2:13" ht="12.75">
      <c r="B67" s="4" t="s">
        <v>13</v>
      </c>
      <c r="C67" s="4" t="s">
        <v>223</v>
      </c>
      <c r="D67" s="4" t="s">
        <v>14</v>
      </c>
      <c r="E67" s="15" t="s">
        <v>15</v>
      </c>
      <c r="G67" s="40">
        <v>0.0041</v>
      </c>
      <c r="H67" s="40"/>
      <c r="I67" s="40">
        <v>0.00692</v>
      </c>
      <c r="J67" s="40"/>
      <c r="K67" s="40">
        <v>0.0052</v>
      </c>
      <c r="M67" s="86">
        <f>AVERAGE(G67,I67,K67)</f>
        <v>0.005406666666666666</v>
      </c>
    </row>
    <row r="68" spans="2:13" ht="12.75">
      <c r="B68" s="4" t="s">
        <v>25</v>
      </c>
      <c r="C68" s="4" t="s">
        <v>223</v>
      </c>
      <c r="D68" s="4" t="s">
        <v>16</v>
      </c>
      <c r="E68" s="15" t="s">
        <v>15</v>
      </c>
      <c r="G68" s="64">
        <v>1369</v>
      </c>
      <c r="H68" s="64"/>
      <c r="I68" s="64">
        <v>1402</v>
      </c>
      <c r="J68" s="64"/>
      <c r="K68" s="64">
        <v>1717</v>
      </c>
      <c r="M68" s="20">
        <f>AVERAGE(G68,I68,K68)</f>
        <v>1496</v>
      </c>
    </row>
    <row r="69" spans="2:13" ht="12.75">
      <c r="B69" s="4" t="s">
        <v>26</v>
      </c>
      <c r="C69" s="4" t="s">
        <v>223</v>
      </c>
      <c r="D69" s="4" t="s">
        <v>16</v>
      </c>
      <c r="E69" s="15" t="s">
        <v>15</v>
      </c>
      <c r="G69" s="44">
        <v>0.741</v>
      </c>
      <c r="H69" s="44"/>
      <c r="I69" s="44">
        <v>1.12</v>
      </c>
      <c r="J69" s="44"/>
      <c r="K69" s="44">
        <v>1.3</v>
      </c>
      <c r="M69" s="51">
        <f>AVERAGE(G69,I69,K69)</f>
        <v>1.0536666666666668</v>
      </c>
    </row>
    <row r="70" spans="2:13" ht="12.75">
      <c r="B70" s="4" t="s">
        <v>56</v>
      </c>
      <c r="C70" s="4" t="s">
        <v>223</v>
      </c>
      <c r="D70" s="4" t="s">
        <v>16</v>
      </c>
      <c r="E70" s="15" t="s">
        <v>15</v>
      </c>
      <c r="G70" s="7">
        <f>G68+2*G69</f>
        <v>1370.482</v>
      </c>
      <c r="H70" s="7"/>
      <c r="I70" s="7">
        <f>I68+2*I69</f>
        <v>1404.24</v>
      </c>
      <c r="J70" s="7"/>
      <c r="K70" s="7">
        <f>K68+2*K69</f>
        <v>1719.6</v>
      </c>
      <c r="L70" s="6"/>
      <c r="M70" s="20">
        <f>AVERAGE(G70,I70,K70)</f>
        <v>1498.1073333333334</v>
      </c>
    </row>
    <row r="71" spans="2:13" ht="12.75">
      <c r="B71" s="4"/>
      <c r="C71" s="4"/>
      <c r="G71" s="23"/>
      <c r="H71" s="18"/>
      <c r="I71" s="23"/>
      <c r="J71" s="18"/>
      <c r="K71" s="23"/>
      <c r="M71" s="17"/>
    </row>
    <row r="72" spans="2:13" ht="12.75">
      <c r="B72" s="4" t="s">
        <v>146</v>
      </c>
      <c r="C72" s="4" t="s">
        <v>149</v>
      </c>
      <c r="G72" s="23"/>
      <c r="H72" s="18"/>
      <c r="I72" s="23"/>
      <c r="J72" s="18"/>
      <c r="K72" s="23"/>
      <c r="M72" s="17"/>
    </row>
    <row r="73" spans="2:13" ht="12.75">
      <c r="B73" s="4" t="s">
        <v>147</v>
      </c>
      <c r="C73" s="4"/>
      <c r="D73" s="4" t="s">
        <v>29</v>
      </c>
      <c r="G73" s="18">
        <v>45.54</v>
      </c>
      <c r="H73" s="18"/>
      <c r="I73" s="18">
        <v>44.15</v>
      </c>
      <c r="J73" s="18"/>
      <c r="K73" s="18">
        <v>44.33</v>
      </c>
      <c r="L73" s="20"/>
      <c r="M73" s="51">
        <f>AVERAGE(G73,I73,K73)</f>
        <v>44.673333333333325</v>
      </c>
    </row>
    <row r="74" spans="2:13" ht="12.75">
      <c r="B74" s="4" t="s">
        <v>148</v>
      </c>
      <c r="C74" s="4" t="s">
        <v>224</v>
      </c>
      <c r="D74" s="4" t="s">
        <v>29</v>
      </c>
      <c r="G74" s="18">
        <v>0.000954</v>
      </c>
      <c r="H74" s="18"/>
      <c r="I74" s="19">
        <v>0.000827</v>
      </c>
      <c r="J74" s="18"/>
      <c r="K74" s="18">
        <v>0.000619</v>
      </c>
      <c r="M74" s="87">
        <f>AVERAGE(G74,I74,K74)</f>
        <v>0.0008</v>
      </c>
    </row>
    <row r="75" spans="2:13" ht="12.75">
      <c r="B75" s="4" t="s">
        <v>27</v>
      </c>
      <c r="C75" s="4" t="s">
        <v>224</v>
      </c>
      <c r="D75" s="4" t="s">
        <v>18</v>
      </c>
      <c r="G75" s="103">
        <f>(G73-G74)/G73*100</f>
        <v>99.99790513833992</v>
      </c>
      <c r="H75" s="63"/>
      <c r="I75" s="103">
        <f>(I73-I74)/I73*100</f>
        <v>99.9981268403171</v>
      </c>
      <c r="J75" s="103"/>
      <c r="K75" s="103">
        <f>(K73-K74)/K73*100</f>
        <v>99.9986036544101</v>
      </c>
      <c r="M75" s="51"/>
    </row>
    <row r="76" spans="2:13" ht="12.75">
      <c r="B76" s="4"/>
      <c r="C76" s="4"/>
      <c r="G76" s="18"/>
      <c r="H76" s="18"/>
      <c r="I76" s="18"/>
      <c r="J76" s="18"/>
      <c r="K76" s="18"/>
      <c r="M76" s="20"/>
    </row>
    <row r="77" spans="2:13" ht="12.75">
      <c r="B77" s="4" t="s">
        <v>146</v>
      </c>
      <c r="C77" s="4" t="s">
        <v>150</v>
      </c>
      <c r="G77" s="23"/>
      <c r="H77" s="18"/>
      <c r="I77" s="23"/>
      <c r="J77" s="18"/>
      <c r="K77" s="23"/>
      <c r="M77" s="17"/>
    </row>
    <row r="78" spans="2:13" ht="12.75">
      <c r="B78" s="4" t="s">
        <v>147</v>
      </c>
      <c r="C78" s="4"/>
      <c r="D78" s="4" t="s">
        <v>29</v>
      </c>
      <c r="G78" s="18">
        <v>45.59</v>
      </c>
      <c r="H78" s="18"/>
      <c r="I78" s="18">
        <v>44.2</v>
      </c>
      <c r="J78" s="18"/>
      <c r="K78" s="18">
        <v>44.38</v>
      </c>
      <c r="M78" s="51">
        <f>AVERAGE(G78,I78,K78)</f>
        <v>44.723333333333336</v>
      </c>
    </row>
    <row r="79" spans="2:13" ht="12.75">
      <c r="B79" s="4" t="s">
        <v>148</v>
      </c>
      <c r="C79" s="4" t="s">
        <v>224</v>
      </c>
      <c r="D79" s="4" t="s">
        <v>29</v>
      </c>
      <c r="G79" s="18">
        <v>0.00116</v>
      </c>
      <c r="H79" s="18"/>
      <c r="I79" s="19">
        <v>0.000996</v>
      </c>
      <c r="J79" s="18"/>
      <c r="K79" s="18">
        <v>0.000964</v>
      </c>
      <c r="M79" s="87">
        <f>AVERAGE(G79,I79,K79)</f>
        <v>0.00104</v>
      </c>
    </row>
    <row r="80" spans="2:13" ht="12.75">
      <c r="B80" s="4" t="s">
        <v>27</v>
      </c>
      <c r="C80" s="4" t="s">
        <v>224</v>
      </c>
      <c r="D80" s="4" t="s">
        <v>18</v>
      </c>
      <c r="G80" s="103">
        <f>(G78-G79)/G78*100</f>
        <v>99.99745558236455</v>
      </c>
      <c r="H80" s="103"/>
      <c r="I80" s="103">
        <f>(I78-I79)/I78*100</f>
        <v>99.99774660633484</v>
      </c>
      <c r="J80" s="103"/>
      <c r="K80" s="103">
        <f>(K78-K79)/K78*100</f>
        <v>99.99782785038305</v>
      </c>
      <c r="L80" s="15"/>
      <c r="M80" s="20"/>
    </row>
    <row r="81" spans="2:13" ht="12.75">
      <c r="B81" s="4"/>
      <c r="C81" s="4"/>
      <c r="G81" s="18"/>
      <c r="H81" s="18"/>
      <c r="I81" s="19"/>
      <c r="J81" s="18"/>
      <c r="K81" s="18"/>
      <c r="M81" s="51"/>
    </row>
    <row r="82" spans="2:13" ht="12.75">
      <c r="B82" s="4" t="s">
        <v>57</v>
      </c>
      <c r="C82" s="4" t="s">
        <v>53</v>
      </c>
      <c r="D82" s="4" t="s">
        <v>223</v>
      </c>
      <c r="L82" s="15"/>
      <c r="M82" s="20"/>
    </row>
    <row r="83" spans="2:13" ht="12.75">
      <c r="B83" s="4" t="s">
        <v>52</v>
      </c>
      <c r="C83" s="4"/>
      <c r="D83" s="4" t="s">
        <v>17</v>
      </c>
      <c r="G83" s="18">
        <v>32462</v>
      </c>
      <c r="H83" s="18"/>
      <c r="I83" s="18">
        <v>28498</v>
      </c>
      <c r="J83" s="7"/>
      <c r="K83" s="18">
        <v>29100</v>
      </c>
      <c r="M83" s="20">
        <f>AVERAGE(G83,I83,K83)</f>
        <v>30020</v>
      </c>
    </row>
    <row r="84" spans="2:13" ht="12.75">
      <c r="B84" s="4" t="s">
        <v>54</v>
      </c>
      <c r="C84" s="4"/>
      <c r="D84" s="4" t="s">
        <v>18</v>
      </c>
      <c r="G84" s="23">
        <v>16.1</v>
      </c>
      <c r="H84" s="18"/>
      <c r="I84" s="23">
        <v>16.5</v>
      </c>
      <c r="J84" s="18"/>
      <c r="K84" s="23">
        <v>16.4</v>
      </c>
      <c r="M84" s="17">
        <f>AVERAGE(G84,I84,K84)</f>
        <v>16.333333333333332</v>
      </c>
    </row>
    <row r="85" spans="2:13" ht="12.75">
      <c r="B85" s="4" t="s">
        <v>55</v>
      </c>
      <c r="C85" s="4"/>
      <c r="D85" s="4" t="s">
        <v>18</v>
      </c>
      <c r="G85" s="23">
        <v>8.8</v>
      </c>
      <c r="H85" s="18"/>
      <c r="I85" s="23">
        <v>9.8</v>
      </c>
      <c r="J85" s="18"/>
      <c r="K85" s="23">
        <v>9.2</v>
      </c>
      <c r="M85" s="17">
        <f>AVERAGE(G85,I85,K85)</f>
        <v>9.266666666666667</v>
      </c>
    </row>
    <row r="86" spans="2:13" ht="12.75">
      <c r="B86" s="4" t="s">
        <v>51</v>
      </c>
      <c r="C86" s="4"/>
      <c r="D86" s="4" t="s">
        <v>19</v>
      </c>
      <c r="G86" s="64">
        <v>325</v>
      </c>
      <c r="H86" s="7"/>
      <c r="I86" s="64">
        <v>335</v>
      </c>
      <c r="J86" s="7"/>
      <c r="K86" s="64">
        <v>337</v>
      </c>
      <c r="M86" s="20">
        <f>AVERAGE(G86,I86,K86)</f>
        <v>332.3333333333333</v>
      </c>
    </row>
    <row r="87" spans="2:13" ht="12.75">
      <c r="B87" s="4"/>
      <c r="C87" s="4"/>
      <c r="G87" s="18"/>
      <c r="H87" s="18"/>
      <c r="I87" s="19"/>
      <c r="J87" s="18"/>
      <c r="K87" s="18"/>
      <c r="M87" s="17"/>
    </row>
    <row r="88" spans="2:11" ht="12.75">
      <c r="B88" s="4" t="s">
        <v>57</v>
      </c>
      <c r="C88" s="4" t="s">
        <v>151</v>
      </c>
      <c r="D88" s="4" t="s">
        <v>224</v>
      </c>
      <c r="G88" s="18"/>
      <c r="H88" s="18"/>
      <c r="I88" s="19"/>
      <c r="J88" s="18"/>
      <c r="K88" s="18"/>
    </row>
    <row r="89" spans="2:13" ht="12.75">
      <c r="B89" s="4" t="s">
        <v>52</v>
      </c>
      <c r="C89" s="4"/>
      <c r="D89" s="4" t="s">
        <v>17</v>
      </c>
      <c r="G89" s="18">
        <v>32261</v>
      </c>
      <c r="H89" s="18"/>
      <c r="I89" s="19">
        <v>30828</v>
      </c>
      <c r="J89" s="18"/>
      <c r="K89" s="18">
        <v>28416</v>
      </c>
      <c r="M89" s="20">
        <f>AVERAGE(G89,I89,K89)</f>
        <v>30501.666666666668</v>
      </c>
    </row>
    <row r="90" spans="2:13" ht="12.75">
      <c r="B90" s="4" t="s">
        <v>54</v>
      </c>
      <c r="C90" s="4"/>
      <c r="D90" s="4" t="s">
        <v>18</v>
      </c>
      <c r="G90" s="18">
        <v>16.1</v>
      </c>
      <c r="H90" s="18"/>
      <c r="I90" s="19">
        <v>16.5</v>
      </c>
      <c r="J90" s="18"/>
      <c r="K90" s="18">
        <v>16.4</v>
      </c>
      <c r="M90" s="17">
        <f>AVERAGE(G90,I90,K90)</f>
        <v>16.333333333333332</v>
      </c>
    </row>
    <row r="91" spans="2:13" ht="12.75">
      <c r="B91" s="4" t="s">
        <v>55</v>
      </c>
      <c r="C91" s="4"/>
      <c r="D91" s="4" t="s">
        <v>18</v>
      </c>
      <c r="G91" s="5">
        <v>8.6</v>
      </c>
      <c r="H91" s="18"/>
      <c r="I91" s="19">
        <v>8.6</v>
      </c>
      <c r="J91" s="18"/>
      <c r="K91" s="5">
        <v>8.9</v>
      </c>
      <c r="M91" s="17">
        <f>AVERAGE(G91,I91,K91)</f>
        <v>8.700000000000001</v>
      </c>
    </row>
    <row r="92" spans="2:13" ht="12.75">
      <c r="B92" s="4" t="s">
        <v>51</v>
      </c>
      <c r="C92" s="4"/>
      <c r="D92" s="4" t="s">
        <v>19</v>
      </c>
      <c r="G92" s="18">
        <v>328</v>
      </c>
      <c r="H92" s="18"/>
      <c r="I92" s="19">
        <v>331</v>
      </c>
      <c r="J92" s="18"/>
      <c r="K92" s="18">
        <v>337</v>
      </c>
      <c r="M92" s="20">
        <f>AVERAGE(G92,I92,K92)</f>
        <v>332</v>
      </c>
    </row>
    <row r="93" spans="2:11" ht="12.75">
      <c r="B93" s="4"/>
      <c r="C93" s="4"/>
      <c r="E93" s="15"/>
      <c r="F93" s="13"/>
      <c r="G93" s="51"/>
      <c r="I93" s="51"/>
      <c r="K93" s="51"/>
    </row>
    <row r="94" spans="1:13" ht="12.75">
      <c r="A94" s="15" t="s">
        <v>59</v>
      </c>
      <c r="B94" s="12" t="s">
        <v>166</v>
      </c>
      <c r="C94" s="13" t="s">
        <v>122</v>
      </c>
      <c r="G94" s="15" t="s">
        <v>169</v>
      </c>
      <c r="H94" s="15"/>
      <c r="I94" s="15" t="s">
        <v>170</v>
      </c>
      <c r="J94" s="15"/>
      <c r="K94" s="15" t="s">
        <v>171</v>
      </c>
      <c r="M94" s="15" t="s">
        <v>172</v>
      </c>
    </row>
    <row r="95" spans="3:13" ht="12.75">
      <c r="C95" s="88"/>
      <c r="D95" s="36"/>
      <c r="E95" s="50"/>
      <c r="F95" s="13"/>
      <c r="G95" s="15"/>
      <c r="H95" s="15"/>
      <c r="I95" s="15"/>
      <c r="J95" s="15"/>
      <c r="K95" s="15"/>
      <c r="M95" s="15"/>
    </row>
    <row r="96" spans="2:13" ht="12.75">
      <c r="B96" s="4" t="s">
        <v>61</v>
      </c>
      <c r="C96" s="4" t="s">
        <v>223</v>
      </c>
      <c r="D96" s="4" t="s">
        <v>16</v>
      </c>
      <c r="E96" s="15" t="s">
        <v>15</v>
      </c>
      <c r="G96" s="17">
        <v>35.58</v>
      </c>
      <c r="H96" s="17"/>
      <c r="I96" s="17">
        <v>49.86</v>
      </c>
      <c r="J96" s="17"/>
      <c r="K96" s="17">
        <v>52.61</v>
      </c>
      <c r="L96" s="17"/>
      <c r="M96" s="17">
        <f>AVERAGE(G96,I96,K96)</f>
        <v>46.01666666666667</v>
      </c>
    </row>
    <row r="97" spans="2:13" ht="12.75">
      <c r="B97" s="4"/>
      <c r="C97" s="4"/>
      <c r="G97" s="23"/>
      <c r="H97" s="18"/>
      <c r="I97" s="23"/>
      <c r="J97" s="18"/>
      <c r="K97" s="23"/>
      <c r="M97" s="17"/>
    </row>
    <row r="98" spans="2:13" ht="12.75">
      <c r="B98" s="4" t="s">
        <v>57</v>
      </c>
      <c r="C98" s="4" t="s">
        <v>151</v>
      </c>
      <c r="L98" s="15"/>
      <c r="M98" s="20"/>
    </row>
    <row r="99" spans="2:13" ht="12.75">
      <c r="B99" s="4" t="s">
        <v>52</v>
      </c>
      <c r="C99" s="4"/>
      <c r="D99" s="4" t="s">
        <v>17</v>
      </c>
      <c r="G99" s="18">
        <v>27311</v>
      </c>
      <c r="H99" s="18"/>
      <c r="I99" s="18">
        <v>27719</v>
      </c>
      <c r="J99" s="7"/>
      <c r="K99" s="18">
        <v>26369</v>
      </c>
      <c r="M99" s="20">
        <f>AVERAGE(G99,I99,K99)</f>
        <v>27133</v>
      </c>
    </row>
    <row r="100" spans="2:13" ht="12.75">
      <c r="B100" s="4" t="s">
        <v>54</v>
      </c>
      <c r="C100" s="4"/>
      <c r="D100" s="4" t="s">
        <v>18</v>
      </c>
      <c r="G100" s="23">
        <v>16</v>
      </c>
      <c r="H100" s="18"/>
      <c r="I100" s="23">
        <v>15.9</v>
      </c>
      <c r="J100" s="18"/>
      <c r="K100" s="23">
        <v>11.6</v>
      </c>
      <c r="M100" s="17">
        <f>AVERAGE(G100,I100,K100)</f>
        <v>14.5</v>
      </c>
    </row>
    <row r="101" spans="2:13" ht="12.75">
      <c r="B101" s="4" t="s">
        <v>55</v>
      </c>
      <c r="C101" s="4"/>
      <c r="D101" s="4" t="s">
        <v>18</v>
      </c>
      <c r="G101" s="23">
        <v>14.5</v>
      </c>
      <c r="H101" s="18"/>
      <c r="I101" s="23">
        <v>14.1</v>
      </c>
      <c r="J101" s="18"/>
      <c r="K101" s="23">
        <v>14.3</v>
      </c>
      <c r="M101" s="17">
        <f>AVERAGE(G101,I101,K101)</f>
        <v>14.300000000000002</v>
      </c>
    </row>
    <row r="102" spans="2:13" ht="12.75">
      <c r="B102" s="4" t="s">
        <v>51</v>
      </c>
      <c r="C102" s="4"/>
      <c r="D102" s="4" t="s">
        <v>19</v>
      </c>
      <c r="G102" s="64">
        <v>303</v>
      </c>
      <c r="H102" s="7"/>
      <c r="I102" s="64">
        <v>304</v>
      </c>
      <c r="J102" s="7"/>
      <c r="K102" s="64">
        <v>303</v>
      </c>
      <c r="M102" s="20">
        <f>AVERAGE(G102,I102,K102)</f>
        <v>303.3333333333333</v>
      </c>
    </row>
    <row r="103" spans="2:13" ht="12.75">
      <c r="B103" s="4"/>
      <c r="C103" s="4"/>
      <c r="G103" s="49"/>
      <c r="H103" s="49"/>
      <c r="I103" s="49"/>
      <c r="J103" s="49"/>
      <c r="K103" s="49"/>
      <c r="M103" s="89"/>
    </row>
    <row r="104" spans="2:13" ht="12.75">
      <c r="B104" s="4"/>
      <c r="C104" s="4"/>
      <c r="G104" s="49"/>
      <c r="H104" s="49"/>
      <c r="I104" s="49"/>
      <c r="J104" s="49"/>
      <c r="K104" s="49"/>
      <c r="M104" s="8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I84"/>
  <sheetViews>
    <sheetView workbookViewId="0" topLeftCell="B1">
      <selection activeCell="C1" sqref="C1"/>
    </sheetView>
  </sheetViews>
  <sheetFormatPr defaultColWidth="9.140625" defaultRowHeight="12.75"/>
  <cols>
    <col min="1" max="1" width="0.13671875" style="67" hidden="1" customWidth="1"/>
    <col min="2" max="2" width="15.421875" style="0" customWidth="1"/>
    <col min="3" max="3" width="7.28125" style="0" customWidth="1"/>
    <col min="5" max="5" width="4.8515625" style="0" customWidth="1"/>
    <col min="6" max="6" width="3.00390625" style="0" bestFit="1" customWidth="1"/>
    <col min="8" max="8" width="3.00390625" style="0" bestFit="1" customWidth="1"/>
    <col min="10" max="10" width="3.00390625" style="0" bestFit="1" customWidth="1"/>
    <col min="12" max="12" width="5.140625" style="0" customWidth="1"/>
    <col min="14" max="14" width="11.421875" style="0" customWidth="1"/>
    <col min="15" max="15" width="10.57421875" style="0" bestFit="1" customWidth="1"/>
    <col min="16" max="16" width="2.8515625" style="0" customWidth="1"/>
  </cols>
  <sheetData>
    <row r="1" ht="12.75">
      <c r="B1" s="2" t="s">
        <v>204</v>
      </c>
    </row>
    <row r="2" ht="12.75">
      <c r="B2" s="2"/>
    </row>
    <row r="3" ht="12.75">
      <c r="B3" s="2"/>
    </row>
    <row r="4" spans="1:13" ht="12.75">
      <c r="A4" s="67">
        <v>1</v>
      </c>
      <c r="B4" s="2" t="s">
        <v>181</v>
      </c>
      <c r="G4" s="96" t="s">
        <v>169</v>
      </c>
      <c r="H4" s="96"/>
      <c r="I4" s="96" t="s">
        <v>170</v>
      </c>
      <c r="J4" s="96"/>
      <c r="K4" s="96" t="s">
        <v>171</v>
      </c>
      <c r="L4" s="96"/>
      <c r="M4" s="96" t="s">
        <v>172</v>
      </c>
    </row>
    <row r="6" spans="1:61" s="70" customFormat="1" ht="12.75">
      <c r="A6" s="73"/>
      <c r="B6" s="70" t="s">
        <v>13</v>
      </c>
      <c r="C6" s="70" t="s">
        <v>223</v>
      </c>
      <c r="D6" s="70" t="s">
        <v>14</v>
      </c>
      <c r="E6" s="70" t="s">
        <v>15</v>
      </c>
      <c r="F6" s="71" t="s">
        <v>187</v>
      </c>
      <c r="G6" s="70">
        <v>0.00700006944</v>
      </c>
      <c r="H6" s="71" t="s">
        <v>187</v>
      </c>
      <c r="I6" s="70">
        <v>0.0050000496</v>
      </c>
      <c r="J6" s="71" t="s">
        <v>187</v>
      </c>
      <c r="K6" s="70">
        <v>0.01800017856</v>
      </c>
      <c r="L6" s="71" t="s">
        <v>187</v>
      </c>
      <c r="M6" s="70">
        <f>AVERAGE(G6,I6,K6)</f>
        <v>0.0100000992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72" customFormat="1" ht="12.75">
      <c r="A7" s="73"/>
      <c r="B7" s="72" t="s">
        <v>135</v>
      </c>
      <c r="C7" s="70" t="s">
        <v>223</v>
      </c>
      <c r="D7" s="72" t="s">
        <v>16</v>
      </c>
      <c r="E7" s="70" t="s">
        <v>15</v>
      </c>
      <c r="F7" s="71" t="s">
        <v>187</v>
      </c>
      <c r="G7" s="72">
        <v>194.4</v>
      </c>
      <c r="H7" s="71" t="s">
        <v>187</v>
      </c>
      <c r="I7" s="72">
        <v>86.6</v>
      </c>
      <c r="J7" s="71" t="s">
        <v>187</v>
      </c>
      <c r="K7" s="72">
        <v>67.6</v>
      </c>
      <c r="L7" s="71" t="s">
        <v>187</v>
      </c>
      <c r="M7" s="72">
        <f aca="true" t="shared" si="0" ref="M7:M12">AVERAGE(G7,I7,K7)</f>
        <v>116.2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72" customFormat="1" ht="12.75">
      <c r="A8" s="73"/>
      <c r="B8" s="72" t="s">
        <v>61</v>
      </c>
      <c r="C8" s="70" t="s">
        <v>223</v>
      </c>
      <c r="D8" s="72" t="s">
        <v>16</v>
      </c>
      <c r="E8" s="70" t="s">
        <v>15</v>
      </c>
      <c r="F8" s="71" t="s">
        <v>187</v>
      </c>
      <c r="G8" s="72">
        <v>128.1</v>
      </c>
      <c r="H8" s="71" t="s">
        <v>187</v>
      </c>
      <c r="I8" s="72">
        <v>74.7</v>
      </c>
      <c r="J8" s="71" t="s">
        <v>187</v>
      </c>
      <c r="K8" s="72">
        <v>61.1</v>
      </c>
      <c r="L8" s="71" t="s">
        <v>187</v>
      </c>
      <c r="M8" s="72">
        <f t="shared" si="0"/>
        <v>87.96666666666668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72" customFormat="1" ht="12.75">
      <c r="A9" s="73"/>
      <c r="B9" s="72" t="s">
        <v>188</v>
      </c>
      <c r="C9" s="70" t="s">
        <v>223</v>
      </c>
      <c r="D9" s="72" t="s">
        <v>16</v>
      </c>
      <c r="E9" s="70" t="s">
        <v>15</v>
      </c>
      <c r="F9" s="71" t="s">
        <v>187</v>
      </c>
      <c r="G9" s="72">
        <v>5.9</v>
      </c>
      <c r="H9" s="71" t="s">
        <v>187</v>
      </c>
      <c r="I9" s="72">
        <v>3.5</v>
      </c>
      <c r="J9" s="71" t="s">
        <v>187</v>
      </c>
      <c r="K9" s="72">
        <v>2.2</v>
      </c>
      <c r="L9" s="71" t="s">
        <v>187</v>
      </c>
      <c r="M9" s="72">
        <f t="shared" si="0"/>
        <v>3.866666666666667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72" customFormat="1" ht="12.75">
      <c r="A10" s="73"/>
      <c r="B10" s="72" t="s">
        <v>189</v>
      </c>
      <c r="C10" s="70" t="s">
        <v>223</v>
      </c>
      <c r="D10" s="72" t="s">
        <v>16</v>
      </c>
      <c r="E10" s="70" t="s">
        <v>15</v>
      </c>
      <c r="F10" s="71" t="s">
        <v>187</v>
      </c>
      <c r="G10" s="72">
        <v>4.7</v>
      </c>
      <c r="H10" s="71" t="s">
        <v>187</v>
      </c>
      <c r="I10" s="72">
        <v>3.2</v>
      </c>
      <c r="J10" s="71" t="s">
        <v>187</v>
      </c>
      <c r="K10" s="72">
        <v>1.6</v>
      </c>
      <c r="L10" s="71" t="s">
        <v>187</v>
      </c>
      <c r="M10" s="72">
        <f t="shared" si="0"/>
        <v>3.1666666666666665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72" customFormat="1" ht="12.75">
      <c r="A11" s="73"/>
      <c r="B11" s="72" t="s">
        <v>25</v>
      </c>
      <c r="C11" s="70" t="s">
        <v>223</v>
      </c>
      <c r="D11" s="72" t="s">
        <v>16</v>
      </c>
      <c r="E11" s="70" t="s">
        <v>15</v>
      </c>
      <c r="F11" s="71" t="s">
        <v>187</v>
      </c>
      <c r="G11" s="72">
        <v>1267.0906789388</v>
      </c>
      <c r="H11" s="71" t="s">
        <v>187</v>
      </c>
      <c r="I11" s="72">
        <v>1312.4735829122587</v>
      </c>
      <c r="J11" s="71" t="s">
        <v>187</v>
      </c>
      <c r="K11" s="72">
        <v>1078.1843411493</v>
      </c>
      <c r="L11" s="71" t="s">
        <v>187</v>
      </c>
      <c r="M11" s="72">
        <f t="shared" si="0"/>
        <v>1219.2495343334529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72" customFormat="1" ht="12.75">
      <c r="A12" s="73"/>
      <c r="B12" s="72" t="s">
        <v>26</v>
      </c>
      <c r="C12" s="70" t="s">
        <v>223</v>
      </c>
      <c r="D12" s="72" t="s">
        <v>16</v>
      </c>
      <c r="E12" s="70" t="s">
        <v>15</v>
      </c>
      <c r="F12" s="71" t="s">
        <v>187</v>
      </c>
      <c r="G12" s="72">
        <v>25.19807331197388</v>
      </c>
      <c r="H12" s="71" t="s">
        <v>187</v>
      </c>
      <c r="I12" s="72">
        <v>0.17731977515833472</v>
      </c>
      <c r="J12" s="71" t="s">
        <v>187</v>
      </c>
      <c r="K12" s="72">
        <v>8.2797835801729</v>
      </c>
      <c r="L12" s="71" t="s">
        <v>187</v>
      </c>
      <c r="M12" s="72">
        <f t="shared" si="0"/>
        <v>11.218392222435037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72" customFormat="1" ht="12.75">
      <c r="A13" s="73"/>
      <c r="B13" s="72" t="s">
        <v>56</v>
      </c>
      <c r="C13" s="70" t="s">
        <v>223</v>
      </c>
      <c r="D13" s="72" t="s">
        <v>16</v>
      </c>
      <c r="E13" s="70" t="s">
        <v>15</v>
      </c>
      <c r="F13" s="71"/>
      <c r="G13" s="72">
        <f>G11+2*G12</f>
        <v>1317.4868255627478</v>
      </c>
      <c r="H13" s="71"/>
      <c r="I13" s="72">
        <f>I11+2*I12</f>
        <v>1312.8282224625755</v>
      </c>
      <c r="J13" s="71"/>
      <c r="K13" s="72">
        <f>K11+2*K12</f>
        <v>1094.7439083096458</v>
      </c>
      <c r="L13" s="71"/>
      <c r="M13" s="72">
        <f>AVERAGE(G13,I13,K13)</f>
        <v>1241.686318778323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72" customFormat="1" ht="12.75">
      <c r="A14" s="73"/>
      <c r="B14" s="72" t="s">
        <v>109</v>
      </c>
      <c r="C14" s="72" t="s">
        <v>224</v>
      </c>
      <c r="D14" s="72" t="s">
        <v>35</v>
      </c>
      <c r="E14" s="70" t="s">
        <v>15</v>
      </c>
      <c r="F14" s="71" t="s">
        <v>187</v>
      </c>
      <c r="G14" s="72">
        <v>4.258333333333332</v>
      </c>
      <c r="H14" s="71" t="s">
        <v>187</v>
      </c>
      <c r="I14" s="72">
        <v>3.769230769230769</v>
      </c>
      <c r="J14" s="71" t="s">
        <v>187</v>
      </c>
      <c r="K14" s="72">
        <v>6.255319148936171</v>
      </c>
      <c r="L14" s="71" t="s">
        <v>187</v>
      </c>
      <c r="M14" s="72">
        <f aca="true" t="shared" si="1" ref="M14:M21">AVERAGE(G14,I14,K14)</f>
        <v>4.760961083833425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72" customFormat="1" ht="12.75">
      <c r="A15" s="73"/>
      <c r="B15" s="72" t="s">
        <v>108</v>
      </c>
      <c r="C15" s="72" t="s">
        <v>224</v>
      </c>
      <c r="D15" s="72" t="s">
        <v>35</v>
      </c>
      <c r="E15" s="70" t="s">
        <v>15</v>
      </c>
      <c r="F15" s="71" t="s">
        <v>187</v>
      </c>
      <c r="G15" s="72">
        <v>4.404166666666666</v>
      </c>
      <c r="H15" s="71" t="s">
        <v>187</v>
      </c>
      <c r="I15" s="72">
        <v>9.63846153846154</v>
      </c>
      <c r="J15" s="71" t="s">
        <v>187</v>
      </c>
      <c r="K15" s="72">
        <v>4.468085106382979</v>
      </c>
      <c r="L15" s="71" t="s">
        <v>187</v>
      </c>
      <c r="M15" s="72">
        <f t="shared" si="1"/>
        <v>6.170237770503729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72" customFormat="1" ht="12.75">
      <c r="A16" s="73"/>
      <c r="B16" s="72" t="s">
        <v>110</v>
      </c>
      <c r="C16" s="72" t="s">
        <v>224</v>
      </c>
      <c r="D16" s="72" t="s">
        <v>35</v>
      </c>
      <c r="E16" s="70" t="s">
        <v>15</v>
      </c>
      <c r="F16" s="71" t="s">
        <v>107</v>
      </c>
      <c r="G16" s="72">
        <v>13.125</v>
      </c>
      <c r="H16" s="71" t="s">
        <v>107</v>
      </c>
      <c r="I16" s="72">
        <v>33.38461538461539</v>
      </c>
      <c r="J16" s="71" t="s">
        <v>107</v>
      </c>
      <c r="K16" s="72">
        <v>28.595744680851</v>
      </c>
      <c r="L16" s="71" t="s">
        <v>187</v>
      </c>
      <c r="M16" s="72">
        <f t="shared" si="1"/>
        <v>25.035120021822127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72" customFormat="1" ht="12.75">
      <c r="A17" s="73"/>
      <c r="B17" s="72" t="s">
        <v>111</v>
      </c>
      <c r="C17" s="72" t="s">
        <v>224</v>
      </c>
      <c r="D17" s="72" t="s">
        <v>35</v>
      </c>
      <c r="E17" s="70" t="s">
        <v>15</v>
      </c>
      <c r="F17" s="71" t="s">
        <v>107</v>
      </c>
      <c r="G17" s="72">
        <v>1.085</v>
      </c>
      <c r="H17" s="71" t="s">
        <v>107</v>
      </c>
      <c r="I17" s="72">
        <v>2.2534615384615386</v>
      </c>
      <c r="J17" s="71" t="s">
        <v>107</v>
      </c>
      <c r="K17" s="72">
        <v>1.0425531914893618</v>
      </c>
      <c r="L17" s="71" t="s">
        <v>187</v>
      </c>
      <c r="M17" s="72">
        <f t="shared" si="1"/>
        <v>1.4603382433169667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72" customFormat="1" ht="12.75">
      <c r="A18" s="73"/>
      <c r="B18" s="72" t="s">
        <v>112</v>
      </c>
      <c r="C18" s="72" t="s">
        <v>224</v>
      </c>
      <c r="D18" s="72" t="s">
        <v>35</v>
      </c>
      <c r="E18" s="70" t="s">
        <v>15</v>
      </c>
      <c r="F18" s="71" t="s">
        <v>187</v>
      </c>
      <c r="G18" s="72">
        <v>64.45833333333333</v>
      </c>
      <c r="H18" s="71" t="s">
        <v>187</v>
      </c>
      <c r="I18" s="72">
        <v>82.3846153846154</v>
      </c>
      <c r="J18" s="71" t="s">
        <v>187</v>
      </c>
      <c r="K18" s="72">
        <v>10.723404255319151</v>
      </c>
      <c r="L18" s="71" t="s">
        <v>187</v>
      </c>
      <c r="M18" s="72">
        <f t="shared" si="1"/>
        <v>52.522117657755956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72" customFormat="1" ht="12.75">
      <c r="A19" s="73"/>
      <c r="B19" s="72" t="s">
        <v>113</v>
      </c>
      <c r="C19" s="72" t="s">
        <v>224</v>
      </c>
      <c r="D19" s="72" t="s">
        <v>35</v>
      </c>
      <c r="E19" s="70" t="s">
        <v>15</v>
      </c>
      <c r="F19" s="71" t="s">
        <v>187</v>
      </c>
      <c r="G19" s="72">
        <v>27.06666666666666</v>
      </c>
      <c r="H19" s="71" t="s">
        <v>107</v>
      </c>
      <c r="I19" s="72">
        <v>37.69230769230769</v>
      </c>
      <c r="J19" s="71" t="s">
        <v>107</v>
      </c>
      <c r="K19" s="72">
        <v>11.051063829787235</v>
      </c>
      <c r="L19" s="71" t="s">
        <v>187</v>
      </c>
      <c r="M19" s="72">
        <f t="shared" si="1"/>
        <v>25.270012729587197</v>
      </c>
      <c r="N19" t="s">
        <v>258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72" customFormat="1" ht="12.75">
      <c r="A20" s="73"/>
      <c r="B20" s="72" t="s">
        <v>190</v>
      </c>
      <c r="C20" s="72" t="s">
        <v>225</v>
      </c>
      <c r="D20" s="72" t="s">
        <v>35</v>
      </c>
      <c r="E20" s="70" t="s">
        <v>15</v>
      </c>
      <c r="F20" s="71" t="s">
        <v>107</v>
      </c>
      <c r="G20" s="72">
        <v>2.961538461538462</v>
      </c>
      <c r="H20" s="71" t="s">
        <v>187</v>
      </c>
      <c r="I20" s="72">
        <v>5.133333333333334</v>
      </c>
      <c r="J20" s="71" t="s">
        <v>107</v>
      </c>
      <c r="K20" s="72">
        <v>3.458823529411765</v>
      </c>
      <c r="L20" s="71" t="s">
        <v>187</v>
      </c>
      <c r="M20" s="72">
        <f t="shared" si="1"/>
        <v>3.851231774761187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72" customFormat="1" ht="12.75">
      <c r="A21" s="73"/>
      <c r="B21" s="72" t="s">
        <v>115</v>
      </c>
      <c r="C21" s="72" t="s">
        <v>224</v>
      </c>
      <c r="D21" s="72" t="s">
        <v>35</v>
      </c>
      <c r="E21" s="70" t="s">
        <v>15</v>
      </c>
      <c r="F21" s="71" t="s">
        <v>187</v>
      </c>
      <c r="G21" s="72">
        <v>105.29166666666664</v>
      </c>
      <c r="H21" s="71" t="s">
        <v>187</v>
      </c>
      <c r="I21" s="72">
        <v>527.6923076923077</v>
      </c>
      <c r="J21" s="71" t="s">
        <v>187</v>
      </c>
      <c r="K21" s="72">
        <v>431.91489361702133</v>
      </c>
      <c r="L21" s="71" t="s">
        <v>187</v>
      </c>
      <c r="M21" s="72">
        <f t="shared" si="1"/>
        <v>354.9662893253319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72" customFormat="1" ht="12.75">
      <c r="A22" s="73"/>
      <c r="B22" s="72" t="s">
        <v>116</v>
      </c>
      <c r="C22" s="72" t="s">
        <v>224</v>
      </c>
      <c r="D22" s="72" t="s">
        <v>35</v>
      </c>
      <c r="E22" s="70" t="s">
        <v>15</v>
      </c>
      <c r="F22" s="71" t="s">
        <v>107</v>
      </c>
      <c r="G22" s="72">
        <v>10.529166666666665</v>
      </c>
      <c r="H22" s="71" t="s">
        <v>107</v>
      </c>
      <c r="I22" s="72">
        <v>7.6461538461538465</v>
      </c>
      <c r="J22" s="71" t="s">
        <v>107</v>
      </c>
      <c r="K22" s="72">
        <v>8.7872340425532</v>
      </c>
      <c r="L22" s="71">
        <v>100</v>
      </c>
      <c r="M22" s="72">
        <f>AVERAGE(G22,I22,K22)</f>
        <v>8.987518185124571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72" customFormat="1" ht="12.75">
      <c r="A23" s="73"/>
      <c r="B23" s="72" t="s">
        <v>119</v>
      </c>
      <c r="C23" s="72" t="s">
        <v>224</v>
      </c>
      <c r="D23" s="72" t="s">
        <v>35</v>
      </c>
      <c r="E23" s="70" t="s">
        <v>15</v>
      </c>
      <c r="F23" s="71" t="s">
        <v>107</v>
      </c>
      <c r="G23" s="72">
        <v>4.958333333333332</v>
      </c>
      <c r="H23" s="71" t="s">
        <v>107</v>
      </c>
      <c r="I23" s="72">
        <v>5.788461538461538</v>
      </c>
      <c r="J23" s="71" t="s">
        <v>107</v>
      </c>
      <c r="K23" s="72">
        <v>4.468085106382979</v>
      </c>
      <c r="L23" s="71">
        <v>100</v>
      </c>
      <c r="M23" s="72">
        <f>AVERAGE(G23,I23,K23)</f>
        <v>5.071626659392616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72" customFormat="1" ht="12.75">
      <c r="A24" s="73"/>
      <c r="B24" s="72" t="s">
        <v>120</v>
      </c>
      <c r="C24" s="72" t="s">
        <v>224</v>
      </c>
      <c r="D24" s="72" t="s">
        <v>35</v>
      </c>
      <c r="E24" s="70" t="s">
        <v>15</v>
      </c>
      <c r="F24" s="71" t="s">
        <v>107</v>
      </c>
      <c r="G24" s="72">
        <v>1.07625</v>
      </c>
      <c r="H24" s="71" t="s">
        <v>107</v>
      </c>
      <c r="I24" s="72">
        <v>1.1576923076923</v>
      </c>
      <c r="J24" s="71" t="s">
        <v>107</v>
      </c>
      <c r="K24" s="72">
        <v>1.8765957446808512</v>
      </c>
      <c r="L24" s="71">
        <v>100</v>
      </c>
      <c r="M24" s="72">
        <f>AVERAGE(G24,I24,K24)</f>
        <v>1.3701793507910505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72" customFormat="1" ht="12.75">
      <c r="A25" s="73"/>
      <c r="B25" s="72" t="s">
        <v>37</v>
      </c>
      <c r="C25" s="72" t="s">
        <v>224</v>
      </c>
      <c r="D25" s="72" t="s">
        <v>35</v>
      </c>
      <c r="E25" s="70" t="s">
        <v>15</v>
      </c>
      <c r="F25" s="71"/>
      <c r="G25" s="72">
        <f>G15+G17+G19</f>
        <v>32.555833333333325</v>
      </c>
      <c r="H25" s="71"/>
      <c r="I25" s="72">
        <f>I15+I17+I19</f>
        <v>49.58423076923077</v>
      </c>
      <c r="J25" s="71"/>
      <c r="K25" s="72">
        <f>K15+K17+K19</f>
        <v>16.561702127659576</v>
      </c>
      <c r="L25" s="71"/>
      <c r="M25" s="72">
        <f>AVERAGE(G25,I25,K25)</f>
        <v>32.90058874340789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72" customFormat="1" ht="12.75">
      <c r="A26" s="73"/>
      <c r="B26" s="72" t="s">
        <v>36</v>
      </c>
      <c r="C26" s="72" t="s">
        <v>224</v>
      </c>
      <c r="D26" s="72" t="s">
        <v>35</v>
      </c>
      <c r="E26" s="70" t="s">
        <v>15</v>
      </c>
      <c r="F26" s="71"/>
      <c r="G26" s="72">
        <f>G21+G18</f>
        <v>169.74999999999997</v>
      </c>
      <c r="H26" s="71"/>
      <c r="I26" s="72">
        <f>I21+I18</f>
        <v>610.0769230769231</v>
      </c>
      <c r="J26" s="71"/>
      <c r="K26" s="72">
        <f>K21+K18</f>
        <v>442.6382978723405</v>
      </c>
      <c r="L26" s="71"/>
      <c r="M26" s="72">
        <f>AVERAGE(G26,I26,K26)</f>
        <v>407.4884069830878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74" customFormat="1" ht="12.75">
      <c r="A27" s="73"/>
      <c r="G27" s="71"/>
      <c r="H27" s="71"/>
      <c r="I27" s="71"/>
      <c r="J27" s="71"/>
      <c r="K27" s="71"/>
      <c r="L27" s="71"/>
      <c r="M27" s="7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74" customFormat="1" ht="12.75">
      <c r="A28" s="73"/>
      <c r="B28" s="72" t="s">
        <v>57</v>
      </c>
      <c r="C28" s="74" t="s">
        <v>192</v>
      </c>
      <c r="D28" s="74" t="s">
        <v>223</v>
      </c>
      <c r="G28" s="71"/>
      <c r="H28" s="71"/>
      <c r="I28" s="71"/>
      <c r="J28" s="71"/>
      <c r="K28" s="71"/>
      <c r="L28" s="71"/>
      <c r="M28" s="7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74" customFormat="1" ht="12.75">
      <c r="A29" s="73"/>
      <c r="B29" s="4" t="s">
        <v>52</v>
      </c>
      <c r="C29" s="4"/>
      <c r="D29" s="4" t="s">
        <v>17</v>
      </c>
      <c r="E29" s="4"/>
      <c r="G29" s="71">
        <v>27100</v>
      </c>
      <c r="H29" s="71"/>
      <c r="I29" s="71">
        <v>27100</v>
      </c>
      <c r="J29" s="71"/>
      <c r="K29" s="71">
        <v>27500</v>
      </c>
      <c r="L29" s="71"/>
      <c r="M29" s="7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74" customFormat="1" ht="12.75">
      <c r="A30" s="73"/>
      <c r="B30" s="4" t="s">
        <v>54</v>
      </c>
      <c r="C30" s="4"/>
      <c r="D30" s="4" t="s">
        <v>18</v>
      </c>
      <c r="E30" s="4"/>
      <c r="G30" s="71">
        <v>15.9</v>
      </c>
      <c r="H30" s="71"/>
      <c r="I30" s="71">
        <v>15.9</v>
      </c>
      <c r="J30" s="71"/>
      <c r="K30" s="71">
        <v>16.2</v>
      </c>
      <c r="L30" s="71"/>
      <c r="M30" s="7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74" customFormat="1" ht="12.75">
      <c r="A31" s="73"/>
      <c r="B31" s="4" t="s">
        <v>55</v>
      </c>
      <c r="C31" s="4"/>
      <c r="D31" s="4" t="s">
        <v>18</v>
      </c>
      <c r="E31" s="4"/>
      <c r="G31" s="71">
        <v>9.7</v>
      </c>
      <c r="H31" s="71"/>
      <c r="I31" s="71">
        <v>10</v>
      </c>
      <c r="J31" s="71"/>
      <c r="K31" s="71">
        <v>9.5</v>
      </c>
      <c r="L31" s="71"/>
      <c r="M31" s="7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74" customFormat="1" ht="12.75">
      <c r="A32" s="73"/>
      <c r="B32" s="4" t="s">
        <v>51</v>
      </c>
      <c r="C32" s="4"/>
      <c r="D32" s="4" t="s">
        <v>19</v>
      </c>
      <c r="E32" s="4"/>
      <c r="G32" s="71">
        <v>346.2</v>
      </c>
      <c r="H32" s="71"/>
      <c r="I32" s="71">
        <v>333.5</v>
      </c>
      <c r="J32" s="71"/>
      <c r="K32" s="71">
        <v>349.5</v>
      </c>
      <c r="L32" s="71"/>
      <c r="M32" s="7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74" customFormat="1" ht="12.75">
      <c r="A33" s="73"/>
      <c r="G33" s="71"/>
      <c r="H33" s="71"/>
      <c r="I33" s="71"/>
      <c r="J33" s="71"/>
      <c r="K33" s="71"/>
      <c r="L33" s="71"/>
      <c r="M33" s="7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74" customFormat="1" ht="12.75">
      <c r="A34" s="73"/>
      <c r="B34" s="72" t="s">
        <v>57</v>
      </c>
      <c r="C34" s="74" t="s">
        <v>123</v>
      </c>
      <c r="D34" s="74" t="s">
        <v>224</v>
      </c>
      <c r="G34" s="71"/>
      <c r="H34" s="71"/>
      <c r="I34" s="71"/>
      <c r="J34" s="71"/>
      <c r="K34" s="71"/>
      <c r="L34" s="71"/>
      <c r="M34" s="7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74" customFormat="1" ht="12.75">
      <c r="A35" s="73"/>
      <c r="B35" s="4" t="s">
        <v>52</v>
      </c>
      <c r="C35" s="4"/>
      <c r="D35" s="4" t="s">
        <v>17</v>
      </c>
      <c r="E35" s="4"/>
      <c r="G35" s="71">
        <v>28000</v>
      </c>
      <c r="H35" s="71"/>
      <c r="I35" s="71">
        <v>28100</v>
      </c>
      <c r="J35" s="71"/>
      <c r="K35" s="71">
        <v>30000</v>
      </c>
      <c r="L35" s="71"/>
      <c r="M35" s="7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74" customFormat="1" ht="12.75">
      <c r="A36" s="73"/>
      <c r="B36" s="4" t="s">
        <v>54</v>
      </c>
      <c r="C36" s="4"/>
      <c r="D36" s="4" t="s">
        <v>18</v>
      </c>
      <c r="E36" s="4"/>
      <c r="G36" s="71">
        <v>16.2</v>
      </c>
      <c r="H36" s="71"/>
      <c r="I36" s="71">
        <v>15.8</v>
      </c>
      <c r="J36" s="71"/>
      <c r="K36" s="71">
        <v>16.3</v>
      </c>
      <c r="L36" s="71"/>
      <c r="M36" s="7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74" customFormat="1" ht="12.75">
      <c r="A37" s="73"/>
      <c r="B37" s="4" t="s">
        <v>55</v>
      </c>
      <c r="C37" s="4"/>
      <c r="D37" s="4" t="s">
        <v>18</v>
      </c>
      <c r="E37" s="4"/>
      <c r="G37" s="71">
        <v>10.3</v>
      </c>
      <c r="H37" s="71"/>
      <c r="I37" s="71">
        <v>10.9</v>
      </c>
      <c r="J37" s="71"/>
      <c r="K37" s="71">
        <v>6.7</v>
      </c>
      <c r="L37" s="71"/>
      <c r="M37" s="7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74" customFormat="1" ht="12.75">
      <c r="A38" s="73"/>
      <c r="B38" s="4" t="s">
        <v>51</v>
      </c>
      <c r="C38" s="4"/>
      <c r="D38" s="4" t="s">
        <v>19</v>
      </c>
      <c r="E38" s="4"/>
      <c r="G38" s="71">
        <v>340</v>
      </c>
      <c r="H38" s="71"/>
      <c r="I38" s="71">
        <v>340.1</v>
      </c>
      <c r="J38" s="71"/>
      <c r="K38" s="71">
        <v>347.5</v>
      </c>
      <c r="L38" s="71"/>
      <c r="M38" s="7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72" customFormat="1" ht="12.75">
      <c r="A39" s="73"/>
      <c r="F39" s="71"/>
      <c r="H39" s="71"/>
      <c r="J39" s="71"/>
      <c r="L39" s="7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72" customFormat="1" ht="12.75">
      <c r="A40" s="73"/>
      <c r="B40" s="72" t="s">
        <v>57</v>
      </c>
      <c r="C40" s="74" t="s">
        <v>191</v>
      </c>
      <c r="D40" s="72" t="s">
        <v>225</v>
      </c>
      <c r="F40" s="71"/>
      <c r="H40" s="71"/>
      <c r="J40" s="71"/>
      <c r="L40" s="7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74" customFormat="1" ht="12.75">
      <c r="A41" s="73"/>
      <c r="B41" s="4" t="s">
        <v>52</v>
      </c>
      <c r="C41" s="4"/>
      <c r="D41" s="4" t="s">
        <v>17</v>
      </c>
      <c r="E41" s="4"/>
      <c r="G41" s="71">
        <v>29100</v>
      </c>
      <c r="H41" s="71"/>
      <c r="I41" s="71">
        <v>28300</v>
      </c>
      <c r="J41" s="71"/>
      <c r="K41" s="71">
        <v>27100</v>
      </c>
      <c r="L41" s="71"/>
      <c r="M41" s="7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74" customFormat="1" ht="12.75">
      <c r="A42" s="73"/>
      <c r="B42" s="4" t="s">
        <v>54</v>
      </c>
      <c r="C42" s="4"/>
      <c r="D42" s="4" t="s">
        <v>18</v>
      </c>
      <c r="E42" s="4"/>
      <c r="G42" s="71">
        <v>15.8</v>
      </c>
      <c r="H42" s="71"/>
      <c r="I42" s="71">
        <v>15.9</v>
      </c>
      <c r="J42" s="71"/>
      <c r="K42" s="71">
        <v>15.9</v>
      </c>
      <c r="L42" s="71"/>
      <c r="M42" s="7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74" customFormat="1" ht="12.75">
      <c r="A43" s="73"/>
      <c r="B43" s="4" t="s">
        <v>55</v>
      </c>
      <c r="C43" s="4"/>
      <c r="D43" s="4" t="s">
        <v>18</v>
      </c>
      <c r="E43" s="4"/>
      <c r="G43" s="71">
        <v>9.1</v>
      </c>
      <c r="H43" s="71"/>
      <c r="I43" s="71">
        <v>12.7</v>
      </c>
      <c r="J43" s="71"/>
      <c r="K43" s="71">
        <v>14</v>
      </c>
      <c r="L43" s="71"/>
      <c r="M43" s="7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74" customFormat="1" ht="12.75">
      <c r="A44" s="73"/>
      <c r="B44" s="4" t="s">
        <v>51</v>
      </c>
      <c r="C44" s="4"/>
      <c r="D44" s="4" t="s">
        <v>19</v>
      </c>
      <c r="E44" s="4"/>
      <c r="G44" s="71">
        <v>346.2</v>
      </c>
      <c r="H44" s="71"/>
      <c r="I44" s="71">
        <v>343</v>
      </c>
      <c r="J44" s="71"/>
      <c r="K44" s="71">
        <v>351.5</v>
      </c>
      <c r="L44" s="71"/>
      <c r="M44" s="7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72" customFormat="1" ht="12.75">
      <c r="A45" s="73"/>
      <c r="F45" s="71"/>
      <c r="H45" s="71"/>
      <c r="J45" s="71"/>
      <c r="L45" s="7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72" customFormat="1" ht="12.75">
      <c r="A46" s="73">
        <v>2</v>
      </c>
      <c r="B46" s="75" t="s">
        <v>186</v>
      </c>
      <c r="F46" s="71"/>
      <c r="G46" s="96" t="s">
        <v>169</v>
      </c>
      <c r="H46" s="96"/>
      <c r="I46" s="96" t="s">
        <v>170</v>
      </c>
      <c r="J46" s="96"/>
      <c r="K46" s="96" t="s">
        <v>171</v>
      </c>
      <c r="L46" s="96"/>
      <c r="M46" s="96" t="s">
        <v>172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72" customFormat="1" ht="12.75">
      <c r="A47" s="73"/>
      <c r="F47" s="71"/>
      <c r="H47" s="71"/>
      <c r="J47" s="71"/>
      <c r="L47" s="7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70" customFormat="1" ht="12.75">
      <c r="A48" s="73"/>
      <c r="B48" s="70" t="s">
        <v>13</v>
      </c>
      <c r="C48" s="70" t="s">
        <v>223</v>
      </c>
      <c r="D48" s="70" t="s">
        <v>14</v>
      </c>
      <c r="E48" s="70" t="s">
        <v>15</v>
      </c>
      <c r="F48" s="71" t="s">
        <v>187</v>
      </c>
      <c r="G48" s="70">
        <v>0.014700145824</v>
      </c>
      <c r="H48" s="71" t="s">
        <v>187</v>
      </c>
      <c r="I48" s="70">
        <v>0.01350013392</v>
      </c>
      <c r="J48" s="71" t="s">
        <v>187</v>
      </c>
      <c r="K48" s="70">
        <v>0.011100110112</v>
      </c>
      <c r="L48" s="71" t="s">
        <v>187</v>
      </c>
      <c r="M48" s="70">
        <f>AVERAGE(G48,I48,K48)</f>
        <v>0.013100129952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72" customFormat="1" ht="12.75">
      <c r="A49" s="73"/>
      <c r="B49" s="72" t="s">
        <v>25</v>
      </c>
      <c r="C49" s="70" t="s">
        <v>223</v>
      </c>
      <c r="D49" s="72" t="s">
        <v>16</v>
      </c>
      <c r="E49" s="70" t="s">
        <v>15</v>
      </c>
      <c r="F49" s="71" t="s">
        <v>187</v>
      </c>
      <c r="G49" s="72">
        <v>543.0722014850445</v>
      </c>
      <c r="H49" s="71" t="s">
        <v>187</v>
      </c>
      <c r="I49" s="72">
        <v>469.0549721512348</v>
      </c>
      <c r="J49" s="71" t="s">
        <v>187</v>
      </c>
      <c r="K49" s="72">
        <v>559.6319279922375</v>
      </c>
      <c r="L49" s="71" t="s">
        <v>187</v>
      </c>
      <c r="M49" s="72">
        <f>AVERAGE(G49,I49,K49)</f>
        <v>523.919700542839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72" customFormat="1" ht="12.75">
      <c r="A50" s="73"/>
      <c r="B50" s="72" t="s">
        <v>26</v>
      </c>
      <c r="C50" s="70" t="s">
        <v>223</v>
      </c>
      <c r="D50" s="72" t="s">
        <v>16</v>
      </c>
      <c r="E50" s="70" t="s">
        <v>15</v>
      </c>
      <c r="F50" s="71" t="s">
        <v>187</v>
      </c>
      <c r="G50" s="72">
        <v>0.5295092631327</v>
      </c>
      <c r="H50" s="71" t="s">
        <v>187</v>
      </c>
      <c r="I50" s="72">
        <v>0.37805032600061333</v>
      </c>
      <c r="J50" s="71" t="s">
        <v>187</v>
      </c>
      <c r="K50" s="72">
        <v>0.25722839921787</v>
      </c>
      <c r="L50" s="71" t="s">
        <v>187</v>
      </c>
      <c r="M50" s="72">
        <f>AVERAGE(G50,I50,K50)</f>
        <v>0.38826266278372773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72" customFormat="1" ht="12.75">
      <c r="A51" s="73"/>
      <c r="B51" s="72" t="s">
        <v>56</v>
      </c>
      <c r="C51" s="70" t="s">
        <v>223</v>
      </c>
      <c r="D51" s="72" t="s">
        <v>16</v>
      </c>
      <c r="E51" s="70" t="s">
        <v>15</v>
      </c>
      <c r="F51" s="71"/>
      <c r="G51" s="72">
        <f>G49+2*G50</f>
        <v>544.1312200113099</v>
      </c>
      <c r="H51" s="71"/>
      <c r="I51" s="72">
        <f>I49+2*I50</f>
        <v>469.811072803236</v>
      </c>
      <c r="J51" s="71"/>
      <c r="K51" s="72">
        <f>K49+2*K50</f>
        <v>560.1463847906732</v>
      </c>
      <c r="L51" s="71"/>
      <c r="M51" s="72">
        <f>AVERAGE(G51,I51,K51)</f>
        <v>524.6962258684064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72" customFormat="1" ht="12.75">
      <c r="A52" s="73"/>
      <c r="B52" s="72" t="s">
        <v>109</v>
      </c>
      <c r="C52" s="72" t="s">
        <v>224</v>
      </c>
      <c r="D52" s="72" t="s">
        <v>35</v>
      </c>
      <c r="E52" s="70" t="s">
        <v>15</v>
      </c>
      <c r="F52" s="71" t="s">
        <v>187</v>
      </c>
      <c r="G52" s="72">
        <v>2.9987496499795707</v>
      </c>
      <c r="H52" s="71" t="s">
        <v>187</v>
      </c>
      <c r="I52" s="72">
        <v>2.783837330552659</v>
      </c>
      <c r="J52" s="71" t="s">
        <v>187</v>
      </c>
      <c r="K52" s="72">
        <v>2.9130658436214</v>
      </c>
      <c r="L52" s="71" t="s">
        <v>187</v>
      </c>
      <c r="M52" s="72">
        <f aca="true" t="shared" si="2" ref="M52:M59">AVERAGE(G52,I52,K52)</f>
        <v>2.8985509413845434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72" customFormat="1" ht="12.75">
      <c r="A53" s="73"/>
      <c r="B53" s="72" t="s">
        <v>108</v>
      </c>
      <c r="C53" s="72" t="s">
        <v>224</v>
      </c>
      <c r="D53" s="72" t="s">
        <v>35</v>
      </c>
      <c r="E53" s="70" t="s">
        <v>15</v>
      </c>
      <c r="F53" s="71" t="s">
        <v>187</v>
      </c>
      <c r="G53" s="72">
        <v>20.4550472813176</v>
      </c>
      <c r="H53" s="71" t="s">
        <v>187</v>
      </c>
      <c r="I53" s="72">
        <v>26.491355242356</v>
      </c>
      <c r="J53" s="71" t="s">
        <v>187</v>
      </c>
      <c r="K53" s="72">
        <v>26.325483920134122</v>
      </c>
      <c r="L53" s="71" t="s">
        <v>187</v>
      </c>
      <c r="M53" s="72">
        <f t="shared" si="2"/>
        <v>24.423962147935907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72" customFormat="1" ht="12.75">
      <c r="A54" s="73"/>
      <c r="B54" s="72" t="s">
        <v>110</v>
      </c>
      <c r="C54" s="72" t="s">
        <v>224</v>
      </c>
      <c r="D54" s="72" t="s">
        <v>35</v>
      </c>
      <c r="E54" s="70" t="s">
        <v>15</v>
      </c>
      <c r="F54" s="71" t="s">
        <v>187</v>
      </c>
      <c r="G54" s="72">
        <v>70.1032202942244</v>
      </c>
      <c r="H54" s="71" t="s">
        <v>187</v>
      </c>
      <c r="I54" s="72">
        <v>89.35219819031923</v>
      </c>
      <c r="J54" s="71" t="s">
        <v>187</v>
      </c>
      <c r="K54" s="72">
        <v>101.63363054412436</v>
      </c>
      <c r="L54" s="71" t="s">
        <v>187</v>
      </c>
      <c r="M54" s="72">
        <f t="shared" si="2"/>
        <v>87.029683009556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72" customFormat="1" ht="12.75">
      <c r="A55" s="73"/>
      <c r="B55" s="72" t="s">
        <v>111</v>
      </c>
      <c r="C55" s="72" t="s">
        <v>224</v>
      </c>
      <c r="D55" s="72" t="s">
        <v>35</v>
      </c>
      <c r="E55" s="70" t="s">
        <v>15</v>
      </c>
      <c r="F55" s="71" t="s">
        <v>187</v>
      </c>
      <c r="G55" s="72">
        <v>2.919312573158919</v>
      </c>
      <c r="H55" s="71" t="s">
        <v>187</v>
      </c>
      <c r="I55" s="72">
        <v>4.624762016885869</v>
      </c>
      <c r="J55" s="71" t="s">
        <v>187</v>
      </c>
      <c r="K55" s="72">
        <v>6.214540466392318</v>
      </c>
      <c r="L55" s="71" t="s">
        <v>187</v>
      </c>
      <c r="M55" s="72">
        <f t="shared" si="2"/>
        <v>4.586205018812369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72" customFormat="1" ht="12.75">
      <c r="A56" s="73"/>
      <c r="B56" s="72" t="s">
        <v>112</v>
      </c>
      <c r="C56" s="72" t="s">
        <v>224</v>
      </c>
      <c r="D56" s="72" t="s">
        <v>35</v>
      </c>
      <c r="E56" s="70" t="s">
        <v>15</v>
      </c>
      <c r="F56" s="71" t="s">
        <v>187</v>
      </c>
      <c r="G56" s="72">
        <v>36.5410553374994</v>
      </c>
      <c r="H56" s="71" t="s">
        <v>187</v>
      </c>
      <c r="I56" s="72">
        <v>55.2277405899963</v>
      </c>
      <c r="J56" s="71" t="s">
        <v>187</v>
      </c>
      <c r="K56" s="72">
        <v>63.87166590458771</v>
      </c>
      <c r="L56" s="71" t="s">
        <v>187</v>
      </c>
      <c r="M56" s="72">
        <f t="shared" si="2"/>
        <v>51.8801539440278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72" customFormat="1" ht="12.75">
      <c r="A57" s="73"/>
      <c r="B57" s="72" t="s">
        <v>113</v>
      </c>
      <c r="C57" s="72" t="s">
        <v>224</v>
      </c>
      <c r="D57" s="72" t="s">
        <v>35</v>
      </c>
      <c r="E57" s="70" t="s">
        <v>15</v>
      </c>
      <c r="F57" s="71" t="s">
        <v>187</v>
      </c>
      <c r="G57" s="72">
        <v>72.88351798294718</v>
      </c>
      <c r="H57" s="71" t="s">
        <v>187</v>
      </c>
      <c r="I57" s="72">
        <v>103.04688183255409</v>
      </c>
      <c r="J57" s="71" t="s">
        <v>187</v>
      </c>
      <c r="K57" s="72">
        <v>137.88511659808</v>
      </c>
      <c r="L57" s="71" t="s">
        <v>187</v>
      </c>
      <c r="M57" s="72">
        <f t="shared" si="2"/>
        <v>104.60517213786044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72" customFormat="1" ht="12.75">
      <c r="A58" s="73"/>
      <c r="B58" s="72" t="s">
        <v>190</v>
      </c>
      <c r="C58" s="72" t="s">
        <v>225</v>
      </c>
      <c r="D58" s="72" t="s">
        <v>35</v>
      </c>
      <c r="E58" s="70" t="s">
        <v>15</v>
      </c>
      <c r="F58" s="71" t="s">
        <v>107</v>
      </c>
      <c r="G58" s="72">
        <v>2.436933780923939</v>
      </c>
      <c r="H58" s="71" t="s">
        <v>107</v>
      </c>
      <c r="I58" s="72">
        <v>2.457970363367153</v>
      </c>
      <c r="J58" s="71" t="s">
        <v>107</v>
      </c>
      <c r="K58" s="72">
        <v>2.4410514305033173</v>
      </c>
      <c r="L58" s="71">
        <v>100</v>
      </c>
      <c r="M58" s="72">
        <f t="shared" si="2"/>
        <v>2.4453185249314697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72" customFormat="1" ht="12.75">
      <c r="A59" s="73"/>
      <c r="B59" s="72" t="s">
        <v>115</v>
      </c>
      <c r="C59" s="72" t="s">
        <v>224</v>
      </c>
      <c r="D59" s="72" t="s">
        <v>35</v>
      </c>
      <c r="E59" s="70" t="s">
        <v>15</v>
      </c>
      <c r="F59" s="71" t="s">
        <v>187</v>
      </c>
      <c r="G59" s="72">
        <v>264.12828042866414</v>
      </c>
      <c r="H59" s="71" t="s">
        <v>187</v>
      </c>
      <c r="I59" s="72">
        <v>417.5755995828989</v>
      </c>
      <c r="J59" s="71" t="s">
        <v>187</v>
      </c>
      <c r="K59" s="72">
        <v>504.9314128943758</v>
      </c>
      <c r="L59" s="71" t="s">
        <v>187</v>
      </c>
      <c r="M59" s="72">
        <f t="shared" si="2"/>
        <v>395.54509763531297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72" customFormat="1" ht="12.75">
      <c r="A60" s="73"/>
      <c r="B60" s="72" t="s">
        <v>116</v>
      </c>
      <c r="C60" s="72" t="s">
        <v>224</v>
      </c>
      <c r="D60" s="72" t="s">
        <v>35</v>
      </c>
      <c r="E60" s="70" t="s">
        <v>15</v>
      </c>
      <c r="F60" s="71" t="s">
        <v>187</v>
      </c>
      <c r="G60" s="72">
        <v>4.011572379442869</v>
      </c>
      <c r="H60" s="71" t="s">
        <v>187</v>
      </c>
      <c r="I60" s="72">
        <v>5.141118941101283</v>
      </c>
      <c r="J60" s="71" t="s">
        <v>187</v>
      </c>
      <c r="K60" s="72">
        <v>4.315653101661332</v>
      </c>
      <c r="L60" s="71" t="s">
        <v>187</v>
      </c>
      <c r="M60" s="72">
        <f aca="true" t="shared" si="3" ref="M60:M66">AVERAGE(G60,I60,K60)</f>
        <v>4.489448140735161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72" customFormat="1" ht="12.75">
      <c r="A61" s="73"/>
      <c r="B61" s="72" t="s">
        <v>117</v>
      </c>
      <c r="C61" s="72" t="s">
        <v>224</v>
      </c>
      <c r="D61" s="72" t="s">
        <v>35</v>
      </c>
      <c r="E61" s="70" t="s">
        <v>15</v>
      </c>
      <c r="F61" s="71" t="s">
        <v>187</v>
      </c>
      <c r="G61" s="72">
        <v>4.230024340699659</v>
      </c>
      <c r="H61" s="71" t="s">
        <v>187</v>
      </c>
      <c r="I61" s="72">
        <v>4.085954791617613</v>
      </c>
      <c r="J61" s="71" t="s">
        <v>187</v>
      </c>
      <c r="K61" s="72">
        <v>3.9056660570035</v>
      </c>
      <c r="L61" s="71" t="s">
        <v>187</v>
      </c>
      <c r="M61" s="72">
        <f t="shared" si="3"/>
        <v>4.07388172977359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72" customFormat="1" ht="12.75">
      <c r="A62" s="73"/>
      <c r="B62" s="72" t="s">
        <v>118</v>
      </c>
      <c r="C62" s="72" t="s">
        <v>224</v>
      </c>
      <c r="D62" s="72" t="s">
        <v>35</v>
      </c>
      <c r="E62" s="70" t="s">
        <v>15</v>
      </c>
      <c r="F62" s="71" t="s">
        <v>107</v>
      </c>
      <c r="G62" s="72">
        <v>1.59271339025405</v>
      </c>
      <c r="H62" s="71" t="s">
        <v>107</v>
      </c>
      <c r="I62" s="72">
        <v>1.6119316155942</v>
      </c>
      <c r="J62" s="71" t="s">
        <v>107</v>
      </c>
      <c r="K62" s="72">
        <v>1.784522557536961</v>
      </c>
      <c r="L62" s="71">
        <v>100</v>
      </c>
      <c r="M62" s="72">
        <f t="shared" si="3"/>
        <v>1.6630558544617369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72" customFormat="1" ht="12.75">
      <c r="A63" s="73"/>
      <c r="B63" s="72" t="s">
        <v>119</v>
      </c>
      <c r="C63" s="72" t="s">
        <v>224</v>
      </c>
      <c r="D63" s="72" t="s">
        <v>35</v>
      </c>
      <c r="E63" s="70" t="s">
        <v>15</v>
      </c>
      <c r="F63" s="71" t="s">
        <v>187</v>
      </c>
      <c r="G63" s="72">
        <v>0.7010322029422439</v>
      </c>
      <c r="H63" s="71" t="s">
        <v>187</v>
      </c>
      <c r="I63" s="72">
        <v>1.7892889939116687</v>
      </c>
      <c r="J63" s="71" t="s">
        <v>107</v>
      </c>
      <c r="K63" s="72">
        <v>0.71424058832495</v>
      </c>
      <c r="L63" s="71" t="s">
        <v>187</v>
      </c>
      <c r="M63" s="72">
        <f t="shared" si="3"/>
        <v>1.0681872617262875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s="72" customFormat="1" ht="12.75">
      <c r="A64" s="73"/>
      <c r="B64" s="72" t="s">
        <v>120</v>
      </c>
      <c r="C64" s="72" t="s">
        <v>224</v>
      </c>
      <c r="D64" s="72" t="s">
        <v>35</v>
      </c>
      <c r="E64" s="70" t="s">
        <v>15</v>
      </c>
      <c r="F64" s="71" t="s">
        <v>107</v>
      </c>
      <c r="G64" s="72">
        <v>1.59271339025405</v>
      </c>
      <c r="H64" s="71" t="s">
        <v>107</v>
      </c>
      <c r="I64" s="72">
        <v>1.6119316155942</v>
      </c>
      <c r="J64" s="71" t="s">
        <v>107</v>
      </c>
      <c r="K64" s="72">
        <v>1.784522557536961</v>
      </c>
      <c r="L64" s="71">
        <v>100</v>
      </c>
      <c r="M64" s="72">
        <f t="shared" si="3"/>
        <v>1.6630558544617369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s="72" customFormat="1" ht="12.75">
      <c r="A65" s="73"/>
      <c r="B65" s="72" t="s">
        <v>37</v>
      </c>
      <c r="C65" s="72" t="s">
        <v>224</v>
      </c>
      <c r="D65" s="72" t="s">
        <v>35</v>
      </c>
      <c r="E65" s="70" t="s">
        <v>15</v>
      </c>
      <c r="F65" s="71"/>
      <c r="G65" s="72">
        <f>G53+G55+G57</f>
        <v>96.2578778374237</v>
      </c>
      <c r="H65" s="71"/>
      <c r="I65" s="72">
        <f>I53+I55+I57</f>
        <v>134.16299909179597</v>
      </c>
      <c r="J65" s="71"/>
      <c r="K65" s="72">
        <f>K53+K55+K57</f>
        <v>170.42514098460646</v>
      </c>
      <c r="L65" s="71"/>
      <c r="M65" s="72">
        <f t="shared" si="3"/>
        <v>133.6153393046087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s="72" customFormat="1" ht="12.75">
      <c r="A66" s="73"/>
      <c r="B66" s="72" t="s">
        <v>36</v>
      </c>
      <c r="C66" s="72" t="s">
        <v>224</v>
      </c>
      <c r="D66" s="72" t="s">
        <v>35</v>
      </c>
      <c r="E66" s="70" t="s">
        <v>15</v>
      </c>
      <c r="F66" s="71"/>
      <c r="G66" s="72">
        <f>G59+G56</f>
        <v>300.66933576616356</v>
      </c>
      <c r="H66" s="71"/>
      <c r="I66" s="72">
        <f>I59+I56</f>
        <v>472.8033401728952</v>
      </c>
      <c r="J66" s="71"/>
      <c r="K66" s="72">
        <f>K59+K56</f>
        <v>568.8030787989635</v>
      </c>
      <c r="L66" s="71"/>
      <c r="M66" s="72">
        <f t="shared" si="3"/>
        <v>447.42525157934074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s="74" customFormat="1" ht="12.75">
      <c r="A67" s="73"/>
      <c r="G67" s="71"/>
      <c r="H67" s="71"/>
      <c r="I67" s="71"/>
      <c r="J67" s="71"/>
      <c r="K67" s="71"/>
      <c r="L67" s="71"/>
      <c r="M67" s="7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s="74" customFormat="1" ht="12.75">
      <c r="A68" s="73"/>
      <c r="B68" s="72" t="s">
        <v>57</v>
      </c>
      <c r="C68" s="74" t="s">
        <v>193</v>
      </c>
      <c r="D68" s="74" t="s">
        <v>223</v>
      </c>
      <c r="G68" s="71"/>
      <c r="H68" s="71"/>
      <c r="I68" s="71"/>
      <c r="J68" s="71"/>
      <c r="K68" s="71"/>
      <c r="L68" s="71"/>
      <c r="M68" s="7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s="74" customFormat="1" ht="12.75">
      <c r="A69" s="73"/>
      <c r="B69" s="4" t="s">
        <v>52</v>
      </c>
      <c r="C69" s="4"/>
      <c r="D69" s="4" t="s">
        <v>17</v>
      </c>
      <c r="G69" s="71">
        <v>28128</v>
      </c>
      <c r="H69" s="71"/>
      <c r="I69" s="71">
        <v>26347</v>
      </c>
      <c r="J69" s="71"/>
      <c r="K69" s="71">
        <v>25897</v>
      </c>
      <c r="L69" s="71"/>
      <c r="M69" s="7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s="74" customFormat="1" ht="12.75">
      <c r="A70" s="73"/>
      <c r="B70" s="4" t="s">
        <v>54</v>
      </c>
      <c r="C70" s="4"/>
      <c r="D70" s="4" t="s">
        <v>18</v>
      </c>
      <c r="G70" s="71">
        <v>14.9</v>
      </c>
      <c r="H70" s="71"/>
      <c r="I70" s="71">
        <v>14.8</v>
      </c>
      <c r="J70" s="71"/>
      <c r="K70" s="71">
        <v>14.4</v>
      </c>
      <c r="L70" s="71"/>
      <c r="M70" s="7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s="74" customFormat="1" ht="12.75">
      <c r="A71" s="73"/>
      <c r="B71" s="4" t="s">
        <v>55</v>
      </c>
      <c r="C71" s="4"/>
      <c r="D71" s="4" t="s">
        <v>18</v>
      </c>
      <c r="G71" s="71">
        <v>12.3</v>
      </c>
      <c r="H71" s="71"/>
      <c r="I71" s="71">
        <v>12.8</v>
      </c>
      <c r="J71" s="71"/>
      <c r="K71" s="71">
        <v>13.7</v>
      </c>
      <c r="L71" s="71"/>
      <c r="M71" s="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s="74" customFormat="1" ht="12.75">
      <c r="A72" s="73"/>
      <c r="B72" s="4" t="s">
        <v>51</v>
      </c>
      <c r="C72" s="4"/>
      <c r="D72" s="4" t="s">
        <v>19</v>
      </c>
      <c r="G72" s="71">
        <v>358</v>
      </c>
      <c r="H72" s="71"/>
      <c r="I72" s="71">
        <v>353</v>
      </c>
      <c r="J72" s="71"/>
      <c r="K72" s="71">
        <v>351</v>
      </c>
      <c r="L72" s="71"/>
      <c r="M72" s="7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s="74" customFormat="1" ht="12.75">
      <c r="A73" s="73"/>
      <c r="G73" s="71"/>
      <c r="H73" s="71"/>
      <c r="I73" s="71"/>
      <c r="J73" s="71"/>
      <c r="K73" s="71"/>
      <c r="L73" s="71"/>
      <c r="M73" s="7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s="74" customFormat="1" ht="12.75">
      <c r="A74" s="73"/>
      <c r="B74" s="72" t="s">
        <v>57</v>
      </c>
      <c r="C74" s="74" t="s">
        <v>123</v>
      </c>
      <c r="D74" s="74" t="s">
        <v>224</v>
      </c>
      <c r="G74" s="71"/>
      <c r="H74" s="71"/>
      <c r="I74" s="71"/>
      <c r="J74" s="71"/>
      <c r="K74" s="71"/>
      <c r="L74" s="71"/>
      <c r="M74" s="7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s="74" customFormat="1" ht="12.75">
      <c r="A75" s="73"/>
      <c r="B75" s="4" t="s">
        <v>52</v>
      </c>
      <c r="C75" s="4"/>
      <c r="D75" s="4" t="s">
        <v>17</v>
      </c>
      <c r="G75" s="71">
        <v>30853</v>
      </c>
      <c r="H75" s="71"/>
      <c r="I75" s="71">
        <v>26852</v>
      </c>
      <c r="J75" s="71"/>
      <c r="K75" s="71">
        <v>26244</v>
      </c>
      <c r="L75" s="71"/>
      <c r="M75" s="7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s="74" customFormat="1" ht="12.75">
      <c r="A76" s="73"/>
      <c r="B76" s="4" t="s">
        <v>54</v>
      </c>
      <c r="C76" s="4"/>
      <c r="D76" s="4" t="s">
        <v>18</v>
      </c>
      <c r="G76" s="71">
        <v>14.9</v>
      </c>
      <c r="H76" s="71"/>
      <c r="I76" s="71">
        <v>14.8</v>
      </c>
      <c r="J76" s="71"/>
      <c r="K76" s="71">
        <v>14.4</v>
      </c>
      <c r="L76" s="71"/>
      <c r="M76" s="7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s="74" customFormat="1" ht="12.75">
      <c r="A77" s="73"/>
      <c r="B77" s="4" t="s">
        <v>55</v>
      </c>
      <c r="C77" s="4"/>
      <c r="D77" s="4" t="s">
        <v>18</v>
      </c>
      <c r="G77" s="71">
        <v>5.8</v>
      </c>
      <c r="H77" s="71"/>
      <c r="I77" s="71">
        <v>12.9</v>
      </c>
      <c r="J77" s="71"/>
      <c r="K77" s="71">
        <v>13.3</v>
      </c>
      <c r="L77" s="71"/>
      <c r="M77" s="71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s="74" customFormat="1" ht="12.75">
      <c r="A78" s="73"/>
      <c r="B78" s="4" t="s">
        <v>51</v>
      </c>
      <c r="C78" s="4"/>
      <c r="D78" s="4" t="s">
        <v>19</v>
      </c>
      <c r="G78" s="71">
        <v>355</v>
      </c>
      <c r="H78" s="71"/>
      <c r="I78" s="71">
        <v>347</v>
      </c>
      <c r="J78" s="71"/>
      <c r="K78" s="71">
        <v>355</v>
      </c>
      <c r="L78" s="71"/>
      <c r="M78" s="7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80" spans="2:4" ht="12.75">
      <c r="B80" s="72" t="s">
        <v>57</v>
      </c>
      <c r="C80" s="74" t="s">
        <v>191</v>
      </c>
      <c r="D80" s="72" t="s">
        <v>225</v>
      </c>
    </row>
    <row r="81" spans="1:61" s="74" customFormat="1" ht="12.75">
      <c r="A81" s="73"/>
      <c r="B81" s="4" t="s">
        <v>52</v>
      </c>
      <c r="C81" s="4"/>
      <c r="D81" s="4" t="s">
        <v>17</v>
      </c>
      <c r="G81" s="71">
        <v>26903</v>
      </c>
      <c r="H81" s="71"/>
      <c r="I81" s="71">
        <v>24771</v>
      </c>
      <c r="J81" s="71"/>
      <c r="K81" s="71">
        <v>23663</v>
      </c>
      <c r="L81" s="71"/>
      <c r="M81" s="7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1:61" s="74" customFormat="1" ht="12.75">
      <c r="A82" s="73"/>
      <c r="B82" s="4" t="s">
        <v>54</v>
      </c>
      <c r="C82" s="4"/>
      <c r="D82" s="4" t="s">
        <v>18</v>
      </c>
      <c r="G82" s="71">
        <v>14.9</v>
      </c>
      <c r="H82" s="71"/>
      <c r="I82" s="71">
        <v>14.8</v>
      </c>
      <c r="J82" s="71"/>
      <c r="K82" s="71">
        <v>14.4</v>
      </c>
      <c r="L82" s="71"/>
      <c r="M82" s="71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1:61" s="74" customFormat="1" ht="12.75">
      <c r="A83" s="73"/>
      <c r="B83" s="4" t="s">
        <v>55</v>
      </c>
      <c r="C83" s="4"/>
      <c r="D83" s="4" t="s">
        <v>18</v>
      </c>
      <c r="G83" s="71">
        <v>11.6</v>
      </c>
      <c r="H83" s="71"/>
      <c r="I83" s="71">
        <v>12.9</v>
      </c>
      <c r="J83" s="71"/>
      <c r="K83" s="71">
        <v>14.1</v>
      </c>
      <c r="L83" s="71"/>
      <c r="M83" s="71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1:61" s="74" customFormat="1" ht="12.75">
      <c r="A84" s="73"/>
      <c r="B84" s="4" t="s">
        <v>51</v>
      </c>
      <c r="C84" s="4"/>
      <c r="D84" s="4" t="s">
        <v>19</v>
      </c>
      <c r="G84" s="71">
        <v>352</v>
      </c>
      <c r="H84" s="71"/>
      <c r="I84" s="71">
        <v>347</v>
      </c>
      <c r="J84" s="71"/>
      <c r="K84" s="71">
        <v>350</v>
      </c>
      <c r="L84" s="71"/>
      <c r="M84" s="71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I104"/>
  <sheetViews>
    <sheetView workbookViewId="0" topLeftCell="B1">
      <selection activeCell="C1" sqref="C1"/>
    </sheetView>
  </sheetViews>
  <sheetFormatPr defaultColWidth="9.140625" defaultRowHeight="12.75"/>
  <cols>
    <col min="1" max="1" width="2.421875" style="13" hidden="1" customWidth="1"/>
    <col min="2" max="2" width="22.140625" style="4" customWidth="1"/>
    <col min="3" max="3" width="4.7109375" style="4" customWidth="1"/>
    <col min="4" max="4" width="8.7109375" style="4" customWidth="1"/>
    <col min="5" max="5" width="2.7109375" style="13" customWidth="1"/>
    <col min="6" max="6" width="11.140625" style="18" customWidth="1"/>
    <col min="7" max="7" width="2.8515625" style="15" customWidth="1"/>
    <col min="8" max="8" width="10.7109375" style="13" customWidth="1"/>
    <col min="9" max="9" width="2.8515625" style="13" customWidth="1"/>
    <col min="10" max="10" width="10.28125" style="13" customWidth="1"/>
    <col min="11" max="11" width="2.8515625" style="13" customWidth="1"/>
    <col min="12" max="12" width="8.8515625" style="13" customWidth="1"/>
    <col min="13" max="13" width="2.421875" style="13" customWidth="1"/>
    <col min="14" max="14" width="8.421875" style="13" customWidth="1"/>
    <col min="15" max="15" width="2.421875" style="13" customWidth="1"/>
    <col min="16" max="16" width="8.57421875" style="13" customWidth="1"/>
    <col min="17" max="17" width="2.140625" style="13" customWidth="1"/>
    <col min="18" max="18" width="9.57421875" style="13" customWidth="1"/>
    <col min="19" max="19" width="1.28515625" style="13" customWidth="1"/>
    <col min="20" max="20" width="9.7109375" style="13" customWidth="1"/>
    <col min="21" max="21" width="2.140625" style="13" customWidth="1"/>
    <col min="22" max="22" width="8.7109375" style="13" customWidth="1"/>
    <col min="23" max="23" width="2.421875" style="13" customWidth="1"/>
    <col min="24" max="24" width="8.8515625" style="13" customWidth="1"/>
    <col min="25" max="25" width="2.421875" style="13" customWidth="1"/>
    <col min="26" max="26" width="8.8515625" style="13" customWidth="1"/>
    <col min="27" max="27" width="2.7109375" style="13" customWidth="1"/>
    <col min="28" max="28" width="8.8515625" style="13" customWidth="1"/>
    <col min="29" max="29" width="2.00390625" style="13" customWidth="1"/>
    <col min="30" max="30" width="10.28125" style="20" customWidth="1"/>
    <col min="31" max="16384" width="8.8515625" style="13" customWidth="1"/>
  </cols>
  <sheetData>
    <row r="1" spans="2:3" ht="12.75">
      <c r="B1" s="16" t="s">
        <v>218</v>
      </c>
      <c r="C1" s="16"/>
    </row>
    <row r="4" spans="1:30" ht="12.75">
      <c r="A4" s="13" t="s">
        <v>59</v>
      </c>
      <c r="B4" s="16" t="s">
        <v>164</v>
      </c>
      <c r="C4" s="4" t="s">
        <v>179</v>
      </c>
      <c r="F4" s="15" t="s">
        <v>169</v>
      </c>
      <c r="H4" s="15" t="s">
        <v>170</v>
      </c>
      <c r="I4" s="15"/>
      <c r="J4" s="15" t="s">
        <v>171</v>
      </c>
      <c r="K4" s="18"/>
      <c r="L4" s="15" t="s">
        <v>169</v>
      </c>
      <c r="M4" s="15"/>
      <c r="N4" s="15" t="s">
        <v>170</v>
      </c>
      <c r="O4" s="15"/>
      <c r="P4" s="15" t="s">
        <v>171</v>
      </c>
      <c r="Q4" s="16"/>
      <c r="R4" s="15" t="s">
        <v>169</v>
      </c>
      <c r="S4" s="15"/>
      <c r="T4" s="15" t="s">
        <v>170</v>
      </c>
      <c r="U4" s="15"/>
      <c r="V4" s="15" t="s">
        <v>171</v>
      </c>
      <c r="W4" s="16"/>
      <c r="X4" s="15" t="s">
        <v>169</v>
      </c>
      <c r="Y4" s="15"/>
      <c r="Z4" s="15" t="s">
        <v>170</v>
      </c>
      <c r="AA4" s="15"/>
      <c r="AB4" s="15" t="s">
        <v>171</v>
      </c>
      <c r="AD4" s="90" t="s">
        <v>172</v>
      </c>
    </row>
    <row r="5" spans="2:30" ht="12.75">
      <c r="B5" s="16"/>
      <c r="F5" s="15"/>
      <c r="H5" s="15"/>
      <c r="I5" s="15"/>
      <c r="J5" s="15"/>
      <c r="K5" s="18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D5" s="90"/>
    </row>
    <row r="6" spans="2:30" ht="12.75">
      <c r="B6" s="8" t="s">
        <v>245</v>
      </c>
      <c r="F6" s="15" t="s">
        <v>246</v>
      </c>
      <c r="H6" s="15" t="s">
        <v>246</v>
      </c>
      <c r="I6" s="15"/>
      <c r="J6" s="15" t="s">
        <v>246</v>
      </c>
      <c r="K6" s="18"/>
      <c r="L6" s="15" t="s">
        <v>247</v>
      </c>
      <c r="M6" s="15"/>
      <c r="N6" s="15" t="s">
        <v>247</v>
      </c>
      <c r="O6" s="15"/>
      <c r="P6" s="15" t="s">
        <v>247</v>
      </c>
      <c r="Q6" s="16"/>
      <c r="R6" s="15" t="s">
        <v>248</v>
      </c>
      <c r="S6" s="15"/>
      <c r="T6" s="15" t="s">
        <v>248</v>
      </c>
      <c r="U6" s="15"/>
      <c r="V6" s="15" t="s">
        <v>248</v>
      </c>
      <c r="W6" s="16"/>
      <c r="X6" s="15" t="s">
        <v>249</v>
      </c>
      <c r="Y6" s="15"/>
      <c r="Z6" s="15" t="s">
        <v>249</v>
      </c>
      <c r="AA6" s="15"/>
      <c r="AB6" s="15" t="s">
        <v>249</v>
      </c>
      <c r="AD6" s="90" t="s">
        <v>249</v>
      </c>
    </row>
    <row r="7" spans="1:30" ht="12.75">
      <c r="A7" s="12"/>
      <c r="B7" s="8" t="s">
        <v>250</v>
      </c>
      <c r="F7" s="13" t="s">
        <v>251</v>
      </c>
      <c r="G7" s="13"/>
      <c r="H7" s="13" t="s">
        <v>251</v>
      </c>
      <c r="J7" s="13" t="s">
        <v>251</v>
      </c>
      <c r="L7" s="13" t="s">
        <v>252</v>
      </c>
      <c r="N7" s="13" t="s">
        <v>252</v>
      </c>
      <c r="P7" s="13" t="s">
        <v>252</v>
      </c>
      <c r="R7" s="106" t="s">
        <v>34</v>
      </c>
      <c r="S7" s="106"/>
      <c r="T7" s="106" t="s">
        <v>34</v>
      </c>
      <c r="U7" s="106"/>
      <c r="V7" s="106" t="s">
        <v>34</v>
      </c>
      <c r="X7" s="106" t="s">
        <v>63</v>
      </c>
      <c r="Y7" s="106"/>
      <c r="Z7" s="106" t="s">
        <v>63</v>
      </c>
      <c r="AA7" s="106"/>
      <c r="AB7" s="106" t="s">
        <v>63</v>
      </c>
      <c r="AD7" s="90" t="s">
        <v>63</v>
      </c>
    </row>
    <row r="8" spans="1:30" ht="12.75">
      <c r="A8" s="12"/>
      <c r="B8" s="8" t="s">
        <v>255</v>
      </c>
      <c r="F8" s="13" t="s">
        <v>140</v>
      </c>
      <c r="G8" s="13"/>
      <c r="H8" s="13" t="s">
        <v>140</v>
      </c>
      <c r="J8" s="13" t="s">
        <v>140</v>
      </c>
      <c r="L8" s="13" t="s">
        <v>41</v>
      </c>
      <c r="N8" s="13" t="s">
        <v>41</v>
      </c>
      <c r="P8" s="13" t="s">
        <v>41</v>
      </c>
      <c r="R8" s="106" t="s">
        <v>34</v>
      </c>
      <c r="S8" s="106"/>
      <c r="T8" s="106" t="s">
        <v>34</v>
      </c>
      <c r="U8" s="106"/>
      <c r="V8" s="106" t="s">
        <v>34</v>
      </c>
      <c r="X8" s="106" t="s">
        <v>63</v>
      </c>
      <c r="Y8" s="106"/>
      <c r="Z8" s="106" t="s">
        <v>63</v>
      </c>
      <c r="AA8" s="106"/>
      <c r="AB8" s="106" t="s">
        <v>63</v>
      </c>
      <c r="AD8" s="90" t="s">
        <v>63</v>
      </c>
    </row>
    <row r="9" spans="2:30" ht="12.75">
      <c r="B9" s="4" t="s">
        <v>20</v>
      </c>
      <c r="C9" s="16"/>
      <c r="D9" s="36"/>
      <c r="F9" s="13" t="s">
        <v>251</v>
      </c>
      <c r="H9" s="13" t="s">
        <v>251</v>
      </c>
      <c r="J9" s="13" t="s">
        <v>251</v>
      </c>
      <c r="L9" s="107" t="s">
        <v>138</v>
      </c>
      <c r="M9" s="15"/>
      <c r="N9" s="107" t="s">
        <v>138</v>
      </c>
      <c r="P9" s="107" t="s">
        <v>138</v>
      </c>
      <c r="Q9" s="106"/>
      <c r="R9" s="106" t="s">
        <v>34</v>
      </c>
      <c r="S9" s="106"/>
      <c r="T9" s="106" t="s">
        <v>34</v>
      </c>
      <c r="U9" s="106"/>
      <c r="V9" s="106" t="s">
        <v>34</v>
      </c>
      <c r="W9" s="106"/>
      <c r="X9" s="106" t="s">
        <v>63</v>
      </c>
      <c r="Y9" s="106"/>
      <c r="Z9" s="106" t="s">
        <v>63</v>
      </c>
      <c r="AA9" s="106"/>
      <c r="AB9" s="106" t="s">
        <v>63</v>
      </c>
      <c r="AD9" s="90" t="s">
        <v>63</v>
      </c>
    </row>
    <row r="10" spans="2:30" ht="12.75">
      <c r="B10" s="4" t="s">
        <v>62</v>
      </c>
      <c r="D10" s="4" t="s">
        <v>29</v>
      </c>
      <c r="F10" s="18">
        <f>15.19*2000</f>
        <v>30380</v>
      </c>
      <c r="H10" s="18">
        <f>15.2*2000</f>
        <v>30400</v>
      </c>
      <c r="J10" s="18">
        <f>15.66*2000</f>
        <v>31320</v>
      </c>
      <c r="L10" s="18">
        <v>3055.8</v>
      </c>
      <c r="M10" s="15"/>
      <c r="N10" s="18">
        <v>2726.4</v>
      </c>
      <c r="P10" s="18">
        <v>2380.2</v>
      </c>
      <c r="Q10" s="4"/>
      <c r="R10" s="18">
        <v>191.9</v>
      </c>
      <c r="S10" s="15"/>
      <c r="T10" s="13">
        <v>192</v>
      </c>
      <c r="V10" s="13">
        <v>191.9</v>
      </c>
      <c r="X10" s="7">
        <f>F10+L10+R10</f>
        <v>33627.700000000004</v>
      </c>
      <c r="Y10" s="15"/>
      <c r="Z10" s="7">
        <f>H10+N10+T10</f>
        <v>33318.4</v>
      </c>
      <c r="AA10" s="18"/>
      <c r="AB10" s="7">
        <f>J10+P10+V10</f>
        <v>33892.1</v>
      </c>
      <c r="AD10" s="20">
        <f>AVERAGE(X10,Z10,AB10)</f>
        <v>33612.73333333334</v>
      </c>
    </row>
    <row r="11" spans="2:28" ht="12.75">
      <c r="B11" s="4" t="s">
        <v>124</v>
      </c>
      <c r="D11" s="4" t="s">
        <v>125</v>
      </c>
      <c r="H11" s="18"/>
      <c r="J11" s="18"/>
      <c r="L11" s="18">
        <v>0.906</v>
      </c>
      <c r="M11" s="15"/>
      <c r="N11" s="18">
        <v>0.942</v>
      </c>
      <c r="P11" s="18">
        <v>0.94</v>
      </c>
      <c r="Q11" s="4"/>
      <c r="R11" s="18"/>
      <c r="S11" s="15"/>
      <c r="X11" s="5"/>
      <c r="Y11" s="15"/>
      <c r="Z11" s="5"/>
      <c r="AA11" s="18"/>
      <c r="AB11" s="5"/>
    </row>
    <row r="12" spans="2:28" ht="12.75">
      <c r="B12" s="4" t="s">
        <v>21</v>
      </c>
      <c r="D12" s="4" t="s">
        <v>22</v>
      </c>
      <c r="L12" s="18">
        <v>14841</v>
      </c>
      <c r="M12" s="15"/>
      <c r="N12" s="13">
        <v>13104</v>
      </c>
      <c r="P12" s="13">
        <v>13026</v>
      </c>
      <c r="Q12" s="4"/>
      <c r="R12" s="18"/>
      <c r="S12" s="15"/>
      <c r="X12" s="7"/>
      <c r="Y12" s="15"/>
      <c r="Z12" s="7"/>
      <c r="AA12" s="18"/>
      <c r="AB12" s="7"/>
    </row>
    <row r="13" spans="8:28" ht="12.75">
      <c r="H13" s="18"/>
      <c r="J13" s="18"/>
      <c r="L13" s="18"/>
      <c r="M13" s="15"/>
      <c r="N13" s="18"/>
      <c r="P13" s="18"/>
      <c r="Q13" s="4"/>
      <c r="R13" s="6"/>
      <c r="S13" s="15"/>
      <c r="X13" s="57"/>
      <c r="Y13" s="108"/>
      <c r="Z13" s="57"/>
      <c r="AA13" s="37"/>
      <c r="AB13" s="57"/>
    </row>
    <row r="14" spans="2:30" ht="12.75">
      <c r="B14" s="4" t="s">
        <v>23</v>
      </c>
      <c r="D14" s="4" t="s">
        <v>18</v>
      </c>
      <c r="E14" s="15"/>
      <c r="F14" s="6"/>
      <c r="I14" s="5"/>
      <c r="K14" s="18"/>
      <c r="L14" s="6">
        <v>4.24</v>
      </c>
      <c r="M14" s="15"/>
      <c r="N14" s="13">
        <v>4.285</v>
      </c>
      <c r="O14" s="5"/>
      <c r="P14" s="13">
        <v>4.6</v>
      </c>
      <c r="Q14" s="4"/>
      <c r="R14" s="18"/>
      <c r="S14" s="15"/>
      <c r="U14" s="5"/>
      <c r="X14" s="6"/>
      <c r="Y14" s="109"/>
      <c r="Z14" s="6"/>
      <c r="AA14" s="6"/>
      <c r="AB14" s="6"/>
      <c r="AD14" s="66"/>
    </row>
    <row r="15" spans="2:30" ht="12.75">
      <c r="B15" s="4" t="s">
        <v>24</v>
      </c>
      <c r="D15" s="4" t="s">
        <v>139</v>
      </c>
      <c r="E15" s="15" t="s">
        <v>107</v>
      </c>
      <c r="F15" s="5">
        <v>4092.77</v>
      </c>
      <c r="G15" s="15" t="s">
        <v>107</v>
      </c>
      <c r="H15" s="5">
        <v>3890.76</v>
      </c>
      <c r="I15" s="5" t="s">
        <v>107</v>
      </c>
      <c r="J15" s="5">
        <f>50/2*J10/1000000*454</f>
        <v>355.482</v>
      </c>
      <c r="L15" s="5">
        <v>3914.64</v>
      </c>
      <c r="M15" s="110"/>
      <c r="N15" s="17">
        <v>4451.31</v>
      </c>
      <c r="O15" s="5"/>
      <c r="P15" s="17">
        <v>4382.73</v>
      </c>
      <c r="Q15" s="55"/>
      <c r="R15" s="5">
        <v>19598.06</v>
      </c>
      <c r="S15" s="110"/>
      <c r="T15" s="5">
        <v>19558.82</v>
      </c>
      <c r="U15" s="5"/>
      <c r="V15" s="5">
        <v>18149.03</v>
      </c>
      <c r="X15" s="7">
        <f>F15+L15+R15</f>
        <v>27605.47</v>
      </c>
      <c r="Y15" s="15"/>
      <c r="Z15" s="7">
        <f>H15+N15+T15</f>
        <v>27900.89</v>
      </c>
      <c r="AA15" s="18"/>
      <c r="AB15" s="7">
        <f>J15+P15+V15</f>
        <v>22887.242</v>
      </c>
      <c r="AD15" s="20">
        <f>AVERAGE(X15,Z15,AB15)</f>
        <v>26131.200666666668</v>
      </c>
    </row>
    <row r="16" spans="5:30" ht="12.75">
      <c r="E16" s="15"/>
      <c r="I16" s="5"/>
      <c r="L16" s="18"/>
      <c r="M16" s="15"/>
      <c r="O16" s="5"/>
      <c r="Q16" s="4"/>
      <c r="R16" s="18"/>
      <c r="S16" s="15"/>
      <c r="T16" s="18"/>
      <c r="U16" s="5"/>
      <c r="V16" s="18"/>
      <c r="X16" s="111"/>
      <c r="Y16" s="108"/>
      <c r="Z16" s="5"/>
      <c r="AA16" s="37"/>
      <c r="AB16" s="5"/>
      <c r="AC16" s="112"/>
      <c r="AD16" s="66"/>
    </row>
    <row r="17" spans="2:30" ht="12.75">
      <c r="B17" s="4" t="s">
        <v>109</v>
      </c>
      <c r="D17" s="4" t="s">
        <v>139</v>
      </c>
      <c r="E17" s="15" t="s">
        <v>107</v>
      </c>
      <c r="F17" s="6">
        <f>0.5/2*F$10/1000000*454</f>
        <v>3.44813</v>
      </c>
      <c r="G17" s="109" t="s">
        <v>107</v>
      </c>
      <c r="H17" s="6">
        <f>0.5/2*H$10/1000000*454</f>
        <v>3.4504</v>
      </c>
      <c r="I17" s="6" t="s">
        <v>107</v>
      </c>
      <c r="J17" s="6">
        <f>0.5/2*J$10/1000000*454</f>
        <v>3.55482</v>
      </c>
      <c r="L17" s="113">
        <v>4.05</v>
      </c>
      <c r="M17" s="15"/>
      <c r="N17" s="113">
        <v>4.28</v>
      </c>
      <c r="O17" s="5"/>
      <c r="P17" s="113">
        <v>4.27</v>
      </c>
      <c r="Q17" s="4"/>
      <c r="R17" s="18"/>
      <c r="S17" s="15"/>
      <c r="T17" s="18"/>
      <c r="U17" s="5"/>
      <c r="V17" s="18"/>
      <c r="X17" s="7">
        <f aca="true" t="shared" si="0" ref="X17:X28">F17+L17+R17</f>
        <v>7.49813</v>
      </c>
      <c r="Y17" s="15"/>
      <c r="Z17" s="7">
        <f aca="true" t="shared" si="1" ref="Z17:Z28">H17+N17+T17</f>
        <v>7.7304</v>
      </c>
      <c r="AA17" s="18"/>
      <c r="AB17" s="7">
        <f aca="true" t="shared" si="2" ref="AB17:AB28">J17+P17+V17</f>
        <v>7.824819999999999</v>
      </c>
      <c r="AD17" s="66"/>
    </row>
    <row r="18" spans="2:30" ht="12.75">
      <c r="B18" s="4" t="s">
        <v>108</v>
      </c>
      <c r="D18" s="4" t="s">
        <v>139</v>
      </c>
      <c r="E18" s="15"/>
      <c r="F18" s="5">
        <v>169.5</v>
      </c>
      <c r="H18" s="5">
        <v>203.29</v>
      </c>
      <c r="I18" s="5"/>
      <c r="J18" s="5">
        <v>284.14</v>
      </c>
      <c r="L18" s="6">
        <v>1.29</v>
      </c>
      <c r="M18" s="109"/>
      <c r="N18" s="6">
        <v>1.09</v>
      </c>
      <c r="O18" s="6"/>
      <c r="P18" s="6">
        <v>1.25</v>
      </c>
      <c r="Q18" s="4"/>
      <c r="R18" s="18">
        <v>407.66</v>
      </c>
      <c r="S18" s="15"/>
      <c r="T18" s="18">
        <v>473.8</v>
      </c>
      <c r="U18" s="5"/>
      <c r="V18" s="18">
        <v>482.95</v>
      </c>
      <c r="X18" s="7">
        <f t="shared" si="0"/>
        <v>578.45</v>
      </c>
      <c r="Y18" s="15"/>
      <c r="Z18" s="7">
        <f t="shared" si="1"/>
        <v>678.1800000000001</v>
      </c>
      <c r="AA18" s="18"/>
      <c r="AB18" s="7">
        <f t="shared" si="2"/>
        <v>768.3399999999999</v>
      </c>
      <c r="AD18" s="66"/>
    </row>
    <row r="19" spans="2:30" ht="12.75">
      <c r="B19" s="4" t="s">
        <v>110</v>
      </c>
      <c r="D19" s="4" t="s">
        <v>139</v>
      </c>
      <c r="E19" s="15"/>
      <c r="F19" s="5">
        <v>1805.23</v>
      </c>
      <c r="H19" s="5">
        <v>1696.32</v>
      </c>
      <c r="I19" s="5"/>
      <c r="J19" s="5">
        <v>1505.92</v>
      </c>
      <c r="L19" s="6">
        <v>233.48</v>
      </c>
      <c r="M19" s="15"/>
      <c r="N19" s="6">
        <v>263.26</v>
      </c>
      <c r="O19" s="5"/>
      <c r="P19" s="6">
        <v>272.98</v>
      </c>
      <c r="Q19" s="4"/>
      <c r="R19" s="18"/>
      <c r="S19" s="15"/>
      <c r="T19" s="18"/>
      <c r="U19" s="5"/>
      <c r="V19" s="18"/>
      <c r="X19" s="7">
        <f t="shared" si="0"/>
        <v>2038.71</v>
      </c>
      <c r="Y19" s="15"/>
      <c r="Z19" s="7">
        <f t="shared" si="1"/>
        <v>1959.58</v>
      </c>
      <c r="AA19" s="18"/>
      <c r="AB19" s="7">
        <f t="shared" si="2"/>
        <v>1778.9</v>
      </c>
      <c r="AD19" s="66"/>
    </row>
    <row r="20" spans="2:30" ht="12.75">
      <c r="B20" s="4" t="s">
        <v>111</v>
      </c>
      <c r="D20" s="4" t="s">
        <v>139</v>
      </c>
      <c r="E20" s="15"/>
      <c r="F20" s="6">
        <v>29.49</v>
      </c>
      <c r="G20" s="109"/>
      <c r="H20" s="6">
        <v>28.27</v>
      </c>
      <c r="I20" s="6"/>
      <c r="J20" s="6">
        <v>20.88</v>
      </c>
      <c r="K20" s="13" t="s">
        <v>107</v>
      </c>
      <c r="L20" s="6">
        <f>0.05/2*L$10/1000000*454</f>
        <v>0.034683330000000005</v>
      </c>
      <c r="M20" s="114" t="s">
        <v>107</v>
      </c>
      <c r="N20" s="6">
        <f>0.05/2*N$10/1000000*454</f>
        <v>0.030944640000000006</v>
      </c>
      <c r="O20" s="62" t="s">
        <v>107</v>
      </c>
      <c r="P20" s="6">
        <f>0.05/2*P$10/1000000*454</f>
        <v>0.027015269999999997</v>
      </c>
      <c r="Q20" s="4"/>
      <c r="R20" s="18">
        <v>88.22</v>
      </c>
      <c r="S20" s="15"/>
      <c r="T20" s="18">
        <v>100.68</v>
      </c>
      <c r="U20" s="5"/>
      <c r="V20" s="18">
        <v>75.59</v>
      </c>
      <c r="X20" s="7">
        <f t="shared" si="0"/>
        <v>117.74468333</v>
      </c>
      <c r="Y20" s="15"/>
      <c r="Z20" s="7">
        <f t="shared" si="1"/>
        <v>128.98094464000002</v>
      </c>
      <c r="AA20" s="18"/>
      <c r="AB20" s="7">
        <f t="shared" si="2"/>
        <v>96.49701527</v>
      </c>
      <c r="AD20" s="66"/>
    </row>
    <row r="21" spans="2:30" ht="12.75">
      <c r="B21" s="4" t="s">
        <v>112</v>
      </c>
      <c r="D21" s="4" t="s">
        <v>139</v>
      </c>
      <c r="E21" s="15" t="s">
        <v>107</v>
      </c>
      <c r="F21" s="6">
        <f>0.2/2*F$10/1000000*454</f>
        <v>1.379252</v>
      </c>
      <c r="G21" s="15" t="s">
        <v>107</v>
      </c>
      <c r="H21" s="6">
        <f>0.2/2*H$10/1000000*454</f>
        <v>1.38016</v>
      </c>
      <c r="I21" s="5" t="s">
        <v>107</v>
      </c>
      <c r="J21" s="6">
        <f>0.2/2*J$10/1000000*454</f>
        <v>1.4219279999999999</v>
      </c>
      <c r="L21" s="6">
        <v>0.99</v>
      </c>
      <c r="M21" s="109"/>
      <c r="N21" s="6">
        <v>0.94</v>
      </c>
      <c r="O21" s="6"/>
      <c r="P21" s="6">
        <v>1</v>
      </c>
      <c r="Q21" s="4"/>
      <c r="R21" s="18">
        <v>220.95</v>
      </c>
      <c r="S21" s="15"/>
      <c r="T21" s="18">
        <v>230</v>
      </c>
      <c r="U21" s="5"/>
      <c r="V21" s="18">
        <v>213.2</v>
      </c>
      <c r="X21" s="7">
        <f t="shared" si="0"/>
        <v>223.31925199999998</v>
      </c>
      <c r="Y21" s="15"/>
      <c r="Z21" s="7">
        <f t="shared" si="1"/>
        <v>232.32016</v>
      </c>
      <c r="AA21" s="18"/>
      <c r="AB21" s="7">
        <f t="shared" si="2"/>
        <v>215.621928</v>
      </c>
      <c r="AD21" s="66"/>
    </row>
    <row r="22" spans="2:30" ht="12.75">
      <c r="B22" s="4" t="s">
        <v>113</v>
      </c>
      <c r="D22" s="4" t="s">
        <v>139</v>
      </c>
      <c r="E22" s="15"/>
      <c r="F22" s="5">
        <v>763.43</v>
      </c>
      <c r="G22" s="110"/>
      <c r="H22" s="5">
        <v>759.3</v>
      </c>
      <c r="I22" s="5"/>
      <c r="J22" s="5">
        <v>801.26</v>
      </c>
      <c r="L22" s="6">
        <v>19.99</v>
      </c>
      <c r="M22" s="109"/>
      <c r="N22" s="6">
        <v>19.59</v>
      </c>
      <c r="O22" s="6"/>
      <c r="P22" s="6">
        <v>23.67</v>
      </c>
      <c r="Q22" s="4"/>
      <c r="R22" s="18">
        <v>1504.53</v>
      </c>
      <c r="S22" s="15"/>
      <c r="T22" s="18">
        <v>1515.9</v>
      </c>
      <c r="U22" s="5"/>
      <c r="V22" s="18">
        <v>1515.9</v>
      </c>
      <c r="X22" s="7">
        <f t="shared" si="0"/>
        <v>2287.95</v>
      </c>
      <c r="Y22" s="15"/>
      <c r="Z22" s="7">
        <f t="shared" si="1"/>
        <v>2294.79</v>
      </c>
      <c r="AA22" s="18"/>
      <c r="AB22" s="7">
        <f t="shared" si="2"/>
        <v>2340.83</v>
      </c>
      <c r="AD22" s="66"/>
    </row>
    <row r="23" spans="2:30" ht="12.75">
      <c r="B23" s="4" t="s">
        <v>115</v>
      </c>
      <c r="D23" s="4" t="s">
        <v>139</v>
      </c>
      <c r="E23" s="15"/>
      <c r="F23" s="5">
        <v>191.55</v>
      </c>
      <c r="G23" s="110"/>
      <c r="H23" s="5">
        <v>210.02</v>
      </c>
      <c r="I23" s="5"/>
      <c r="J23" s="5">
        <v>251.46</v>
      </c>
      <c r="L23" s="6">
        <v>25.45</v>
      </c>
      <c r="M23" s="109"/>
      <c r="N23" s="6">
        <v>24.8</v>
      </c>
      <c r="O23" s="6"/>
      <c r="P23" s="6">
        <v>30.68</v>
      </c>
      <c r="Q23" s="4"/>
      <c r="R23" s="7">
        <v>5227.68</v>
      </c>
      <c r="S23" s="90"/>
      <c r="T23" s="7">
        <v>5327.67</v>
      </c>
      <c r="U23" s="7"/>
      <c r="V23" s="7">
        <v>5227.68</v>
      </c>
      <c r="X23" s="7">
        <f t="shared" si="0"/>
        <v>5444.68</v>
      </c>
      <c r="Y23" s="15"/>
      <c r="Z23" s="7">
        <f t="shared" si="1"/>
        <v>5562.49</v>
      </c>
      <c r="AA23" s="18"/>
      <c r="AB23" s="7">
        <f t="shared" si="2"/>
        <v>5509.820000000001</v>
      </c>
      <c r="AD23" s="66"/>
    </row>
    <row r="24" spans="2:30" ht="12.75">
      <c r="B24" s="4" t="s">
        <v>137</v>
      </c>
      <c r="D24" s="4" t="s">
        <v>139</v>
      </c>
      <c r="E24" s="15"/>
      <c r="F24" s="7">
        <v>13036.23</v>
      </c>
      <c r="G24" s="90"/>
      <c r="H24" s="7">
        <v>11766.53</v>
      </c>
      <c r="I24" s="7"/>
      <c r="J24" s="7">
        <v>12061.53</v>
      </c>
      <c r="K24" s="15"/>
      <c r="L24" s="5">
        <v>202.72</v>
      </c>
      <c r="M24" s="110"/>
      <c r="N24" s="5">
        <v>202.22</v>
      </c>
      <c r="O24" s="5"/>
      <c r="P24" s="5">
        <v>195.34</v>
      </c>
      <c r="Q24" s="4"/>
      <c r="R24" s="18"/>
      <c r="S24" s="15"/>
      <c r="T24" s="18"/>
      <c r="U24" s="5"/>
      <c r="V24" s="18"/>
      <c r="X24" s="7">
        <f t="shared" si="0"/>
        <v>13238.949999999999</v>
      </c>
      <c r="Y24" s="15"/>
      <c r="Z24" s="7">
        <f t="shared" si="1"/>
        <v>11968.75</v>
      </c>
      <c r="AA24" s="18"/>
      <c r="AB24" s="7">
        <f t="shared" si="2"/>
        <v>12256.87</v>
      </c>
      <c r="AD24" s="66"/>
    </row>
    <row r="25" spans="2:30" ht="12.75">
      <c r="B25" s="4" t="s">
        <v>116</v>
      </c>
      <c r="D25" s="4" t="s">
        <v>139</v>
      </c>
      <c r="E25" s="15" t="s">
        <v>107</v>
      </c>
      <c r="F25" s="6">
        <f>0.019/2*F$10/1000000*454</f>
        <v>0.13102894</v>
      </c>
      <c r="G25" s="15" t="s">
        <v>107</v>
      </c>
      <c r="H25" s="6">
        <f>0.02/2*H$10/1000000*454</f>
        <v>0.138016</v>
      </c>
      <c r="I25" s="5" t="s">
        <v>107</v>
      </c>
      <c r="J25" s="6">
        <f>0.019/2*J$10/1000000*454</f>
        <v>0.13508316</v>
      </c>
      <c r="K25" s="13" t="s">
        <v>107</v>
      </c>
      <c r="L25" s="6">
        <f>0.02/2*L$10/1000000*454</f>
        <v>0.013873332</v>
      </c>
      <c r="M25" s="109" t="s">
        <v>107</v>
      </c>
      <c r="N25" s="6">
        <f>0.02/2*N$10/1000000*454</f>
        <v>0.012377856000000001</v>
      </c>
      <c r="O25" s="6" t="s">
        <v>107</v>
      </c>
      <c r="P25" s="6">
        <f>0.02/2*P$10/1000000*454</f>
        <v>0.010806108</v>
      </c>
      <c r="Q25" s="4"/>
      <c r="R25" s="18"/>
      <c r="S25" s="15"/>
      <c r="T25" s="18"/>
      <c r="U25" s="5"/>
      <c r="V25" s="18"/>
      <c r="X25" s="5">
        <f>F25+L25+R25</f>
        <v>0.144902272</v>
      </c>
      <c r="Y25" s="110"/>
      <c r="Z25" s="5">
        <f>H25+N25+T25</f>
        <v>0.150393856</v>
      </c>
      <c r="AA25" s="5"/>
      <c r="AB25" s="5">
        <f>J25+P25+V25</f>
        <v>0.14588926800000002</v>
      </c>
      <c r="AD25" s="66"/>
    </row>
    <row r="26" spans="2:30" ht="12.75">
      <c r="B26" s="4" t="s">
        <v>117</v>
      </c>
      <c r="D26" s="4" t="s">
        <v>139</v>
      </c>
      <c r="E26" s="15"/>
      <c r="F26" s="5">
        <v>469.91</v>
      </c>
      <c r="G26" s="110"/>
      <c r="H26" s="5">
        <v>504.86</v>
      </c>
      <c r="I26" s="5"/>
      <c r="J26" s="5">
        <v>505.76</v>
      </c>
      <c r="L26" s="6">
        <v>11.52</v>
      </c>
      <c r="M26" s="109"/>
      <c r="N26" s="6">
        <v>10.71</v>
      </c>
      <c r="O26" s="6"/>
      <c r="P26" s="6">
        <v>10.32</v>
      </c>
      <c r="Q26" s="4"/>
      <c r="R26" s="18"/>
      <c r="S26" s="15"/>
      <c r="T26" s="18"/>
      <c r="U26" s="5"/>
      <c r="V26" s="18"/>
      <c r="X26" s="7">
        <f>F26+L26+R26</f>
        <v>481.43</v>
      </c>
      <c r="Y26" s="90"/>
      <c r="Z26" s="7">
        <f>H26+N26+T26</f>
        <v>515.57</v>
      </c>
      <c r="AA26" s="7"/>
      <c r="AB26" s="7">
        <f>J26+P26+V26</f>
        <v>516.08</v>
      </c>
      <c r="AD26" s="66"/>
    </row>
    <row r="27" spans="2:30" ht="12.75">
      <c r="B27" s="4" t="s">
        <v>119</v>
      </c>
      <c r="D27" s="4" t="s">
        <v>139</v>
      </c>
      <c r="E27" s="15"/>
      <c r="F27" s="113">
        <v>2.96</v>
      </c>
      <c r="H27" s="113">
        <v>3.47</v>
      </c>
      <c r="I27" s="5"/>
      <c r="J27" s="113">
        <v>3.48</v>
      </c>
      <c r="K27" s="13" t="s">
        <v>107</v>
      </c>
      <c r="L27" s="6">
        <f>0.2/2*L$10/1000000*454</f>
        <v>0.13873332000000002</v>
      </c>
      <c r="M27" s="109"/>
      <c r="N27" s="6">
        <f>0.234*N$10/1000000*454</f>
        <v>0.2896418304</v>
      </c>
      <c r="O27" s="6"/>
      <c r="P27" s="6">
        <f>0.376*P$10/1000000*454</f>
        <v>0.4063096607999999</v>
      </c>
      <c r="Q27" s="4"/>
      <c r="R27" s="6"/>
      <c r="S27" s="15"/>
      <c r="T27" s="6"/>
      <c r="U27" s="5"/>
      <c r="V27" s="6"/>
      <c r="X27" s="5">
        <f t="shared" si="0"/>
        <v>3.09873332</v>
      </c>
      <c r="Y27" s="110"/>
      <c r="Z27" s="5">
        <f t="shared" si="1"/>
        <v>3.7596418304</v>
      </c>
      <c r="AA27" s="5"/>
      <c r="AB27" s="5">
        <f t="shared" si="2"/>
        <v>3.8863096608</v>
      </c>
      <c r="AD27" s="66"/>
    </row>
    <row r="28" spans="2:30" ht="12.75">
      <c r="B28" s="4" t="s">
        <v>120</v>
      </c>
      <c r="D28" s="4" t="s">
        <v>139</v>
      </c>
      <c r="E28" s="15"/>
      <c r="F28" s="113">
        <v>7.79</v>
      </c>
      <c r="H28" s="113">
        <v>7.51</v>
      </c>
      <c r="I28" s="5"/>
      <c r="J28" s="113">
        <v>8.42</v>
      </c>
      <c r="K28" s="13" t="s">
        <v>107</v>
      </c>
      <c r="L28" s="6">
        <f>0.5/2*L$10/1000000*454</f>
        <v>0.3468333</v>
      </c>
      <c r="M28" s="109" t="s">
        <v>107</v>
      </c>
      <c r="N28" s="6">
        <f>0.5/2*N$10/1000000*454</f>
        <v>0.3094464</v>
      </c>
      <c r="O28" s="6" t="s">
        <v>107</v>
      </c>
      <c r="P28" s="6">
        <f>0.5/2*P$10/1000000*454</f>
        <v>0.27015269999999997</v>
      </c>
      <c r="Q28" s="4"/>
      <c r="R28" s="6"/>
      <c r="S28" s="15"/>
      <c r="T28" s="6"/>
      <c r="U28" s="5"/>
      <c r="V28" s="6"/>
      <c r="X28" s="5">
        <f t="shared" si="0"/>
        <v>8.1368333</v>
      </c>
      <c r="Y28" s="110"/>
      <c r="Z28" s="5">
        <f t="shared" si="1"/>
        <v>7.8194463999999995</v>
      </c>
      <c r="AA28" s="5"/>
      <c r="AB28" s="5">
        <f t="shared" si="2"/>
        <v>8.6901527</v>
      </c>
      <c r="AD28" s="66"/>
    </row>
    <row r="29" spans="5:30" ht="12.75">
      <c r="E29" s="15"/>
      <c r="I29" s="5"/>
      <c r="L29" s="18"/>
      <c r="M29" s="15"/>
      <c r="O29" s="5"/>
      <c r="Q29" s="4"/>
      <c r="R29" s="18"/>
      <c r="S29" s="15"/>
      <c r="T29" s="18"/>
      <c r="U29" s="5"/>
      <c r="V29" s="18"/>
      <c r="X29" s="5"/>
      <c r="Y29" s="108"/>
      <c r="Z29" s="5"/>
      <c r="AA29" s="37"/>
      <c r="AB29" s="5"/>
      <c r="AC29" s="112"/>
      <c r="AD29" s="66"/>
    </row>
    <row r="30" spans="5:30" ht="12.75">
      <c r="E30" s="15"/>
      <c r="I30" s="18"/>
      <c r="L30" s="18"/>
      <c r="M30" s="15"/>
      <c r="O30" s="18"/>
      <c r="X30" s="57"/>
      <c r="Y30" s="108"/>
      <c r="Z30" s="57"/>
      <c r="AA30" s="37"/>
      <c r="AB30" s="57"/>
      <c r="AC30" s="112"/>
      <c r="AD30" s="66"/>
    </row>
    <row r="31" spans="2:30" ht="12.75">
      <c r="B31" s="4" t="s">
        <v>38</v>
      </c>
      <c r="D31" s="4" t="s">
        <v>17</v>
      </c>
      <c r="E31" s="15"/>
      <c r="F31" s="7">
        <f>'emiss 1'!G38</f>
        <v>27559</v>
      </c>
      <c r="H31" s="7">
        <f>'emiss 1'!I38</f>
        <v>28855</v>
      </c>
      <c r="I31" s="18"/>
      <c r="J31" s="7">
        <f>'emiss 1'!K38</f>
        <v>29386</v>
      </c>
      <c r="K31" s="15"/>
      <c r="L31" s="18">
        <f>$F31</f>
        <v>27559</v>
      </c>
      <c r="M31" s="15"/>
      <c r="N31" s="18">
        <f>$H31</f>
        <v>28855</v>
      </c>
      <c r="O31" s="18"/>
      <c r="P31" s="18">
        <f>$J31</f>
        <v>29386</v>
      </c>
      <c r="R31" s="18">
        <f>$F31</f>
        <v>27559</v>
      </c>
      <c r="S31" s="15"/>
      <c r="T31" s="18">
        <f>$H31</f>
        <v>28855</v>
      </c>
      <c r="U31" s="18"/>
      <c r="V31" s="18">
        <f>$J31</f>
        <v>29386</v>
      </c>
      <c r="X31" s="18">
        <f>$F31</f>
        <v>27559</v>
      </c>
      <c r="Y31" s="15"/>
      <c r="Z31" s="18">
        <f>$H31</f>
        <v>28855</v>
      </c>
      <c r="AA31" s="18"/>
      <c r="AB31" s="18">
        <f>$J31</f>
        <v>29386</v>
      </c>
      <c r="AD31" s="20">
        <f>AVERAGE(X31,Z31,AB31)</f>
        <v>28600</v>
      </c>
    </row>
    <row r="32" spans="2:30" ht="12.75">
      <c r="B32" s="4" t="s">
        <v>39</v>
      </c>
      <c r="D32" s="4" t="s">
        <v>18</v>
      </c>
      <c r="E32" s="15"/>
      <c r="F32" s="5">
        <f>'emiss 1'!G39</f>
        <v>15</v>
      </c>
      <c r="G32" s="110"/>
      <c r="H32" s="5">
        <f>'emiss 1'!I39</f>
        <v>16</v>
      </c>
      <c r="I32" s="5"/>
      <c r="J32" s="5">
        <f>'emiss 1'!K39</f>
        <v>16.9</v>
      </c>
      <c r="K32" s="15"/>
      <c r="L32" s="18">
        <f>$F32</f>
        <v>15</v>
      </c>
      <c r="M32" s="15"/>
      <c r="N32" s="18">
        <f>$H32</f>
        <v>16</v>
      </c>
      <c r="O32" s="18"/>
      <c r="P32" s="18">
        <f>$J32</f>
        <v>16.9</v>
      </c>
      <c r="Q32" s="15"/>
      <c r="R32" s="18">
        <f>$F32</f>
        <v>15</v>
      </c>
      <c r="S32" s="15"/>
      <c r="T32" s="18">
        <f>$H32</f>
        <v>16</v>
      </c>
      <c r="U32" s="18"/>
      <c r="V32" s="18">
        <f>$J32</f>
        <v>16.9</v>
      </c>
      <c r="W32" s="15"/>
      <c r="X32" s="18">
        <f>$F32</f>
        <v>15</v>
      </c>
      <c r="Y32" s="15"/>
      <c r="Z32" s="18">
        <f>$H32</f>
        <v>16</v>
      </c>
      <c r="AA32" s="18"/>
      <c r="AB32" s="18">
        <f>$J32</f>
        <v>16.9</v>
      </c>
      <c r="AD32" s="20">
        <f>AVERAGE(X32,Z32,AB32)</f>
        <v>15.966666666666667</v>
      </c>
    </row>
    <row r="33" spans="5:11" ht="12.75">
      <c r="E33" s="15"/>
      <c r="I33" s="18"/>
      <c r="J33" s="15"/>
      <c r="K33" s="15"/>
    </row>
    <row r="34" spans="2:30" ht="12.75">
      <c r="B34" s="4" t="s">
        <v>260</v>
      </c>
      <c r="D34" s="4" t="s">
        <v>33</v>
      </c>
      <c r="E34" s="15"/>
      <c r="F34" s="5"/>
      <c r="H34" s="5"/>
      <c r="I34" s="18"/>
      <c r="J34" s="5"/>
      <c r="K34" s="15"/>
      <c r="L34" s="5">
        <f>L10*L12/1000000</f>
        <v>45.35112780000001</v>
      </c>
      <c r="N34" s="5">
        <f>N10*N12/1000000</f>
        <v>35.7267456</v>
      </c>
      <c r="P34" s="5">
        <f>P10*P12/1000000</f>
        <v>31.004485199999998</v>
      </c>
      <c r="R34" s="5"/>
      <c r="S34" s="15"/>
      <c r="T34" s="5"/>
      <c r="U34" s="18"/>
      <c r="V34" s="5"/>
      <c r="X34" s="5">
        <f>F34+L34+R34</f>
        <v>45.35112780000001</v>
      </c>
      <c r="Y34" s="110"/>
      <c r="Z34" s="5">
        <f>H34+N34+T34</f>
        <v>35.7267456</v>
      </c>
      <c r="AA34" s="5"/>
      <c r="AB34" s="5">
        <f>J34+P34+V34</f>
        <v>31.004485199999998</v>
      </c>
      <c r="AD34" s="20">
        <f>AVERAGE(X34,Z34,AB34)</f>
        <v>37.36078620000001</v>
      </c>
    </row>
    <row r="35" spans="2:30" ht="12.75">
      <c r="B35" s="4" t="s">
        <v>256</v>
      </c>
      <c r="D35" s="4" t="s">
        <v>33</v>
      </c>
      <c r="E35" s="15"/>
      <c r="F35" s="17"/>
      <c r="I35" s="5"/>
      <c r="J35" s="15"/>
      <c r="K35" s="15"/>
      <c r="X35" s="17">
        <f>X31/9000*60*(21-X32)/21</f>
        <v>52.49333333333334</v>
      </c>
      <c r="Y35" s="17"/>
      <c r="Z35" s="17">
        <f>Z31/9000*60*(21-Z32)/21</f>
        <v>45.8015873015873</v>
      </c>
      <c r="AA35" s="17"/>
      <c r="AB35" s="17">
        <f>AB31/9000*60*(21-AB32)/21</f>
        <v>38.24844444444446</v>
      </c>
      <c r="AC35" s="17"/>
      <c r="AD35" s="20">
        <f>AVERAGE(X35,Z35,AB35)</f>
        <v>45.51445502645503</v>
      </c>
    </row>
    <row r="36" spans="5:11" ht="12.75">
      <c r="E36" s="15"/>
      <c r="F36" s="66"/>
      <c r="H36" s="66"/>
      <c r="I36" s="5"/>
      <c r="J36" s="66"/>
      <c r="K36" s="15"/>
    </row>
    <row r="37" spans="8:30" ht="12.75">
      <c r="H37" s="18"/>
      <c r="J37" s="18"/>
      <c r="X37" s="15"/>
      <c r="Z37" s="15"/>
      <c r="AB37" s="15"/>
      <c r="AD37" s="90"/>
    </row>
    <row r="38" spans="2:30" ht="12.75">
      <c r="B38" s="48" t="s">
        <v>47</v>
      </c>
      <c r="C38" s="48"/>
      <c r="F38" s="15"/>
      <c r="H38" s="15"/>
      <c r="I38" s="15"/>
      <c r="J38" s="15"/>
      <c r="K38" s="18"/>
      <c r="Q38" s="16"/>
      <c r="R38" s="15"/>
      <c r="S38" s="15"/>
      <c r="T38" s="15"/>
      <c r="U38" s="15"/>
      <c r="V38" s="15"/>
      <c r="W38" s="16"/>
      <c r="X38" s="15"/>
      <c r="Y38" s="15"/>
      <c r="Z38" s="15"/>
      <c r="AA38" s="18"/>
      <c r="AB38" s="15"/>
      <c r="AD38" s="90"/>
    </row>
    <row r="39" spans="2:28" ht="12.75">
      <c r="B39" s="4" t="s">
        <v>23</v>
      </c>
      <c r="D39" s="4" t="s">
        <v>40</v>
      </c>
      <c r="F39" s="7"/>
      <c r="G39" s="90"/>
      <c r="H39" s="7"/>
      <c r="I39" s="7"/>
      <c r="J39" s="7"/>
      <c r="K39" s="90"/>
      <c r="L39" s="7">
        <f>L10*L14/100*454*1000/(L31*0.0283)*(21-7)/(21-L32)</f>
        <v>175984.14031598382</v>
      </c>
      <c r="M39" s="7"/>
      <c r="N39" s="7">
        <f>N10*N14/100*454*1000/(N31*0.0283)*(21-7)/(21-N32)</f>
        <v>181864.0127504833</v>
      </c>
      <c r="O39" s="7"/>
      <c r="P39" s="7">
        <f>P10*P14/100*454*1000/(P31*0.0283)*(21-7)/(21-P32)</f>
        <v>204100.65787309926</v>
      </c>
      <c r="R39" s="7"/>
      <c r="S39" s="15"/>
      <c r="T39" s="7"/>
      <c r="U39" s="5"/>
      <c r="V39" s="7"/>
      <c r="X39" s="7"/>
      <c r="Y39" s="7"/>
      <c r="Z39" s="7"/>
      <c r="AA39" s="7"/>
      <c r="AB39" s="7"/>
    </row>
    <row r="40" spans="2:30" ht="12.75">
      <c r="B40" s="4" t="s">
        <v>24</v>
      </c>
      <c r="D40" s="4" t="s">
        <v>35</v>
      </c>
      <c r="F40" s="7">
        <f>F15*1/60*1000000/(F$31*0.0283)*(21-7)/(21-F$32)</f>
        <v>204076.4937438788</v>
      </c>
      <c r="G40" s="91"/>
      <c r="H40" s="7">
        <f>H15*1/60*1000000/(H$31*0.0283)*(21-7)/(21-H$32)</f>
        <v>222348.24665547797</v>
      </c>
      <c r="I40" s="52"/>
      <c r="J40" s="7">
        <f>J15*1/60*1000000/(J$31*0.0283)*(21-7)/(21-J$32)</f>
        <v>24326.724327549626</v>
      </c>
      <c r="K40" s="91"/>
      <c r="L40" s="7">
        <f>L15*1/60*1000000/(L$31*0.0283)*(21-7)/(21-L$32)</f>
        <v>195194.4539931483</v>
      </c>
      <c r="M40" s="91"/>
      <c r="N40" s="7">
        <f>N15*1/60*1000000/(N$31*0.0283)*(21-7)/(21-N$32)</f>
        <v>254382.42755142838</v>
      </c>
      <c r="O40" s="52"/>
      <c r="P40" s="7">
        <f>P15*1/60*1000000/(P$31*0.0283)*(21-7)/(21-P$32)</f>
        <v>299923.6656485604</v>
      </c>
      <c r="Q40" s="115"/>
      <c r="R40" s="7">
        <f>R15*1/60*1000000/(R$31*0.0283)*(21-7)/(21-R$32)</f>
        <v>977211.856269021</v>
      </c>
      <c r="S40" s="91"/>
      <c r="T40" s="7">
        <f>T15*1/60*1000000/(T$31*0.0283)*(21-7)/(21-T$32)</f>
        <v>1117742.8917872333</v>
      </c>
      <c r="U40" s="52"/>
      <c r="V40" s="7">
        <f>V15*1/60*1000000/(V$31*0.0283)*(21-7)/(21-V$32)</f>
        <v>1241993.8270360467</v>
      </c>
      <c r="W40" s="49"/>
      <c r="X40" s="52">
        <f>F40+L40+R40</f>
        <v>1376482.804006048</v>
      </c>
      <c r="Y40" s="52"/>
      <c r="Z40" s="52">
        <f>H40+N40+T40</f>
        <v>1594473.5659941398</v>
      </c>
      <c r="AA40" s="52"/>
      <c r="AB40" s="52">
        <f>J40+P40+V40</f>
        <v>1566244.2170121567</v>
      </c>
      <c r="AD40" s="116">
        <f>AVERAGE(X40,Z40,AB40)</f>
        <v>1512400.1956707817</v>
      </c>
    </row>
    <row r="41" spans="5:30" ht="12.75">
      <c r="E41" s="15"/>
      <c r="F41" s="7"/>
      <c r="I41" s="7"/>
      <c r="J41" s="7"/>
      <c r="K41" s="7"/>
      <c r="L41" s="7"/>
      <c r="M41" s="7"/>
      <c r="N41" s="7"/>
      <c r="O41" s="7"/>
      <c r="P41" s="7"/>
      <c r="AD41" s="116"/>
    </row>
    <row r="42" spans="2:35" ht="12.75">
      <c r="B42" s="4" t="s">
        <v>109</v>
      </c>
      <c r="D42" s="4" t="s">
        <v>35</v>
      </c>
      <c r="F42" s="7">
        <f>F17*1/60*1000000/(F$31*0.0283)*(21-7)/(21-F$32)</f>
        <v>171.93301367364415</v>
      </c>
      <c r="H42" s="7">
        <f>H17*1/60*1000000/(H$31*0.0283)*(21-7)/(21-H$32)</f>
        <v>197.18265589757814</v>
      </c>
      <c r="J42" s="7">
        <f>J17*1/60*1000000/(J$31*0.0283)*(21-7)/(21-J$32)</f>
        <v>243.26724327549624</v>
      </c>
      <c r="L42" s="7">
        <f>L17*1/60*1000000/(L$31*0.0283)*(21-7)/(21-L$32)</f>
        <v>201.94386678526007</v>
      </c>
      <c r="M42" s="15"/>
      <c r="N42" s="7">
        <f>N17*1/60*1000000/(N$31*0.0283)*(21-7)/(21-N$32)</f>
        <v>244.5924435548442</v>
      </c>
      <c r="P42" s="7">
        <f>P17*1/60*1000000/(P$31*0.0283)*(21-7)/(21-P$32)</f>
        <v>292.2092057506059</v>
      </c>
      <c r="R42" s="7">
        <f>R17*1/60*1000000/(R$31*0.0283)*(21-7)/(21-R$32)</f>
        <v>0</v>
      </c>
      <c r="S42" s="15"/>
      <c r="T42" s="7">
        <f>T17*1/60*1000000/(T$31*0.0283)*(21-7)/(21-T$32)</f>
        <v>0</v>
      </c>
      <c r="V42" s="7">
        <f>V17*1/60*1000000/(V$31*0.0283)*(21-7)/(21-V$32)</f>
        <v>0</v>
      </c>
      <c r="X42" s="7">
        <f aca="true" t="shared" si="3" ref="X42:X53">F42+L42+R42</f>
        <v>373.8768804589042</v>
      </c>
      <c r="Y42" s="7"/>
      <c r="Z42" s="7">
        <f aca="true" t="shared" si="4" ref="Z42:Z53">H42+N42+T42</f>
        <v>441.77509945242235</v>
      </c>
      <c r="AA42" s="7"/>
      <c r="AB42" s="7">
        <f aca="true" t="shared" si="5" ref="AB42:AB53">J42+P42+V42</f>
        <v>535.4764490261022</v>
      </c>
      <c r="AD42" s="116">
        <f aca="true" t="shared" si="6" ref="AD42:AD53">AVERAGE(X42,Z42,AB42)</f>
        <v>450.37614297914297</v>
      </c>
      <c r="AE42" s="7"/>
      <c r="AF42" s="15"/>
      <c r="AG42" s="7"/>
      <c r="AI42" s="7"/>
    </row>
    <row r="43" spans="2:35" ht="12.75">
      <c r="B43" s="4" t="s">
        <v>108</v>
      </c>
      <c r="D43" s="4" t="s">
        <v>35</v>
      </c>
      <c r="F43" s="7">
        <f aca="true" t="shared" si="7" ref="F43:F53">F18*1/60*1000000/(F$31*0.0283)*(21-7)/(21-F$32)</f>
        <v>8451.724795086811</v>
      </c>
      <c r="H43" s="7">
        <f aca="true" t="shared" si="8" ref="H43:H53">H18*1/60*1000000/(H$31*0.0283)*(21-7)/(21-H$32)</f>
        <v>11617.56959118324</v>
      </c>
      <c r="J43" s="7">
        <f aca="true" t="shared" si="9" ref="J43:J53">J18*1/60*1000000/(J$31*0.0283)*(21-7)/(21-J$32)</f>
        <v>19444.572300228843</v>
      </c>
      <c r="L43" s="7">
        <f aca="true" t="shared" si="10" ref="L43:L53">L18*1/60*1000000/(L$31*0.0283)*(21-7)/(21-L$32)</f>
        <v>64.32286127234211</v>
      </c>
      <c r="M43" s="15"/>
      <c r="N43" s="7">
        <f aca="true" t="shared" si="11" ref="N43:N53">N18*1/60*1000000/(N$31*0.0283)*(21-7)/(21-N$32)</f>
        <v>62.29106623242528</v>
      </c>
      <c r="P43" s="7">
        <f aca="true" t="shared" si="12" ref="P43:P53">P18*1/60*1000000/(P$31*0.0283)*(21-7)/(21-P$32)</f>
        <v>85.54133657804621</v>
      </c>
      <c r="R43" s="7">
        <f aca="true" t="shared" si="13" ref="R43:R53">R18*1/60*1000000/(R$31*0.0283)*(21-7)/(21-R$32)</f>
        <v>20327.02141572324</v>
      </c>
      <c r="S43" s="15"/>
      <c r="T43" s="7">
        <f aca="true" t="shared" si="14" ref="T43:T53">T18*1/60*1000000/(T$31*0.0283)*(21-7)/(21-T$32)</f>
        <v>27076.612092589996</v>
      </c>
      <c r="V43" s="7">
        <f aca="true" t="shared" si="15" ref="V43:V53">V18*1/60*1000000/(V$31*0.0283)*(21-7)/(21-V$32)</f>
        <v>33049.75080029394</v>
      </c>
      <c r="X43" s="7">
        <f t="shared" si="3"/>
        <v>28843.06907208239</v>
      </c>
      <c r="Y43" s="7"/>
      <c r="Z43" s="7">
        <f t="shared" si="4"/>
        <v>38756.47275000566</v>
      </c>
      <c r="AA43" s="7"/>
      <c r="AB43" s="7">
        <f t="shared" si="5"/>
        <v>52579.864437100834</v>
      </c>
      <c r="AD43" s="116">
        <f t="shared" si="6"/>
        <v>40059.802086396296</v>
      </c>
      <c r="AE43" s="7"/>
      <c r="AF43" s="15"/>
      <c r="AG43" s="7"/>
      <c r="AI43" s="7"/>
    </row>
    <row r="44" spans="2:35" ht="12.75">
      <c r="B44" s="4" t="s">
        <v>110</v>
      </c>
      <c r="D44" s="4" t="s">
        <v>35</v>
      </c>
      <c r="F44" s="7">
        <f t="shared" si="7"/>
        <v>90013.61151524818</v>
      </c>
      <c r="H44" s="7">
        <f t="shared" si="8"/>
        <v>96940.90043246574</v>
      </c>
      <c r="J44" s="7">
        <f t="shared" si="9"/>
        <v>103054.7276636891</v>
      </c>
      <c r="L44" s="7">
        <f t="shared" si="10"/>
        <v>11641.939263462351</v>
      </c>
      <c r="M44" s="15"/>
      <c r="N44" s="7">
        <f t="shared" si="11"/>
        <v>15044.721189310343</v>
      </c>
      <c r="P44" s="7">
        <f t="shared" si="12"/>
        <v>18680.859247260047</v>
      </c>
      <c r="R44" s="7">
        <f t="shared" si="13"/>
        <v>0</v>
      </c>
      <c r="S44" s="15"/>
      <c r="T44" s="7">
        <f t="shared" si="14"/>
        <v>0</v>
      </c>
      <c r="V44" s="7">
        <f t="shared" si="15"/>
        <v>0</v>
      </c>
      <c r="X44" s="7">
        <f t="shared" si="3"/>
        <v>101655.55077871053</v>
      </c>
      <c r="Y44" s="7"/>
      <c r="Z44" s="7">
        <f t="shared" si="4"/>
        <v>111985.62162177608</v>
      </c>
      <c r="AA44" s="7"/>
      <c r="AB44" s="7">
        <f t="shared" si="5"/>
        <v>121735.58691094915</v>
      </c>
      <c r="AD44" s="116">
        <f t="shared" si="6"/>
        <v>111792.25310381192</v>
      </c>
      <c r="AE44" s="7"/>
      <c r="AF44" s="15"/>
      <c r="AG44" s="7"/>
      <c r="AI44" s="7"/>
    </row>
    <row r="45" spans="2:35" ht="12.75">
      <c r="B45" s="4" t="s">
        <v>111</v>
      </c>
      <c r="D45" s="4" t="s">
        <v>35</v>
      </c>
      <c r="F45" s="7">
        <f t="shared" si="7"/>
        <v>1470.4505262956347</v>
      </c>
      <c r="H45" s="7">
        <f t="shared" si="8"/>
        <v>1615.5673783400575</v>
      </c>
      <c r="J45" s="7">
        <f t="shared" si="9"/>
        <v>1428.8824861996843</v>
      </c>
      <c r="L45" s="7">
        <f t="shared" si="10"/>
        <v>1.7294038946146213</v>
      </c>
      <c r="M45" s="15"/>
      <c r="N45" s="7">
        <f t="shared" si="11"/>
        <v>1.7684170823656484</v>
      </c>
      <c r="P45" s="7">
        <f t="shared" si="12"/>
        <v>1.8487378430534356</v>
      </c>
      <c r="R45" s="7">
        <f t="shared" si="13"/>
        <v>4398.88590809769</v>
      </c>
      <c r="S45" s="15"/>
      <c r="T45" s="7">
        <f t="shared" si="14"/>
        <v>5753.637200257411</v>
      </c>
      <c r="V45" s="7">
        <f t="shared" si="15"/>
        <v>5172.85570554761</v>
      </c>
      <c r="X45" s="7">
        <f t="shared" si="3"/>
        <v>5871.065838287939</v>
      </c>
      <c r="Y45" s="7"/>
      <c r="Z45" s="7">
        <f t="shared" si="4"/>
        <v>7370.972995679834</v>
      </c>
      <c r="AA45" s="7"/>
      <c r="AB45" s="7">
        <f t="shared" si="5"/>
        <v>6603.5869295903485</v>
      </c>
      <c r="AD45" s="116">
        <f t="shared" si="6"/>
        <v>6615.208587852707</v>
      </c>
      <c r="AE45" s="7"/>
      <c r="AF45" s="15"/>
      <c r="AG45" s="7"/>
      <c r="AI45" s="7"/>
    </row>
    <row r="46" spans="2:35" ht="12.75">
      <c r="B46" s="4" t="s">
        <v>112</v>
      </c>
      <c r="D46" s="4" t="s">
        <v>35</v>
      </c>
      <c r="F46" s="7">
        <f>F21*1/60*1000000/(F$31*0.0283)*(21-7)/(21-F$32)</f>
        <v>68.77320546945765</v>
      </c>
      <c r="H46" s="7">
        <f t="shared" si="8"/>
        <v>78.87306235903127</v>
      </c>
      <c r="J46" s="7">
        <f t="shared" si="9"/>
        <v>97.30689731019848</v>
      </c>
      <c r="L46" s="7">
        <f t="shared" si="10"/>
        <v>49.364056325285794</v>
      </c>
      <c r="M46" s="15"/>
      <c r="N46" s="7">
        <f t="shared" si="11"/>
        <v>53.718901154568584</v>
      </c>
      <c r="P46" s="7">
        <f t="shared" si="12"/>
        <v>68.433069262437</v>
      </c>
      <c r="R46" s="7">
        <f t="shared" si="13"/>
        <v>11017.159843506966</v>
      </c>
      <c r="S46" s="15"/>
      <c r="T46" s="7">
        <f t="shared" si="14"/>
        <v>13143.98645271359</v>
      </c>
      <c r="V46" s="7">
        <f t="shared" si="15"/>
        <v>14589.930366751561</v>
      </c>
      <c r="X46" s="7">
        <f t="shared" si="3"/>
        <v>11135.29710530171</v>
      </c>
      <c r="Y46" s="7"/>
      <c r="Z46" s="7">
        <f t="shared" si="4"/>
        <v>13276.57841622719</v>
      </c>
      <c r="AA46" s="7"/>
      <c r="AB46" s="7">
        <f t="shared" si="5"/>
        <v>14755.670333324197</v>
      </c>
      <c r="AD46" s="116">
        <f t="shared" si="6"/>
        <v>13055.848618284364</v>
      </c>
      <c r="AE46" s="7"/>
      <c r="AF46" s="15"/>
      <c r="AG46" s="7"/>
      <c r="AI46" s="7"/>
    </row>
    <row r="47" spans="2:35" ht="12.75">
      <c r="B47" s="4" t="s">
        <v>113</v>
      </c>
      <c r="D47" s="4" t="s">
        <v>35</v>
      </c>
      <c r="F47" s="7">
        <f t="shared" si="7"/>
        <v>38066.668202437315</v>
      </c>
      <c r="H47" s="7">
        <f t="shared" si="8"/>
        <v>43392.29962411056</v>
      </c>
      <c r="J47" s="7">
        <f t="shared" si="9"/>
        <v>54832.68107722025</v>
      </c>
      <c r="L47" s="7">
        <f t="shared" si="10"/>
        <v>996.7550363055184</v>
      </c>
      <c r="M47" s="15"/>
      <c r="N47" s="7">
        <f t="shared" si="11"/>
        <v>1119.5247591680836</v>
      </c>
      <c r="P47" s="7">
        <f t="shared" si="12"/>
        <v>1619.8107494418834</v>
      </c>
      <c r="R47" s="7">
        <f t="shared" si="13"/>
        <v>75019.90268998205</v>
      </c>
      <c r="S47" s="15"/>
      <c r="T47" s="7">
        <f t="shared" si="14"/>
        <v>86630.3002768197</v>
      </c>
      <c r="V47" s="7">
        <f t="shared" si="15"/>
        <v>103737.68969492822</v>
      </c>
      <c r="X47" s="7">
        <f t="shared" si="3"/>
        <v>114083.32592872488</v>
      </c>
      <c r="Y47" s="7"/>
      <c r="Z47" s="7">
        <f t="shared" si="4"/>
        <v>131142.12466009834</v>
      </c>
      <c r="AA47" s="7"/>
      <c r="AB47" s="7">
        <f t="shared" si="5"/>
        <v>160190.18152159036</v>
      </c>
      <c r="AD47" s="116">
        <f t="shared" si="6"/>
        <v>135138.54403680455</v>
      </c>
      <c r="AE47" s="7"/>
      <c r="AF47" s="15"/>
      <c r="AG47" s="7"/>
      <c r="AI47" s="7"/>
    </row>
    <row r="48" spans="2:35" ht="12.75">
      <c r="B48" s="4" t="s">
        <v>115</v>
      </c>
      <c r="D48" s="4" t="s">
        <v>35</v>
      </c>
      <c r="F48" s="7">
        <f t="shared" si="7"/>
        <v>9551.196958695451</v>
      </c>
      <c r="H48" s="7">
        <f t="shared" si="8"/>
        <v>12002.17406434308</v>
      </c>
      <c r="J48" s="7">
        <f t="shared" si="9"/>
        <v>17208.179596732403</v>
      </c>
      <c r="L48" s="7">
        <f t="shared" si="10"/>
        <v>1269.005286341943</v>
      </c>
      <c r="M48" s="15"/>
      <c r="N48" s="7">
        <f t="shared" si="11"/>
        <v>1417.2646262056392</v>
      </c>
      <c r="P48" s="7">
        <f t="shared" si="12"/>
        <v>2099.5265649715666</v>
      </c>
      <c r="R48" s="7">
        <f t="shared" si="13"/>
        <v>260666.15148542429</v>
      </c>
      <c r="S48" s="15"/>
      <c r="T48" s="7">
        <f t="shared" si="14"/>
        <v>304464.4448022983</v>
      </c>
      <c r="V48" s="7">
        <f t="shared" si="15"/>
        <v>357746.1875218565</v>
      </c>
      <c r="X48" s="7">
        <f t="shared" si="3"/>
        <v>271486.3537304617</v>
      </c>
      <c r="Y48" s="7"/>
      <c r="Z48" s="7">
        <f t="shared" si="4"/>
        <v>317883.88349284703</v>
      </c>
      <c r="AA48" s="7"/>
      <c r="AB48" s="7">
        <f t="shared" si="5"/>
        <v>377053.8936835605</v>
      </c>
      <c r="AD48" s="116">
        <f t="shared" si="6"/>
        <v>322141.3769689564</v>
      </c>
      <c r="AE48" s="7"/>
      <c r="AF48" s="15"/>
      <c r="AG48" s="7"/>
      <c r="AI48" s="7"/>
    </row>
    <row r="49" spans="2:35" ht="12.75">
      <c r="B49" s="4" t="s">
        <v>137</v>
      </c>
      <c r="D49" s="4" t="s">
        <v>35</v>
      </c>
      <c r="F49" s="7">
        <f t="shared" si="7"/>
        <v>650021.4060498793</v>
      </c>
      <c r="H49" s="7">
        <f t="shared" si="8"/>
        <v>672430.9170236872</v>
      </c>
      <c r="J49" s="7">
        <f t="shared" si="9"/>
        <v>825407.5179009616</v>
      </c>
      <c r="L49" s="7">
        <f t="shared" si="10"/>
        <v>10108.163129557512</v>
      </c>
      <c r="M49" s="15"/>
      <c r="N49" s="7">
        <f t="shared" si="11"/>
        <v>11556.421480294532</v>
      </c>
      <c r="P49" s="7">
        <f t="shared" si="12"/>
        <v>13367.71574972444</v>
      </c>
      <c r="R49" s="7">
        <f t="shared" si="13"/>
        <v>0</v>
      </c>
      <c r="S49" s="15"/>
      <c r="T49" s="7">
        <f t="shared" si="14"/>
        <v>0</v>
      </c>
      <c r="V49" s="7">
        <f t="shared" si="15"/>
        <v>0</v>
      </c>
      <c r="X49" s="7">
        <f t="shared" si="3"/>
        <v>660129.5691794368</v>
      </c>
      <c r="Y49" s="7"/>
      <c r="Z49" s="7">
        <f t="shared" si="4"/>
        <v>683987.3385039817</v>
      </c>
      <c r="AA49" s="7"/>
      <c r="AB49" s="7">
        <f t="shared" si="5"/>
        <v>838775.233650686</v>
      </c>
      <c r="AD49" s="116">
        <f t="shared" si="6"/>
        <v>727630.7137780348</v>
      </c>
      <c r="AE49" s="7"/>
      <c r="AF49" s="15"/>
      <c r="AG49" s="7"/>
      <c r="AI49" s="7"/>
    </row>
    <row r="50" spans="2:35" ht="12.75">
      <c r="B50" s="4" t="s">
        <v>116</v>
      </c>
      <c r="D50" s="4" t="s">
        <v>35</v>
      </c>
      <c r="F50" s="7">
        <f t="shared" si="7"/>
        <v>6.533454519598479</v>
      </c>
      <c r="H50" s="7">
        <f t="shared" si="8"/>
        <v>7.887306235903127</v>
      </c>
      <c r="J50" s="7">
        <f t="shared" si="9"/>
        <v>9.244155244468857</v>
      </c>
      <c r="K50" s="13" t="s">
        <v>107</v>
      </c>
      <c r="L50" s="7">
        <f t="shared" si="10"/>
        <v>0.6917615578458484</v>
      </c>
      <c r="M50" s="15" t="s">
        <v>107</v>
      </c>
      <c r="N50" s="7">
        <f t="shared" si="11"/>
        <v>0.7073668329462593</v>
      </c>
      <c r="O50" s="13" t="s">
        <v>107</v>
      </c>
      <c r="P50" s="7">
        <f t="shared" si="12"/>
        <v>0.7394951372213744</v>
      </c>
      <c r="R50" s="7">
        <f t="shared" si="13"/>
        <v>0</v>
      </c>
      <c r="S50" s="15"/>
      <c r="T50" s="7">
        <f t="shared" si="14"/>
        <v>0</v>
      </c>
      <c r="V50" s="7">
        <f t="shared" si="15"/>
        <v>0</v>
      </c>
      <c r="X50" s="5">
        <f t="shared" si="3"/>
        <v>7.225216077444327</v>
      </c>
      <c r="Y50" s="5"/>
      <c r="Z50" s="5">
        <f t="shared" si="4"/>
        <v>8.594673068849387</v>
      </c>
      <c r="AA50" s="5"/>
      <c r="AB50" s="5">
        <f t="shared" si="5"/>
        <v>9.98365038169023</v>
      </c>
      <c r="AD50" s="116">
        <f t="shared" si="6"/>
        <v>8.601179842661315</v>
      </c>
      <c r="AE50" s="7"/>
      <c r="AF50" s="15"/>
      <c r="AG50" s="7"/>
      <c r="AI50" s="7"/>
    </row>
    <row r="51" spans="2:35" ht="12.75">
      <c r="B51" s="4" t="s">
        <v>117</v>
      </c>
      <c r="D51" s="4" t="s">
        <v>35</v>
      </c>
      <c r="F51" s="7">
        <f t="shared" si="7"/>
        <v>23430.973442237428</v>
      </c>
      <c r="H51" s="7">
        <f t="shared" si="8"/>
        <v>28851.621741378192</v>
      </c>
      <c r="J51" s="7">
        <f t="shared" si="9"/>
        <v>34610.70911017012</v>
      </c>
      <c r="L51" s="7">
        <f t="shared" si="10"/>
        <v>574.4181099669621</v>
      </c>
      <c r="M51" s="15"/>
      <c r="N51" s="7">
        <f t="shared" si="11"/>
        <v>612.0525865589677</v>
      </c>
      <c r="P51" s="7">
        <f t="shared" si="12"/>
        <v>706.2292747883496</v>
      </c>
      <c r="R51" s="7">
        <f t="shared" si="13"/>
        <v>0</v>
      </c>
      <c r="S51" s="15"/>
      <c r="T51" s="7">
        <f t="shared" si="14"/>
        <v>0</v>
      </c>
      <c r="V51" s="7">
        <f t="shared" si="15"/>
        <v>0</v>
      </c>
      <c r="X51" s="7">
        <f t="shared" si="3"/>
        <v>24005.39155220439</v>
      </c>
      <c r="Y51" s="7"/>
      <c r="Z51" s="7">
        <f t="shared" si="4"/>
        <v>29463.67432793716</v>
      </c>
      <c r="AA51" s="7"/>
      <c r="AB51" s="7">
        <f t="shared" si="5"/>
        <v>35316.93838495847</v>
      </c>
      <c r="AD51" s="116">
        <f t="shared" si="6"/>
        <v>29595.334755033342</v>
      </c>
      <c r="AE51" s="7"/>
      <c r="AF51" s="15"/>
      <c r="AG51" s="7"/>
      <c r="AI51" s="7"/>
    </row>
    <row r="52" spans="2:35" ht="12.75">
      <c r="B52" s="4" t="s">
        <v>119</v>
      </c>
      <c r="D52" s="4" t="s">
        <v>35</v>
      </c>
      <c r="F52" s="7">
        <f t="shared" si="7"/>
        <v>147.59354214428888</v>
      </c>
      <c r="H52" s="7">
        <f t="shared" si="8"/>
        <v>198.30275213441809</v>
      </c>
      <c r="J52" s="7">
        <f t="shared" si="9"/>
        <v>238.14708103328073</v>
      </c>
      <c r="L52" s="7">
        <f t="shared" si="10"/>
        <v>6.917615578458485</v>
      </c>
      <c r="M52" s="15"/>
      <c r="N52" s="7">
        <f t="shared" si="11"/>
        <v>16.552383890942465</v>
      </c>
      <c r="P52" s="7">
        <f t="shared" si="12"/>
        <v>27.80501715952367</v>
      </c>
      <c r="R52" s="7">
        <f t="shared" si="13"/>
        <v>0</v>
      </c>
      <c r="S52" s="15"/>
      <c r="T52" s="7">
        <f t="shared" si="14"/>
        <v>0</v>
      </c>
      <c r="V52" s="7">
        <f t="shared" si="15"/>
        <v>0</v>
      </c>
      <c r="X52" s="7">
        <f t="shared" si="3"/>
        <v>154.51115772274736</v>
      </c>
      <c r="Y52" s="7"/>
      <c r="Z52" s="7">
        <f t="shared" si="4"/>
        <v>214.85513602536054</v>
      </c>
      <c r="AA52" s="7"/>
      <c r="AB52" s="7">
        <f t="shared" si="5"/>
        <v>265.9520981928044</v>
      </c>
      <c r="AD52" s="116">
        <f t="shared" si="6"/>
        <v>211.77279731363743</v>
      </c>
      <c r="AE52" s="7"/>
      <c r="AF52" s="15"/>
      <c r="AG52" s="7"/>
      <c r="AI52" s="7"/>
    </row>
    <row r="53" spans="2:35" ht="12.75">
      <c r="B53" s="4" t="s">
        <v>120</v>
      </c>
      <c r="D53" s="4" t="s">
        <v>35</v>
      </c>
      <c r="F53" s="7">
        <f t="shared" si="7"/>
        <v>388.4303017918953</v>
      </c>
      <c r="H53" s="7">
        <f t="shared" si="8"/>
        <v>429.1797315646916</v>
      </c>
      <c r="J53" s="7">
        <f t="shared" si="9"/>
        <v>576.2064431897194</v>
      </c>
      <c r="L53" s="7">
        <f t="shared" si="10"/>
        <v>17.294038946146213</v>
      </c>
      <c r="M53" s="15"/>
      <c r="N53" s="7">
        <f t="shared" si="11"/>
        <v>17.68417082365648</v>
      </c>
      <c r="P53" s="7">
        <f t="shared" si="12"/>
        <v>18.487378430534356</v>
      </c>
      <c r="R53" s="7">
        <f t="shared" si="13"/>
        <v>0</v>
      </c>
      <c r="S53" s="15"/>
      <c r="T53" s="7">
        <f t="shared" si="14"/>
        <v>0</v>
      </c>
      <c r="V53" s="7">
        <f t="shared" si="15"/>
        <v>0</v>
      </c>
      <c r="X53" s="7">
        <f t="shared" si="3"/>
        <v>405.7243407380415</v>
      </c>
      <c r="Y53" s="7"/>
      <c r="Z53" s="7">
        <f t="shared" si="4"/>
        <v>446.8639023883481</v>
      </c>
      <c r="AA53" s="7"/>
      <c r="AB53" s="7">
        <f t="shared" si="5"/>
        <v>594.6938216202537</v>
      </c>
      <c r="AD53" s="116">
        <f t="shared" si="6"/>
        <v>482.42735491554777</v>
      </c>
      <c r="AE53" s="7"/>
      <c r="AF53" s="15"/>
      <c r="AG53" s="7"/>
      <c r="AI53" s="7"/>
    </row>
    <row r="54" spans="6:35" ht="12.75">
      <c r="F54" s="7"/>
      <c r="H54" s="7"/>
      <c r="J54" s="7"/>
      <c r="L54" s="7"/>
      <c r="M54" s="15"/>
      <c r="N54" s="7"/>
      <c r="P54" s="7"/>
      <c r="R54" s="7"/>
      <c r="S54" s="15"/>
      <c r="T54" s="7"/>
      <c r="V54" s="7"/>
      <c r="X54" s="7"/>
      <c r="Y54" s="117"/>
      <c r="Z54" s="7"/>
      <c r="AA54" s="57"/>
      <c r="AB54" s="7"/>
      <c r="AE54" s="7"/>
      <c r="AF54" s="15"/>
      <c r="AG54" s="7"/>
      <c r="AI54" s="7"/>
    </row>
    <row r="55" spans="2:35" ht="12.75">
      <c r="B55" s="4" t="s">
        <v>36</v>
      </c>
      <c r="D55" s="4" t="s">
        <v>35</v>
      </c>
      <c r="F55" s="7">
        <f>F46+F48</f>
        <v>9619.970164164908</v>
      </c>
      <c r="H55" s="7">
        <f>H46+H48</f>
        <v>12081.047126702111</v>
      </c>
      <c r="J55" s="7">
        <f>J46+J48</f>
        <v>17305.4864940426</v>
      </c>
      <c r="L55" s="7">
        <f>L46+L48</f>
        <v>1318.369342667229</v>
      </c>
      <c r="M55" s="15"/>
      <c r="N55" s="7">
        <f>N46+N48</f>
        <v>1470.9835273602077</v>
      </c>
      <c r="P55" s="7">
        <f>P46+P48</f>
        <v>2167.9596342340037</v>
      </c>
      <c r="R55" s="7">
        <f>R46+R48</f>
        <v>271683.31132893125</v>
      </c>
      <c r="S55" s="15"/>
      <c r="T55" s="7">
        <f>T46+T48</f>
        <v>317608.43125501194</v>
      </c>
      <c r="V55" s="7">
        <f>V46+V48</f>
        <v>372336.1178886081</v>
      </c>
      <c r="X55" s="7">
        <f>F55+L55+R55</f>
        <v>282621.6508357634</v>
      </c>
      <c r="Y55" s="7"/>
      <c r="Z55" s="7">
        <f>H55+N55+T55</f>
        <v>331160.4619090743</v>
      </c>
      <c r="AA55" s="7"/>
      <c r="AB55" s="7">
        <f>J55+P55+V55</f>
        <v>391809.56401688466</v>
      </c>
      <c r="AD55" s="20">
        <f>AVERAGE(X55,Z55,AB55)</f>
        <v>335197.22558724077</v>
      </c>
      <c r="AE55" s="7"/>
      <c r="AF55" s="15"/>
      <c r="AG55" s="7"/>
      <c r="AI55" s="7"/>
    </row>
    <row r="56" spans="2:35" ht="12.75">
      <c r="B56" s="4" t="s">
        <v>37</v>
      </c>
      <c r="D56" s="4" t="s">
        <v>35</v>
      </c>
      <c r="F56" s="7">
        <f>F43+F45+F47</f>
        <v>47988.84352381976</v>
      </c>
      <c r="H56" s="7">
        <f>H43+H45+H47</f>
        <v>56625.43659363386</v>
      </c>
      <c r="J56" s="7">
        <f>J43+J45+J47</f>
        <v>75706.13586364879</v>
      </c>
      <c r="L56" s="7">
        <f>L43+L45+L47</f>
        <v>1062.807301472475</v>
      </c>
      <c r="M56" s="15"/>
      <c r="N56" s="7">
        <f>N43+N45+N47</f>
        <v>1183.5842424828745</v>
      </c>
      <c r="P56" s="7">
        <f>P43+P45+P47</f>
        <v>1707.200823862983</v>
      </c>
      <c r="R56" s="7">
        <f>R43+R45+R47</f>
        <v>99745.81001380298</v>
      </c>
      <c r="S56" s="15"/>
      <c r="T56" s="7">
        <f>T43+T45+T47</f>
        <v>119460.54956966711</v>
      </c>
      <c r="V56" s="7">
        <f>V43+V45+V47</f>
        <v>141960.29620076978</v>
      </c>
      <c r="X56" s="7">
        <f>F56+L56+R56</f>
        <v>148797.46083909523</v>
      </c>
      <c r="Y56" s="7"/>
      <c r="Z56" s="7">
        <f>H56+N56+T56</f>
        <v>177269.57040578383</v>
      </c>
      <c r="AA56" s="7"/>
      <c r="AB56" s="7">
        <f>J56+P56+V56</f>
        <v>219373.63288828154</v>
      </c>
      <c r="AD56" s="20">
        <f>AVERAGE(X56,Z56,AB56)</f>
        <v>181813.55471105353</v>
      </c>
      <c r="AE56" s="7"/>
      <c r="AF56" s="15"/>
      <c r="AG56" s="7"/>
      <c r="AI56" s="7"/>
    </row>
    <row r="59" spans="1:30" ht="12.75">
      <c r="A59" s="13" t="s">
        <v>59</v>
      </c>
      <c r="B59" s="16" t="s">
        <v>165</v>
      </c>
      <c r="C59" s="4" t="s">
        <v>58</v>
      </c>
      <c r="F59" s="15" t="s">
        <v>169</v>
      </c>
      <c r="H59" s="15" t="s">
        <v>170</v>
      </c>
      <c r="I59" s="15"/>
      <c r="J59" s="15" t="s">
        <v>171</v>
      </c>
      <c r="K59" s="18"/>
      <c r="L59" s="15" t="s">
        <v>169</v>
      </c>
      <c r="M59" s="15"/>
      <c r="N59" s="15" t="s">
        <v>170</v>
      </c>
      <c r="O59" s="15"/>
      <c r="P59" s="15" t="s">
        <v>171</v>
      </c>
      <c r="Q59" s="16"/>
      <c r="R59" s="15" t="s">
        <v>169</v>
      </c>
      <c r="S59" s="15"/>
      <c r="T59" s="15" t="s">
        <v>170</v>
      </c>
      <c r="U59" s="15"/>
      <c r="V59" s="15" t="s">
        <v>171</v>
      </c>
      <c r="W59" s="16"/>
      <c r="X59" s="15" t="s">
        <v>169</v>
      </c>
      <c r="Y59" s="15"/>
      <c r="Z59" s="15" t="s">
        <v>170</v>
      </c>
      <c r="AA59" s="15"/>
      <c r="AB59" s="15" t="s">
        <v>171</v>
      </c>
      <c r="AD59" s="90" t="s">
        <v>172</v>
      </c>
    </row>
    <row r="60" spans="2:30" ht="12.75">
      <c r="B60" s="16"/>
      <c r="F60" s="15"/>
      <c r="H60" s="15"/>
      <c r="I60" s="15"/>
      <c r="J60" s="15"/>
      <c r="K60" s="18"/>
      <c r="L60" s="15"/>
      <c r="M60" s="15"/>
      <c r="N60" s="15"/>
      <c r="O60" s="15"/>
      <c r="P60" s="15"/>
      <c r="Q60" s="16"/>
      <c r="R60" s="15"/>
      <c r="S60" s="15"/>
      <c r="T60" s="15"/>
      <c r="U60" s="15"/>
      <c r="V60" s="15"/>
      <c r="W60" s="16"/>
      <c r="X60" s="15"/>
      <c r="Y60" s="15"/>
      <c r="Z60" s="15"/>
      <c r="AA60" s="15"/>
      <c r="AB60" s="15"/>
      <c r="AD60" s="90"/>
    </row>
    <row r="61" spans="2:30" ht="12.75">
      <c r="B61" s="8" t="s">
        <v>245</v>
      </c>
      <c r="F61" s="15" t="s">
        <v>246</v>
      </c>
      <c r="H61" s="15" t="s">
        <v>246</v>
      </c>
      <c r="I61" s="15"/>
      <c r="J61" s="15" t="s">
        <v>246</v>
      </c>
      <c r="K61" s="18"/>
      <c r="L61" s="15" t="s">
        <v>247</v>
      </c>
      <c r="M61" s="15"/>
      <c r="N61" s="15" t="s">
        <v>247</v>
      </c>
      <c r="O61" s="15"/>
      <c r="P61" s="15" t="s">
        <v>247</v>
      </c>
      <c r="Q61" s="16"/>
      <c r="R61" s="15" t="s">
        <v>248</v>
      </c>
      <c r="S61" s="15"/>
      <c r="T61" s="15" t="s">
        <v>248</v>
      </c>
      <c r="U61" s="15"/>
      <c r="V61" s="15" t="s">
        <v>248</v>
      </c>
      <c r="W61" s="16"/>
      <c r="X61" s="15" t="s">
        <v>249</v>
      </c>
      <c r="Y61" s="15"/>
      <c r="Z61" s="15" t="s">
        <v>249</v>
      </c>
      <c r="AA61" s="15"/>
      <c r="AB61" s="15" t="s">
        <v>249</v>
      </c>
      <c r="AD61" s="90" t="s">
        <v>249</v>
      </c>
    </row>
    <row r="62" spans="1:30" ht="12.75">
      <c r="A62" s="12"/>
      <c r="B62" s="8" t="s">
        <v>250</v>
      </c>
      <c r="F62" s="13" t="s">
        <v>251</v>
      </c>
      <c r="G62" s="13"/>
      <c r="H62" s="13" t="s">
        <v>251</v>
      </c>
      <c r="J62" s="13" t="s">
        <v>251</v>
      </c>
      <c r="L62" s="13" t="s">
        <v>252</v>
      </c>
      <c r="N62" s="13" t="s">
        <v>252</v>
      </c>
      <c r="P62" s="13" t="s">
        <v>252</v>
      </c>
      <c r="R62" s="106" t="s">
        <v>34</v>
      </c>
      <c r="S62" s="106"/>
      <c r="T62" s="106" t="s">
        <v>34</v>
      </c>
      <c r="U62" s="106"/>
      <c r="V62" s="106" t="s">
        <v>34</v>
      </c>
      <c r="X62" s="106" t="s">
        <v>63</v>
      </c>
      <c r="Y62" s="106"/>
      <c r="Z62" s="106" t="s">
        <v>63</v>
      </c>
      <c r="AA62" s="106"/>
      <c r="AB62" s="106" t="s">
        <v>63</v>
      </c>
      <c r="AD62" s="90" t="s">
        <v>63</v>
      </c>
    </row>
    <row r="63" spans="1:30" ht="12.75">
      <c r="A63" s="12"/>
      <c r="B63" s="8" t="s">
        <v>255</v>
      </c>
      <c r="F63" s="13" t="s">
        <v>140</v>
      </c>
      <c r="G63" s="13"/>
      <c r="H63" s="13" t="s">
        <v>140</v>
      </c>
      <c r="J63" s="13" t="s">
        <v>140</v>
      </c>
      <c r="L63" s="13" t="s">
        <v>41</v>
      </c>
      <c r="N63" s="13" t="s">
        <v>41</v>
      </c>
      <c r="P63" s="13" t="s">
        <v>41</v>
      </c>
      <c r="R63" s="106" t="s">
        <v>34</v>
      </c>
      <c r="S63" s="106"/>
      <c r="T63" s="106" t="s">
        <v>34</v>
      </c>
      <c r="U63" s="106"/>
      <c r="V63" s="106" t="s">
        <v>34</v>
      </c>
      <c r="X63" s="106" t="s">
        <v>63</v>
      </c>
      <c r="Y63" s="106"/>
      <c r="Z63" s="106" t="s">
        <v>63</v>
      </c>
      <c r="AA63" s="106"/>
      <c r="AB63" s="106" t="s">
        <v>63</v>
      </c>
      <c r="AD63" s="90" t="s">
        <v>63</v>
      </c>
    </row>
    <row r="64" spans="2:30" ht="12.75">
      <c r="B64" s="4" t="s">
        <v>20</v>
      </c>
      <c r="C64" s="16"/>
      <c r="D64" s="36"/>
      <c r="F64" s="13" t="s">
        <v>251</v>
      </c>
      <c r="H64" s="13" t="s">
        <v>251</v>
      </c>
      <c r="J64" s="13" t="s">
        <v>251</v>
      </c>
      <c r="L64" s="107" t="s">
        <v>138</v>
      </c>
      <c r="M64" s="15"/>
      <c r="N64" s="107" t="s">
        <v>138</v>
      </c>
      <c r="P64" s="107" t="s">
        <v>138</v>
      </c>
      <c r="Q64" s="106"/>
      <c r="R64" s="106" t="s">
        <v>34</v>
      </c>
      <c r="S64" s="106"/>
      <c r="T64" s="106" t="s">
        <v>34</v>
      </c>
      <c r="U64" s="106"/>
      <c r="V64" s="106" t="s">
        <v>34</v>
      </c>
      <c r="W64" s="106"/>
      <c r="X64" s="106" t="s">
        <v>63</v>
      </c>
      <c r="Y64" s="106"/>
      <c r="Z64" s="106" t="s">
        <v>63</v>
      </c>
      <c r="AA64" s="106"/>
      <c r="AB64" s="106" t="s">
        <v>63</v>
      </c>
      <c r="AD64" s="90" t="s">
        <v>63</v>
      </c>
    </row>
    <row r="65" spans="2:28" ht="12.75">
      <c r="B65" s="4" t="s">
        <v>62</v>
      </c>
      <c r="D65" s="4" t="s">
        <v>261</v>
      </c>
      <c r="H65" s="18"/>
      <c r="J65" s="18"/>
      <c r="L65" s="18">
        <v>43.78</v>
      </c>
      <c r="M65" s="15"/>
      <c r="N65" s="18">
        <v>41.9</v>
      </c>
      <c r="P65" s="18">
        <v>39.58</v>
      </c>
      <c r="Q65" s="4"/>
      <c r="R65" s="18"/>
      <c r="S65" s="15"/>
      <c r="X65" s="7"/>
      <c r="Y65" s="15"/>
      <c r="Z65" s="7"/>
      <c r="AA65" s="18"/>
      <c r="AB65" s="7"/>
    </row>
    <row r="66" spans="2:28" ht="12.75">
      <c r="B66" s="4" t="s">
        <v>124</v>
      </c>
      <c r="D66" s="4" t="s">
        <v>125</v>
      </c>
      <c r="H66" s="18"/>
      <c r="J66" s="18"/>
      <c r="L66" s="18">
        <v>0.916</v>
      </c>
      <c r="M66" s="15"/>
      <c r="N66" s="18">
        <v>0.91</v>
      </c>
      <c r="P66" s="18">
        <v>0.915</v>
      </c>
      <c r="Q66" s="4"/>
      <c r="R66" s="18"/>
      <c r="S66" s="15"/>
      <c r="X66" s="5"/>
      <c r="Y66" s="15"/>
      <c r="Z66" s="5"/>
      <c r="AA66" s="18"/>
      <c r="AB66" s="5"/>
    </row>
    <row r="67" spans="12:13" ht="12.75">
      <c r="L67" s="18"/>
      <c r="M67" s="15"/>
    </row>
    <row r="68" spans="2:16" ht="12.75">
      <c r="B68" s="4" t="s">
        <v>21</v>
      </c>
      <c r="D68" s="4" t="s">
        <v>22</v>
      </c>
      <c r="L68" s="18">
        <v>10884</v>
      </c>
      <c r="M68" s="15"/>
      <c r="N68" s="13">
        <v>11480</v>
      </c>
      <c r="P68" s="13">
        <v>11234</v>
      </c>
    </row>
    <row r="69" spans="12:13" ht="12.75">
      <c r="L69" s="18"/>
      <c r="M69" s="15"/>
    </row>
    <row r="70" spans="2:16" ht="12.75">
      <c r="B70" s="4" t="s">
        <v>23</v>
      </c>
      <c r="D70" s="4" t="s">
        <v>18</v>
      </c>
      <c r="L70" s="18">
        <v>3.44</v>
      </c>
      <c r="M70" s="15"/>
      <c r="N70" s="13">
        <v>3.47</v>
      </c>
      <c r="P70" s="13">
        <v>0.51</v>
      </c>
    </row>
    <row r="71" spans="2:16" ht="12.75">
      <c r="B71" s="4" t="s">
        <v>24</v>
      </c>
      <c r="D71" s="4" t="s">
        <v>18</v>
      </c>
      <c r="F71" s="18">
        <f>0.034/2</f>
        <v>0.017</v>
      </c>
      <c r="H71" s="18">
        <f>0.039/2</f>
        <v>0.0195</v>
      </c>
      <c r="J71" s="18">
        <f>0.035/2</f>
        <v>0.0175</v>
      </c>
      <c r="L71" s="18">
        <v>0.67</v>
      </c>
      <c r="M71" s="15"/>
      <c r="N71" s="18">
        <v>0.67</v>
      </c>
      <c r="P71" s="18">
        <v>0.62</v>
      </c>
    </row>
    <row r="73" spans="2:30" ht="12.75">
      <c r="B73" s="4" t="s">
        <v>24</v>
      </c>
      <c r="D73" s="4" t="s">
        <v>139</v>
      </c>
      <c r="AD73" s="20">
        <v>37657</v>
      </c>
    </row>
    <row r="75" spans="2:30" ht="12.75">
      <c r="B75" s="4" t="s">
        <v>38</v>
      </c>
      <c r="D75" s="4" t="s">
        <v>17</v>
      </c>
      <c r="E75" s="15"/>
      <c r="F75" s="7">
        <f>'emiss 1'!G83</f>
        <v>32462</v>
      </c>
      <c r="H75" s="7">
        <f>'emiss 1'!I83</f>
        <v>28498</v>
      </c>
      <c r="J75" s="7">
        <f>'emiss 1'!K83</f>
        <v>29100</v>
      </c>
      <c r="K75" s="15"/>
      <c r="L75" s="18">
        <f>$F75</f>
        <v>32462</v>
      </c>
      <c r="M75" s="15"/>
      <c r="N75" s="18">
        <f>$H75</f>
        <v>28498</v>
      </c>
      <c r="O75" s="18"/>
      <c r="P75" s="18">
        <f>$J75</f>
        <v>29100</v>
      </c>
      <c r="R75" s="18">
        <f>$F75</f>
        <v>32462</v>
      </c>
      <c r="S75" s="15"/>
      <c r="T75" s="18">
        <f>$H75</f>
        <v>28498</v>
      </c>
      <c r="U75" s="18"/>
      <c r="V75" s="18">
        <f>$J75</f>
        <v>29100</v>
      </c>
      <c r="X75" s="18">
        <f>$F75</f>
        <v>32462</v>
      </c>
      <c r="Y75" s="15"/>
      <c r="Z75" s="18">
        <f>$H75</f>
        <v>28498</v>
      </c>
      <c r="AA75" s="18"/>
      <c r="AB75" s="18">
        <f>$J75</f>
        <v>29100</v>
      </c>
      <c r="AD75" s="20">
        <f>AVERAGE(X75,Z75,AB75)</f>
        <v>30020</v>
      </c>
    </row>
    <row r="76" spans="2:30" ht="12.75">
      <c r="B76" s="4" t="s">
        <v>39</v>
      </c>
      <c r="D76" s="4" t="s">
        <v>18</v>
      </c>
      <c r="E76" s="15"/>
      <c r="F76" s="5">
        <f>'emiss 1'!G84</f>
        <v>16.1</v>
      </c>
      <c r="H76" s="5">
        <f>'emiss 1'!I84</f>
        <v>16.5</v>
      </c>
      <c r="J76" s="5">
        <f>'emiss 1'!K84</f>
        <v>16.4</v>
      </c>
      <c r="K76" s="15"/>
      <c r="L76" s="18">
        <f>$F76</f>
        <v>16.1</v>
      </c>
      <c r="M76" s="15"/>
      <c r="N76" s="18">
        <f>$H76</f>
        <v>16.5</v>
      </c>
      <c r="O76" s="18"/>
      <c r="P76" s="18">
        <f>$J76</f>
        <v>16.4</v>
      </c>
      <c r="Q76" s="15"/>
      <c r="R76" s="18">
        <f>$F76</f>
        <v>16.1</v>
      </c>
      <c r="S76" s="15"/>
      <c r="T76" s="18">
        <f>$H76</f>
        <v>16.5</v>
      </c>
      <c r="U76" s="18"/>
      <c r="V76" s="18">
        <f>$J76</f>
        <v>16.4</v>
      </c>
      <c r="W76" s="15"/>
      <c r="X76" s="18">
        <f>$F76</f>
        <v>16.1</v>
      </c>
      <c r="Y76" s="15"/>
      <c r="Z76" s="18">
        <f>$H76</f>
        <v>16.5</v>
      </c>
      <c r="AA76" s="18"/>
      <c r="AB76" s="18">
        <f>$J76</f>
        <v>16.4</v>
      </c>
      <c r="AD76" s="20">
        <f>AVERAGE(X76,Z76,AB76)</f>
        <v>16.333333333333332</v>
      </c>
    </row>
    <row r="77" ht="12.75">
      <c r="E77" s="15"/>
    </row>
    <row r="78" spans="2:30" ht="12.75">
      <c r="B78" s="4" t="s">
        <v>260</v>
      </c>
      <c r="D78" s="4" t="s">
        <v>33</v>
      </c>
      <c r="E78" s="15"/>
      <c r="F78" s="5"/>
      <c r="L78" s="17">
        <f>L65*L68*60/1000000</f>
        <v>28.590091200000003</v>
      </c>
      <c r="M78" s="17"/>
      <c r="N78" s="17">
        <f>N65*N68*60/1000000</f>
        <v>28.86072</v>
      </c>
      <c r="O78" s="17"/>
      <c r="P78" s="17">
        <f>P65*P68*60/1000000</f>
        <v>26.678503199999998</v>
      </c>
      <c r="X78" s="17">
        <f>L78</f>
        <v>28.590091200000003</v>
      </c>
      <c r="Z78" s="17">
        <f>N78</f>
        <v>28.86072</v>
      </c>
      <c r="AB78" s="17">
        <f>P78</f>
        <v>26.678503199999998</v>
      </c>
      <c r="AD78" s="20">
        <f>AVERAGE(X78,Z78,AB78)</f>
        <v>28.0431048</v>
      </c>
    </row>
    <row r="79" spans="2:30" ht="12.75">
      <c r="B79" s="4" t="s">
        <v>256</v>
      </c>
      <c r="D79" s="4" t="s">
        <v>33</v>
      </c>
      <c r="E79" s="15"/>
      <c r="F79" s="17"/>
      <c r="X79" s="51">
        <f>X75/9000*60*(21-X76)/21</f>
        <v>50.49644444444442</v>
      </c>
      <c r="Y79" s="20"/>
      <c r="Z79" s="51">
        <f>Z75/9000*60*(21-Z76)/21</f>
        <v>40.71142857142858</v>
      </c>
      <c r="AA79" s="20"/>
      <c r="AB79" s="51">
        <f>AB75/9000*60*(21-AB76)/21</f>
        <v>42.49523809523811</v>
      </c>
      <c r="AD79" s="20">
        <f>AVERAGE(X79,Z79,AB79)</f>
        <v>44.5677037037037</v>
      </c>
    </row>
    <row r="81" ht="12.75">
      <c r="B81" s="48" t="s">
        <v>47</v>
      </c>
    </row>
    <row r="82" spans="2:30" ht="12.75">
      <c r="B82" s="4" t="s">
        <v>24</v>
      </c>
      <c r="D82" s="4" t="s">
        <v>35</v>
      </c>
      <c r="AD82" s="20">
        <f>AD73*1/60*1000000/(AD75*0.0283)*(21-7)/(21-AD$76)</f>
        <v>2216249.237846147</v>
      </c>
    </row>
    <row r="85" spans="1:30" ht="12.75">
      <c r="A85" s="13" t="s">
        <v>59</v>
      </c>
      <c r="B85" s="16" t="s">
        <v>166</v>
      </c>
      <c r="C85" s="4" t="s">
        <v>58</v>
      </c>
      <c r="F85" s="15" t="s">
        <v>30</v>
      </c>
      <c r="H85" s="15" t="s">
        <v>31</v>
      </c>
      <c r="I85" s="15"/>
      <c r="J85" s="15" t="s">
        <v>32</v>
      </c>
      <c r="K85" s="18"/>
      <c r="L85" s="15" t="s">
        <v>30</v>
      </c>
      <c r="M85" s="15"/>
      <c r="N85" s="15" t="s">
        <v>31</v>
      </c>
      <c r="O85" s="15"/>
      <c r="P85" s="15" t="s">
        <v>32</v>
      </c>
      <c r="Q85" s="16"/>
      <c r="R85" s="15" t="s">
        <v>30</v>
      </c>
      <c r="S85" s="15"/>
      <c r="T85" s="15" t="s">
        <v>31</v>
      </c>
      <c r="U85" s="15"/>
      <c r="V85" s="15" t="s">
        <v>32</v>
      </c>
      <c r="W85" s="16"/>
      <c r="X85" s="15" t="s">
        <v>30</v>
      </c>
      <c r="Y85" s="15"/>
      <c r="Z85" s="15" t="s">
        <v>31</v>
      </c>
      <c r="AA85" s="18"/>
      <c r="AB85" s="15" t="s">
        <v>32</v>
      </c>
      <c r="AD85" s="90" t="s">
        <v>28</v>
      </c>
    </row>
    <row r="86" spans="2:30" ht="12.75">
      <c r="B86" s="16"/>
      <c r="F86" s="15"/>
      <c r="H86" s="15"/>
      <c r="I86" s="15"/>
      <c r="J86" s="15"/>
      <c r="K86" s="18"/>
      <c r="L86" s="15"/>
      <c r="M86" s="15"/>
      <c r="N86" s="15"/>
      <c r="O86" s="15"/>
      <c r="P86" s="15"/>
      <c r="Q86" s="16"/>
      <c r="R86" s="15"/>
      <c r="S86" s="15"/>
      <c r="T86" s="15"/>
      <c r="U86" s="15"/>
      <c r="V86" s="15"/>
      <c r="W86" s="16"/>
      <c r="X86" s="15"/>
      <c r="Y86" s="15"/>
      <c r="Z86" s="15"/>
      <c r="AA86" s="18"/>
      <c r="AB86" s="15"/>
      <c r="AD86" s="90"/>
    </row>
    <row r="87" spans="2:30" ht="12.75">
      <c r="B87" s="8" t="s">
        <v>245</v>
      </c>
      <c r="F87" s="15" t="s">
        <v>246</v>
      </c>
      <c r="H87" s="15" t="s">
        <v>246</v>
      </c>
      <c r="I87" s="15"/>
      <c r="J87" s="15" t="s">
        <v>246</v>
      </c>
      <c r="K87" s="18"/>
      <c r="L87" s="15" t="s">
        <v>247</v>
      </c>
      <c r="M87" s="15"/>
      <c r="N87" s="15" t="s">
        <v>247</v>
      </c>
      <c r="O87" s="15"/>
      <c r="P87" s="15" t="s">
        <v>247</v>
      </c>
      <c r="Q87" s="16"/>
      <c r="R87" s="15" t="s">
        <v>248</v>
      </c>
      <c r="S87" s="15"/>
      <c r="T87" s="15" t="s">
        <v>248</v>
      </c>
      <c r="U87" s="15"/>
      <c r="V87" s="15" t="s">
        <v>248</v>
      </c>
      <c r="W87" s="16"/>
      <c r="X87" s="15" t="s">
        <v>249</v>
      </c>
      <c r="Y87" s="15"/>
      <c r="Z87" s="15" t="s">
        <v>249</v>
      </c>
      <c r="AA87" s="15"/>
      <c r="AB87" s="15" t="s">
        <v>249</v>
      </c>
      <c r="AD87" s="90" t="s">
        <v>249</v>
      </c>
    </row>
    <row r="88" spans="1:30" ht="12.75">
      <c r="A88" s="12"/>
      <c r="B88" s="8" t="s">
        <v>250</v>
      </c>
      <c r="F88" s="13" t="s">
        <v>251</v>
      </c>
      <c r="G88" s="13"/>
      <c r="H88" s="13" t="s">
        <v>251</v>
      </c>
      <c r="J88" s="13" t="s">
        <v>251</v>
      </c>
      <c r="L88" s="13" t="s">
        <v>252</v>
      </c>
      <c r="N88" s="13" t="s">
        <v>252</v>
      </c>
      <c r="P88" s="13" t="s">
        <v>252</v>
      </c>
      <c r="R88" s="106" t="s">
        <v>34</v>
      </c>
      <c r="S88" s="106"/>
      <c r="T88" s="106" t="s">
        <v>34</v>
      </c>
      <c r="U88" s="106"/>
      <c r="V88" s="106" t="s">
        <v>34</v>
      </c>
      <c r="X88" s="106" t="s">
        <v>63</v>
      </c>
      <c r="Y88" s="106"/>
      <c r="Z88" s="106" t="s">
        <v>63</v>
      </c>
      <c r="AA88" s="106"/>
      <c r="AB88" s="106" t="s">
        <v>63</v>
      </c>
      <c r="AD88" s="90" t="s">
        <v>63</v>
      </c>
    </row>
    <row r="89" spans="1:30" ht="12.75">
      <c r="A89" s="12"/>
      <c r="B89" s="8" t="s">
        <v>255</v>
      </c>
      <c r="F89" s="13" t="s">
        <v>140</v>
      </c>
      <c r="G89" s="13"/>
      <c r="H89" s="13" t="s">
        <v>140</v>
      </c>
      <c r="J89" s="13" t="s">
        <v>140</v>
      </c>
      <c r="L89" s="13" t="s">
        <v>41</v>
      </c>
      <c r="N89" s="13" t="s">
        <v>41</v>
      </c>
      <c r="P89" s="13" t="s">
        <v>41</v>
      </c>
      <c r="R89" s="106" t="s">
        <v>34</v>
      </c>
      <c r="S89" s="106"/>
      <c r="T89" s="106" t="s">
        <v>34</v>
      </c>
      <c r="U89" s="106"/>
      <c r="V89" s="106" t="s">
        <v>34</v>
      </c>
      <c r="X89" s="106" t="s">
        <v>63</v>
      </c>
      <c r="Y89" s="106"/>
      <c r="Z89" s="106" t="s">
        <v>63</v>
      </c>
      <c r="AA89" s="106"/>
      <c r="AB89" s="106" t="s">
        <v>63</v>
      </c>
      <c r="AD89" s="90" t="s">
        <v>63</v>
      </c>
    </row>
    <row r="90" spans="2:30" ht="12.75">
      <c r="B90" s="4" t="s">
        <v>20</v>
      </c>
      <c r="C90" s="16"/>
      <c r="D90" s="36"/>
      <c r="F90" s="13" t="s">
        <v>251</v>
      </c>
      <c r="H90" s="13" t="s">
        <v>251</v>
      </c>
      <c r="J90" s="13" t="s">
        <v>251</v>
      </c>
      <c r="L90" s="107" t="s">
        <v>138</v>
      </c>
      <c r="M90" s="15"/>
      <c r="N90" s="107" t="s">
        <v>138</v>
      </c>
      <c r="P90" s="107" t="s">
        <v>138</v>
      </c>
      <c r="Q90" s="106"/>
      <c r="R90" s="106" t="s">
        <v>34</v>
      </c>
      <c r="S90" s="106"/>
      <c r="T90" s="106" t="s">
        <v>34</v>
      </c>
      <c r="U90" s="106"/>
      <c r="V90" s="106" t="s">
        <v>34</v>
      </c>
      <c r="W90" s="106"/>
      <c r="X90" s="106" t="s">
        <v>63</v>
      </c>
      <c r="Y90" s="106"/>
      <c r="Z90" s="106" t="s">
        <v>63</v>
      </c>
      <c r="AA90" s="106"/>
      <c r="AB90" s="106" t="s">
        <v>63</v>
      </c>
      <c r="AD90" s="90" t="s">
        <v>63</v>
      </c>
    </row>
    <row r="91" spans="2:28" ht="12.75">
      <c r="B91" s="4" t="s">
        <v>62</v>
      </c>
      <c r="D91" s="4" t="s">
        <v>261</v>
      </c>
      <c r="H91" s="18"/>
      <c r="J91" s="18"/>
      <c r="L91" s="18">
        <v>42.52</v>
      </c>
      <c r="M91" s="15"/>
      <c r="N91" s="18">
        <v>41.59</v>
      </c>
      <c r="P91" s="18">
        <v>42.44</v>
      </c>
      <c r="Q91" s="4"/>
      <c r="R91" s="18"/>
      <c r="S91" s="15"/>
      <c r="X91" s="7"/>
      <c r="Y91" s="15"/>
      <c r="Z91" s="7"/>
      <c r="AA91" s="18"/>
      <c r="AB91" s="7"/>
    </row>
    <row r="92" spans="2:28" ht="12.75">
      <c r="B92" s="4" t="s">
        <v>124</v>
      </c>
      <c r="D92" s="4" t="s">
        <v>125</v>
      </c>
      <c r="H92" s="18"/>
      <c r="J92" s="18"/>
      <c r="L92" s="18">
        <v>0.94</v>
      </c>
      <c r="M92" s="15"/>
      <c r="N92" s="18">
        <v>0.952</v>
      </c>
      <c r="P92" s="18">
        <v>0.938</v>
      </c>
      <c r="Q92" s="4"/>
      <c r="R92" s="18"/>
      <c r="S92" s="15"/>
      <c r="X92" s="5"/>
      <c r="Y92" s="15"/>
      <c r="Z92" s="5"/>
      <c r="AA92" s="18"/>
      <c r="AB92" s="5"/>
    </row>
    <row r="93" spans="12:13" ht="12.75">
      <c r="L93" s="18"/>
      <c r="M93" s="15"/>
    </row>
    <row r="94" spans="2:16" ht="12.75">
      <c r="B94" s="4" t="s">
        <v>21</v>
      </c>
      <c r="D94" s="4" t="s">
        <v>22</v>
      </c>
      <c r="L94" s="18">
        <v>10866</v>
      </c>
      <c r="M94" s="15"/>
      <c r="N94" s="13">
        <v>10850</v>
      </c>
      <c r="P94" s="13">
        <v>11011</v>
      </c>
    </row>
    <row r="95" spans="12:13" ht="12.75">
      <c r="L95" s="18"/>
      <c r="M95" s="15"/>
    </row>
    <row r="96" spans="2:16" ht="12.75">
      <c r="B96" s="4" t="s">
        <v>23</v>
      </c>
      <c r="D96" s="4" t="s">
        <v>18</v>
      </c>
      <c r="L96" s="18">
        <v>4.42</v>
      </c>
      <c r="M96" s="15"/>
      <c r="N96" s="13">
        <v>5.05</v>
      </c>
      <c r="P96" s="13">
        <v>3.73</v>
      </c>
    </row>
    <row r="97" spans="2:16" ht="12.75">
      <c r="B97" s="4" t="s">
        <v>24</v>
      </c>
      <c r="D97" s="4" t="s">
        <v>18</v>
      </c>
      <c r="F97" s="18">
        <f>0.019/2</f>
        <v>0.0095</v>
      </c>
      <c r="G97" s="13"/>
      <c r="H97" s="18">
        <f>0.018/2</f>
        <v>0.009</v>
      </c>
      <c r="J97" s="18"/>
      <c r="L97" s="18">
        <v>2.95</v>
      </c>
      <c r="M97" s="15"/>
      <c r="N97" s="13">
        <v>2.89</v>
      </c>
      <c r="P97" s="13">
        <v>3.1</v>
      </c>
    </row>
    <row r="100" spans="2:30" ht="12.75">
      <c r="B100" s="4" t="s">
        <v>38</v>
      </c>
      <c r="D100" s="4" t="s">
        <v>17</v>
      </c>
      <c r="E100" s="15"/>
      <c r="F100" s="7">
        <f>'emiss 1'!G99</f>
        <v>27311</v>
      </c>
      <c r="H100" s="7">
        <f>'emiss 1'!I99</f>
        <v>27719</v>
      </c>
      <c r="J100" s="7">
        <f>'emiss 1'!K99</f>
        <v>26369</v>
      </c>
      <c r="K100" s="15"/>
      <c r="L100" s="18">
        <f>$F100</f>
        <v>27311</v>
      </c>
      <c r="M100" s="15"/>
      <c r="N100" s="18">
        <f>$H100</f>
        <v>27719</v>
      </c>
      <c r="O100" s="18"/>
      <c r="P100" s="18">
        <f>$J100</f>
        <v>26369</v>
      </c>
      <c r="R100" s="18">
        <f>$F100</f>
        <v>27311</v>
      </c>
      <c r="S100" s="15"/>
      <c r="T100" s="18">
        <f>$H100</f>
        <v>27719</v>
      </c>
      <c r="U100" s="18"/>
      <c r="V100" s="18">
        <f>$J100</f>
        <v>26369</v>
      </c>
      <c r="X100" s="18">
        <f>$F100</f>
        <v>27311</v>
      </c>
      <c r="Y100" s="15"/>
      <c r="Z100" s="18">
        <f>$H100</f>
        <v>27719</v>
      </c>
      <c r="AA100" s="18"/>
      <c r="AB100" s="18">
        <f>$J100</f>
        <v>26369</v>
      </c>
      <c r="AD100" s="20">
        <f>AVERAGE(X100,Z100,AB100)</f>
        <v>27133</v>
      </c>
    </row>
    <row r="101" spans="2:30" ht="12.75">
      <c r="B101" s="4" t="s">
        <v>39</v>
      </c>
      <c r="D101" s="4" t="s">
        <v>18</v>
      </c>
      <c r="E101" s="15"/>
      <c r="F101" s="5">
        <f>'emiss 1'!G100</f>
        <v>16</v>
      </c>
      <c r="H101" s="5">
        <f>'emiss 1'!I100</f>
        <v>15.9</v>
      </c>
      <c r="J101" s="5">
        <f>'emiss 1'!K100</f>
        <v>11.6</v>
      </c>
      <c r="K101" s="15"/>
      <c r="L101" s="18">
        <f>$F101</f>
        <v>16</v>
      </c>
      <c r="M101" s="15"/>
      <c r="N101" s="18">
        <f>$H101</f>
        <v>15.9</v>
      </c>
      <c r="O101" s="18"/>
      <c r="P101" s="18">
        <f>$J101</f>
        <v>11.6</v>
      </c>
      <c r="Q101" s="15"/>
      <c r="R101" s="18">
        <f>$F101</f>
        <v>16</v>
      </c>
      <c r="S101" s="15"/>
      <c r="T101" s="18">
        <f>$H101</f>
        <v>15.9</v>
      </c>
      <c r="U101" s="18"/>
      <c r="V101" s="18">
        <f>$J101</f>
        <v>11.6</v>
      </c>
      <c r="W101" s="15"/>
      <c r="X101" s="18">
        <f>$F101</f>
        <v>16</v>
      </c>
      <c r="Y101" s="15"/>
      <c r="Z101" s="18">
        <f>$H101</f>
        <v>15.9</v>
      </c>
      <c r="AA101" s="18"/>
      <c r="AB101" s="18">
        <f>$J101</f>
        <v>11.6</v>
      </c>
      <c r="AD101" s="20">
        <f>AVERAGE(X101,Z101,AB101)</f>
        <v>14.5</v>
      </c>
    </row>
    <row r="102" ht="12.75">
      <c r="E102" s="15"/>
    </row>
    <row r="103" spans="2:30" ht="12.75">
      <c r="B103" s="4" t="s">
        <v>260</v>
      </c>
      <c r="D103" s="4" t="s">
        <v>33</v>
      </c>
      <c r="E103" s="15"/>
      <c r="F103" s="5"/>
      <c r="L103" s="17">
        <f>L91*60*L94/1000000</f>
        <v>27.721339200000003</v>
      </c>
      <c r="M103" s="17"/>
      <c r="N103" s="17">
        <f>N91*60*N94/1000000</f>
        <v>27.07509</v>
      </c>
      <c r="O103" s="17"/>
      <c r="P103" s="17">
        <f>P91*60*P94/1000000</f>
        <v>28.038410399999997</v>
      </c>
      <c r="X103" s="17">
        <f>L103</f>
        <v>27.721339200000003</v>
      </c>
      <c r="Z103" s="17">
        <f>N103</f>
        <v>27.07509</v>
      </c>
      <c r="AB103" s="17">
        <f>P103</f>
        <v>28.038410399999997</v>
      </c>
      <c r="AD103" s="20">
        <f>AVERAGE(X103,Z103,AB103)</f>
        <v>27.611613200000004</v>
      </c>
    </row>
    <row r="104" spans="2:30" ht="12.75">
      <c r="B104" s="4" t="s">
        <v>256</v>
      </c>
      <c r="D104" s="4" t="s">
        <v>33</v>
      </c>
      <c r="E104" s="15"/>
      <c r="F104" s="17"/>
      <c r="X104" s="51">
        <f>X100/9000*60*(21-X101)/21</f>
        <v>43.35079365079365</v>
      </c>
      <c r="Y104" s="20"/>
      <c r="Z104" s="51">
        <f>Z100/9000*60*(21-Z101)/21</f>
        <v>44.87838095238095</v>
      </c>
      <c r="AA104" s="20"/>
      <c r="AB104" s="51">
        <f>AB100/9000*60*(21-AB101)/21</f>
        <v>78.68844444444444</v>
      </c>
      <c r="AD104" s="20">
        <f>AVERAGE(X104,Z104,AB104)</f>
        <v>55.63920634920635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D66"/>
  <sheetViews>
    <sheetView workbookViewId="0" topLeftCell="B1">
      <selection activeCell="C1" sqref="C1"/>
    </sheetView>
  </sheetViews>
  <sheetFormatPr defaultColWidth="9.140625" defaultRowHeight="12.75"/>
  <cols>
    <col min="1" max="1" width="9.140625" style="74" hidden="1" customWidth="1"/>
    <col min="2" max="2" width="16.00390625" style="74" customWidth="1"/>
    <col min="3" max="3" width="4.140625" style="74" customWidth="1"/>
    <col min="4" max="4" width="8.8515625" style="74" customWidth="1"/>
    <col min="5" max="5" width="3.7109375" style="74" customWidth="1"/>
    <col min="6" max="6" width="9.00390625" style="74" bestFit="1" customWidth="1"/>
    <col min="7" max="7" width="3.8515625" style="74" customWidth="1"/>
    <col min="8" max="8" width="9.00390625" style="74" bestFit="1" customWidth="1"/>
    <col min="9" max="9" width="3.7109375" style="74" customWidth="1"/>
    <col min="10" max="10" width="7.8515625" style="74" customWidth="1"/>
    <col min="11" max="11" width="3.8515625" style="74" customWidth="1"/>
    <col min="12" max="12" width="8.57421875" style="74" customWidth="1"/>
    <col min="13" max="13" width="4.00390625" style="74" customWidth="1"/>
    <col min="14" max="14" width="8.57421875" style="74" customWidth="1"/>
    <col min="15" max="15" width="3.8515625" style="74" customWidth="1"/>
    <col min="16" max="16" width="8.421875" style="74" customWidth="1"/>
    <col min="17" max="17" width="3.28125" style="74" customWidth="1"/>
    <col min="18" max="18" width="8.140625" style="74" customWidth="1"/>
    <col min="19" max="19" width="3.8515625" style="74" customWidth="1"/>
    <col min="20" max="20" width="9.28125" style="74" customWidth="1"/>
    <col min="21" max="21" width="3.7109375" style="74" customWidth="1"/>
    <col min="22" max="22" width="10.7109375" style="74" customWidth="1"/>
    <col min="23" max="23" width="4.140625" style="74" customWidth="1"/>
    <col min="24" max="24" width="8.7109375" style="74" customWidth="1"/>
    <col min="25" max="25" width="3.7109375" style="74" customWidth="1"/>
    <col min="26" max="26" width="8.28125" style="74" customWidth="1"/>
    <col min="27" max="27" width="4.00390625" style="74" customWidth="1"/>
    <col min="28" max="28" width="8.7109375" style="74" customWidth="1"/>
    <col min="29" max="29" width="3.8515625" style="74" customWidth="1"/>
    <col min="30" max="30" width="9.140625" style="74" customWidth="1"/>
    <col min="31" max="31" width="2.57421875" style="74" customWidth="1"/>
    <col min="32" max="16384" width="9.140625" style="74" customWidth="1"/>
  </cols>
  <sheetData>
    <row r="1" spans="2:3" ht="12.75">
      <c r="B1" s="12" t="s">
        <v>219</v>
      </c>
      <c r="C1" s="12"/>
    </row>
    <row r="4" spans="2:30" ht="12.75">
      <c r="B4" s="12" t="s">
        <v>181</v>
      </c>
      <c r="C4" s="12"/>
      <c r="F4" s="95" t="s">
        <v>169</v>
      </c>
      <c r="G4" s="95"/>
      <c r="H4" s="95" t="s">
        <v>170</v>
      </c>
      <c r="I4" s="95"/>
      <c r="J4" s="95" t="s">
        <v>171</v>
      </c>
      <c r="K4" s="95"/>
      <c r="L4" s="95" t="s">
        <v>169</v>
      </c>
      <c r="M4" s="95"/>
      <c r="N4" s="95" t="s">
        <v>170</v>
      </c>
      <c r="O4" s="95"/>
      <c r="P4" s="95" t="s">
        <v>171</v>
      </c>
      <c r="Q4" s="95"/>
      <c r="R4" s="95" t="s">
        <v>169</v>
      </c>
      <c r="S4" s="95"/>
      <c r="T4" s="95" t="s">
        <v>170</v>
      </c>
      <c r="U4" s="95"/>
      <c r="V4" s="95" t="s">
        <v>171</v>
      </c>
      <c r="W4" s="95"/>
      <c r="X4" s="95" t="s">
        <v>169</v>
      </c>
      <c r="Y4" s="95"/>
      <c r="Z4" s="95" t="s">
        <v>170</v>
      </c>
      <c r="AA4" s="95"/>
      <c r="AB4" s="95" t="s">
        <v>171</v>
      </c>
      <c r="AC4" s="95"/>
      <c r="AD4" s="95" t="s">
        <v>172</v>
      </c>
    </row>
    <row r="5" spans="2:30" ht="12.75">
      <c r="B5" s="12"/>
      <c r="C5" s="12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2:30" ht="12.75">
      <c r="B6" s="8" t="s">
        <v>245</v>
      </c>
      <c r="C6" s="8"/>
      <c r="F6" s="95" t="s">
        <v>246</v>
      </c>
      <c r="G6" s="95"/>
      <c r="H6" s="95" t="s">
        <v>246</v>
      </c>
      <c r="I6" s="95"/>
      <c r="J6" s="95" t="s">
        <v>246</v>
      </c>
      <c r="K6" s="95"/>
      <c r="L6" s="95" t="s">
        <v>247</v>
      </c>
      <c r="M6" s="95"/>
      <c r="N6" s="95" t="s">
        <v>247</v>
      </c>
      <c r="O6" s="95"/>
      <c r="P6" s="95" t="s">
        <v>247</v>
      </c>
      <c r="Q6" s="95"/>
      <c r="R6" s="95" t="s">
        <v>248</v>
      </c>
      <c r="S6" s="95"/>
      <c r="T6" s="95" t="s">
        <v>248</v>
      </c>
      <c r="U6" s="95"/>
      <c r="V6" s="95" t="s">
        <v>248</v>
      </c>
      <c r="W6" s="95"/>
      <c r="X6" s="95" t="s">
        <v>249</v>
      </c>
      <c r="Y6" s="95"/>
      <c r="Z6" s="95" t="s">
        <v>249</v>
      </c>
      <c r="AA6" s="95"/>
      <c r="AB6" s="95" t="s">
        <v>249</v>
      </c>
      <c r="AC6" s="95"/>
      <c r="AD6" s="95" t="s">
        <v>249</v>
      </c>
    </row>
    <row r="7" spans="2:30" ht="12.75">
      <c r="B7" s="8" t="s">
        <v>250</v>
      </c>
      <c r="C7" s="8"/>
      <c r="F7" s="74" t="s">
        <v>251</v>
      </c>
      <c r="H7" s="74" t="s">
        <v>251</v>
      </c>
      <c r="J7" s="74" t="s">
        <v>251</v>
      </c>
      <c r="L7" s="74" t="s">
        <v>252</v>
      </c>
      <c r="N7" s="74" t="s">
        <v>252</v>
      </c>
      <c r="P7" s="74" t="s">
        <v>252</v>
      </c>
      <c r="R7" s="74" t="s">
        <v>34</v>
      </c>
      <c r="T7" s="74" t="s">
        <v>34</v>
      </c>
      <c r="V7" s="74" t="s">
        <v>34</v>
      </c>
      <c r="X7" s="74" t="s">
        <v>63</v>
      </c>
      <c r="Z7" s="74" t="s">
        <v>63</v>
      </c>
      <c r="AB7" s="74" t="s">
        <v>63</v>
      </c>
      <c r="AD7" s="74" t="s">
        <v>63</v>
      </c>
    </row>
    <row r="8" spans="2:30" ht="12.75">
      <c r="B8" s="8" t="s">
        <v>255</v>
      </c>
      <c r="C8" s="8"/>
      <c r="F8" s="95" t="s">
        <v>140</v>
      </c>
      <c r="H8" s="95" t="s">
        <v>140</v>
      </c>
      <c r="J8" s="95" t="s">
        <v>140</v>
      </c>
      <c r="L8" s="95" t="s">
        <v>41</v>
      </c>
      <c r="N8" s="95" t="s">
        <v>41</v>
      </c>
      <c r="P8" s="95" t="s">
        <v>41</v>
      </c>
      <c r="R8" s="74" t="s">
        <v>34</v>
      </c>
      <c r="T8" s="74" t="s">
        <v>34</v>
      </c>
      <c r="V8" s="74" t="s">
        <v>34</v>
      </c>
      <c r="X8" s="74" t="s">
        <v>63</v>
      </c>
      <c r="Z8" s="74" t="s">
        <v>63</v>
      </c>
      <c r="AB8" s="74" t="s">
        <v>63</v>
      </c>
      <c r="AD8" s="74" t="s">
        <v>63</v>
      </c>
    </row>
    <row r="9" spans="2:30" ht="12.75">
      <c r="B9" s="8" t="s">
        <v>20</v>
      </c>
      <c r="C9" s="8"/>
      <c r="F9" s="74" t="s">
        <v>253</v>
      </c>
      <c r="H9" s="74" t="s">
        <v>253</v>
      </c>
      <c r="J9" s="74" t="s">
        <v>253</v>
      </c>
      <c r="L9" s="74" t="s">
        <v>254</v>
      </c>
      <c r="N9" s="74" t="s">
        <v>254</v>
      </c>
      <c r="P9" s="74" t="s">
        <v>254</v>
      </c>
      <c r="R9" s="74" t="s">
        <v>34</v>
      </c>
      <c r="T9" s="74" t="s">
        <v>34</v>
      </c>
      <c r="V9" s="74" t="s">
        <v>34</v>
      </c>
      <c r="X9" s="74" t="s">
        <v>63</v>
      </c>
      <c r="Z9" s="74" t="s">
        <v>63</v>
      </c>
      <c r="AB9" s="74" t="s">
        <v>63</v>
      </c>
      <c r="AD9" s="74" t="s">
        <v>63</v>
      </c>
    </row>
    <row r="10" spans="1:22" ht="12.75">
      <c r="A10" s="74" t="s">
        <v>181</v>
      </c>
      <c r="B10" s="74" t="s">
        <v>62</v>
      </c>
      <c r="D10" s="74" t="s">
        <v>29</v>
      </c>
      <c r="E10" s="71"/>
      <c r="F10" s="71">
        <v>31636</v>
      </c>
      <c r="G10" s="71"/>
      <c r="H10" s="71">
        <v>28218</v>
      </c>
      <c r="I10" s="71"/>
      <c r="J10" s="71">
        <v>28615</v>
      </c>
      <c r="K10" s="71"/>
      <c r="L10" s="71">
        <f>1406038/454</f>
        <v>3097</v>
      </c>
      <c r="M10" s="71"/>
      <c r="N10" s="71">
        <f>1362000/454</f>
        <v>3000</v>
      </c>
      <c r="O10" s="71"/>
      <c r="P10" s="71">
        <f>1333852/454</f>
        <v>2938</v>
      </c>
      <c r="Q10" s="71"/>
      <c r="R10" s="104">
        <f>8502.3/454</f>
        <v>18.727533039647575</v>
      </c>
      <c r="S10" s="104"/>
      <c r="T10" s="104">
        <f>8529.8/454</f>
        <v>18.788105726872246</v>
      </c>
      <c r="U10" s="104"/>
      <c r="V10" s="104">
        <f>8451.9/454</f>
        <v>18.616519823788547</v>
      </c>
    </row>
    <row r="11" spans="1:26" ht="12.75">
      <c r="A11" s="74" t="s">
        <v>181</v>
      </c>
      <c r="B11" s="74" t="s">
        <v>21</v>
      </c>
      <c r="D11" s="74" t="s">
        <v>22</v>
      </c>
      <c r="E11" s="71"/>
      <c r="F11" s="71"/>
      <c r="G11" s="71"/>
      <c r="H11" s="71"/>
      <c r="I11" s="71"/>
      <c r="J11" s="71"/>
      <c r="K11" s="71"/>
      <c r="L11" s="73">
        <f>L12*1000000/L10</f>
        <v>14801.420729738456</v>
      </c>
      <c r="M11" s="71"/>
      <c r="N11" s="73">
        <f>N12*1000000/N10</f>
        <v>14800</v>
      </c>
      <c r="O11" s="71"/>
      <c r="P11" s="73">
        <f>P12*1000000/P10</f>
        <v>14598.366235534377</v>
      </c>
      <c r="Q11" s="71"/>
      <c r="R11" s="71"/>
      <c r="S11" s="71"/>
      <c r="T11" s="71"/>
      <c r="U11" s="71"/>
      <c r="V11" s="71"/>
      <c r="X11" s="73"/>
      <c r="Z11" s="73"/>
    </row>
    <row r="12" spans="2:30" ht="12.75">
      <c r="B12" s="4" t="s">
        <v>260</v>
      </c>
      <c r="D12" s="74" t="s">
        <v>33</v>
      </c>
      <c r="E12" s="71"/>
      <c r="F12" s="71"/>
      <c r="G12" s="71"/>
      <c r="H12" s="71"/>
      <c r="I12" s="71"/>
      <c r="J12" s="71"/>
      <c r="K12" s="71"/>
      <c r="L12" s="71">
        <v>45.84</v>
      </c>
      <c r="M12" s="71"/>
      <c r="N12" s="71">
        <v>44.4</v>
      </c>
      <c r="O12" s="71"/>
      <c r="P12" s="71">
        <v>42.89</v>
      </c>
      <c r="Q12" s="71"/>
      <c r="R12" s="71"/>
      <c r="S12" s="71"/>
      <c r="T12" s="71"/>
      <c r="U12" s="71"/>
      <c r="V12" s="71"/>
      <c r="X12" s="74">
        <f>L12</f>
        <v>45.84</v>
      </c>
      <c r="Z12" s="74">
        <f>N12</f>
        <v>44.4</v>
      </c>
      <c r="AB12" s="74">
        <f>P12</f>
        <v>42.89</v>
      </c>
      <c r="AD12" s="72">
        <f>AVERAGE(X12,Z12,AB12)</f>
        <v>44.376666666666665</v>
      </c>
    </row>
    <row r="13" spans="1:22" ht="12.75">
      <c r="A13" s="74" t="s">
        <v>181</v>
      </c>
      <c r="B13" s="74" t="s">
        <v>24</v>
      </c>
      <c r="D13" s="74" t="s">
        <v>29</v>
      </c>
      <c r="E13" s="71" t="s">
        <v>107</v>
      </c>
      <c r="F13" s="71">
        <v>12.6</v>
      </c>
      <c r="G13" s="71" t="s">
        <v>107</v>
      </c>
      <c r="H13" s="71">
        <v>11.3</v>
      </c>
      <c r="I13" s="71" t="s">
        <v>107</v>
      </c>
      <c r="J13" s="71">
        <v>11.1</v>
      </c>
      <c r="K13" s="71"/>
      <c r="L13" s="104">
        <v>67.81878704</v>
      </c>
      <c r="M13" s="104"/>
      <c r="N13" s="104">
        <v>71.823751584</v>
      </c>
      <c r="O13" s="104"/>
      <c r="P13" s="104">
        <v>74.397445716</v>
      </c>
      <c r="Q13" s="71"/>
      <c r="R13" s="71"/>
      <c r="S13" s="71"/>
      <c r="T13" s="71"/>
      <c r="U13" s="71"/>
      <c r="V13" s="71"/>
    </row>
    <row r="14" spans="1:22" ht="12.75">
      <c r="A14" s="74" t="s">
        <v>181</v>
      </c>
      <c r="B14" s="74" t="s">
        <v>109</v>
      </c>
      <c r="D14" s="74" t="s">
        <v>29</v>
      </c>
      <c r="E14" s="71" t="s">
        <v>107</v>
      </c>
      <c r="F14" s="71">
        <v>0.0123</v>
      </c>
      <c r="G14" s="71" t="s">
        <v>107</v>
      </c>
      <c r="H14" s="71">
        <v>0.011</v>
      </c>
      <c r="I14" s="71" t="s">
        <v>107</v>
      </c>
      <c r="J14" s="71">
        <v>0.0108</v>
      </c>
      <c r="K14" s="71"/>
      <c r="L14" s="76">
        <v>0.0077161</v>
      </c>
      <c r="M14" s="76"/>
      <c r="N14" s="76">
        <v>0.01014116</v>
      </c>
      <c r="O14" s="76"/>
      <c r="P14" s="76">
        <v>0.00970024</v>
      </c>
      <c r="Q14" s="76"/>
      <c r="R14" s="76"/>
      <c r="S14" s="76"/>
      <c r="T14" s="76"/>
      <c r="U14" s="71"/>
      <c r="V14" s="71"/>
    </row>
    <row r="15" spans="1:22" ht="12.75">
      <c r="A15" s="74" t="s">
        <v>181</v>
      </c>
      <c r="B15" s="74" t="s">
        <v>108</v>
      </c>
      <c r="D15" s="74" t="s">
        <v>29</v>
      </c>
      <c r="E15" s="71"/>
      <c r="F15" s="71">
        <v>0.132</v>
      </c>
      <c r="G15" s="71"/>
      <c r="H15" s="71">
        <v>0.147</v>
      </c>
      <c r="I15" s="71"/>
      <c r="J15" s="71">
        <v>0.103</v>
      </c>
      <c r="K15" s="71"/>
      <c r="L15" s="76">
        <v>0.0198414</v>
      </c>
      <c r="M15" s="76"/>
      <c r="N15" s="76">
        <v>0.00374782</v>
      </c>
      <c r="O15" s="76" t="s">
        <v>107</v>
      </c>
      <c r="P15" s="76">
        <v>0.00066138</v>
      </c>
      <c r="Q15" s="76"/>
      <c r="R15" s="76">
        <v>0.7352341</v>
      </c>
      <c r="S15" s="76"/>
      <c r="T15" s="76">
        <v>0.96803986</v>
      </c>
      <c r="U15" s="71"/>
      <c r="V15" s="76">
        <v>1.27447926</v>
      </c>
    </row>
    <row r="16" spans="1:22" ht="12.75">
      <c r="A16" s="74" t="s">
        <v>181</v>
      </c>
      <c r="B16" s="74" t="s">
        <v>110</v>
      </c>
      <c r="D16" s="74" t="s">
        <v>29</v>
      </c>
      <c r="E16" s="71"/>
      <c r="F16" s="71">
        <v>3.14</v>
      </c>
      <c r="G16" s="71"/>
      <c r="H16" s="71">
        <v>3.14</v>
      </c>
      <c r="I16" s="71"/>
      <c r="J16" s="71">
        <v>3.17</v>
      </c>
      <c r="K16" s="71"/>
      <c r="L16" s="76">
        <v>0.25396992</v>
      </c>
      <c r="M16" s="76"/>
      <c r="N16" s="76">
        <v>0.20216182</v>
      </c>
      <c r="O16" s="76"/>
      <c r="P16" s="76">
        <v>0.17107696</v>
      </c>
      <c r="Q16" s="76"/>
      <c r="R16" s="76"/>
      <c r="S16" s="76"/>
      <c r="T16" s="76"/>
      <c r="U16" s="71"/>
      <c r="V16" s="76"/>
    </row>
    <row r="17" spans="1:22" ht="12.75">
      <c r="A17" s="74" t="s">
        <v>181</v>
      </c>
      <c r="B17" s="74" t="s">
        <v>111</v>
      </c>
      <c r="D17" s="74" t="s">
        <v>29</v>
      </c>
      <c r="E17" s="71"/>
      <c r="F17" s="71">
        <v>0.0421</v>
      </c>
      <c r="G17" s="71"/>
      <c r="H17" s="71">
        <v>0.116</v>
      </c>
      <c r="I17" s="71"/>
      <c r="J17" s="71">
        <v>0.042</v>
      </c>
      <c r="K17" s="71" t="s">
        <v>107</v>
      </c>
      <c r="L17" s="105">
        <v>0.00022046</v>
      </c>
      <c r="M17" s="105" t="s">
        <v>107</v>
      </c>
      <c r="N17" s="105">
        <v>0.00022046</v>
      </c>
      <c r="O17" s="76" t="s">
        <v>107</v>
      </c>
      <c r="P17" s="105">
        <v>0.00022046</v>
      </c>
      <c r="Q17" s="76"/>
      <c r="R17" s="76">
        <v>0.08002698</v>
      </c>
      <c r="S17" s="76"/>
      <c r="T17" s="76">
        <v>0.1686519</v>
      </c>
      <c r="U17" s="71"/>
      <c r="V17" s="76">
        <v>0.18672962</v>
      </c>
    </row>
    <row r="18" spans="1:22" ht="12.75">
      <c r="A18" s="74" t="s">
        <v>181</v>
      </c>
      <c r="B18" s="74" t="s">
        <v>112</v>
      </c>
      <c r="D18" s="74" t="s">
        <v>29</v>
      </c>
      <c r="E18" s="71" t="s">
        <v>107</v>
      </c>
      <c r="F18" s="71">
        <v>0.0142</v>
      </c>
      <c r="G18" s="71" t="s">
        <v>107</v>
      </c>
      <c r="H18" s="71">
        <v>0.0127</v>
      </c>
      <c r="I18" s="71" t="s">
        <v>107</v>
      </c>
      <c r="J18" s="71">
        <v>0.0125</v>
      </c>
      <c r="K18" s="71" t="s">
        <v>107</v>
      </c>
      <c r="L18" s="76">
        <v>0.00132276</v>
      </c>
      <c r="M18" s="76" t="s">
        <v>107</v>
      </c>
      <c r="N18" s="76">
        <v>0.00132276</v>
      </c>
      <c r="O18" s="76" t="s">
        <v>107</v>
      </c>
      <c r="P18" s="76">
        <v>0.00132276</v>
      </c>
      <c r="Q18" s="76"/>
      <c r="R18" s="76">
        <v>2.70239868</v>
      </c>
      <c r="S18" s="76"/>
      <c r="T18" s="76">
        <v>2.18343584</v>
      </c>
      <c r="U18" s="71"/>
      <c r="V18" s="76">
        <v>2.30535022</v>
      </c>
    </row>
    <row r="19" spans="1:22" ht="12.75">
      <c r="A19" s="74" t="s">
        <v>181</v>
      </c>
      <c r="B19" s="74" t="s">
        <v>113</v>
      </c>
      <c r="D19" s="74" t="s">
        <v>29</v>
      </c>
      <c r="E19" s="71"/>
      <c r="F19" s="71">
        <v>3.36</v>
      </c>
      <c r="G19" s="71"/>
      <c r="H19" s="71">
        <v>2.84</v>
      </c>
      <c r="I19" s="71"/>
      <c r="J19" s="71">
        <v>2.53</v>
      </c>
      <c r="K19" s="71"/>
      <c r="L19" s="76">
        <v>0.0286598</v>
      </c>
      <c r="M19" s="76"/>
      <c r="N19" s="76">
        <v>0.02358922</v>
      </c>
      <c r="O19" s="76"/>
      <c r="P19" s="76">
        <v>0.01829818</v>
      </c>
      <c r="Q19" s="76"/>
      <c r="R19" s="76">
        <v>0.72354972</v>
      </c>
      <c r="S19" s="76"/>
      <c r="T19" s="76">
        <v>0.48875982</v>
      </c>
      <c r="U19" s="71"/>
      <c r="V19" s="76">
        <v>0.433710958</v>
      </c>
    </row>
    <row r="20" spans="1:22" ht="12.75">
      <c r="A20" s="74" t="s">
        <v>181</v>
      </c>
      <c r="B20" s="74" t="s">
        <v>190</v>
      </c>
      <c r="D20" s="74" t="s">
        <v>29</v>
      </c>
      <c r="E20" s="71"/>
      <c r="F20" s="71"/>
      <c r="G20" s="71"/>
      <c r="H20" s="71"/>
      <c r="I20" s="71"/>
      <c r="J20" s="71"/>
      <c r="K20" s="71"/>
      <c r="L20" s="76"/>
      <c r="M20" s="76"/>
      <c r="N20" s="76"/>
      <c r="O20" s="76"/>
      <c r="P20" s="76"/>
      <c r="Q20" s="76"/>
      <c r="R20" s="76">
        <v>0.72354972</v>
      </c>
      <c r="S20" s="76"/>
      <c r="T20" s="76">
        <v>0.48875982</v>
      </c>
      <c r="U20" s="71"/>
      <c r="V20" s="76">
        <v>0.43364482</v>
      </c>
    </row>
    <row r="21" spans="1:22" ht="12.75">
      <c r="A21" s="74" t="s">
        <v>181</v>
      </c>
      <c r="B21" s="74" t="s">
        <v>115</v>
      </c>
      <c r="D21" s="74" t="s">
        <v>29</v>
      </c>
      <c r="E21" s="71" t="s">
        <v>107</v>
      </c>
      <c r="F21" s="71">
        <v>0.066</v>
      </c>
      <c r="G21" s="71" t="s">
        <v>107</v>
      </c>
      <c r="H21" s="71">
        <v>0.0593</v>
      </c>
      <c r="I21" s="71" t="s">
        <v>107</v>
      </c>
      <c r="J21" s="71">
        <v>0.0584</v>
      </c>
      <c r="K21" s="71"/>
      <c r="L21" s="76">
        <v>0.1091277</v>
      </c>
      <c r="M21" s="76"/>
      <c r="N21" s="76">
        <v>0.07451548</v>
      </c>
      <c r="O21" s="76"/>
      <c r="P21" s="76">
        <v>0.05489454</v>
      </c>
      <c r="Q21" s="76"/>
      <c r="R21" s="76">
        <v>14.5029611</v>
      </c>
      <c r="S21" s="76"/>
      <c r="T21" s="76">
        <v>14.99590966</v>
      </c>
      <c r="U21" s="71"/>
      <c r="V21" s="76">
        <v>14.43285482</v>
      </c>
    </row>
    <row r="22" spans="1:22" ht="12.75">
      <c r="A22" s="74" t="s">
        <v>181</v>
      </c>
      <c r="B22" s="74" t="s">
        <v>116</v>
      </c>
      <c r="D22" s="74" t="s">
        <v>29</v>
      </c>
      <c r="E22" s="71" t="s">
        <v>107</v>
      </c>
      <c r="F22" s="105">
        <v>0.00126</v>
      </c>
      <c r="G22" s="71" t="s">
        <v>107</v>
      </c>
      <c r="H22" s="71">
        <v>0.0011</v>
      </c>
      <c r="I22" s="71" t="s">
        <v>107</v>
      </c>
      <c r="J22" s="71">
        <v>0.0011</v>
      </c>
      <c r="K22" s="71"/>
      <c r="L22" s="76">
        <v>0.00066138</v>
      </c>
      <c r="M22" s="76"/>
      <c r="N22" s="105">
        <v>0.00044092</v>
      </c>
      <c r="O22" s="105"/>
      <c r="P22" s="105">
        <v>0.00022046</v>
      </c>
      <c r="Q22" s="76"/>
      <c r="R22" s="76"/>
      <c r="S22" s="76"/>
      <c r="T22" s="76"/>
      <c r="U22" s="71"/>
      <c r="V22" s="71"/>
    </row>
    <row r="23" spans="1:22" ht="12.75">
      <c r="A23" s="74" t="s">
        <v>181</v>
      </c>
      <c r="B23" s="74" t="s">
        <v>119</v>
      </c>
      <c r="D23" s="74" t="s">
        <v>29</v>
      </c>
      <c r="E23" s="71" t="s">
        <v>107</v>
      </c>
      <c r="F23" s="71">
        <v>0.022</v>
      </c>
      <c r="G23" s="71" t="s">
        <v>107</v>
      </c>
      <c r="H23" s="71">
        <v>0.0198</v>
      </c>
      <c r="I23" s="71" t="s">
        <v>107</v>
      </c>
      <c r="J23" s="71">
        <v>0.0195</v>
      </c>
      <c r="K23" s="71" t="s">
        <v>107</v>
      </c>
      <c r="L23" s="76">
        <v>0.0022046</v>
      </c>
      <c r="M23" s="76" t="s">
        <v>107</v>
      </c>
      <c r="N23" s="76">
        <v>0.0022046</v>
      </c>
      <c r="O23" s="76" t="s">
        <v>107</v>
      </c>
      <c r="P23" s="76">
        <v>0.00198414</v>
      </c>
      <c r="Q23" s="76"/>
      <c r="R23" s="76"/>
      <c r="S23" s="76"/>
      <c r="T23" s="76"/>
      <c r="U23" s="71"/>
      <c r="V23" s="71"/>
    </row>
    <row r="24" spans="1:22" ht="12.75">
      <c r="A24" s="74" t="s">
        <v>181</v>
      </c>
      <c r="B24" s="74" t="s">
        <v>120</v>
      </c>
      <c r="D24" s="74" t="s">
        <v>29</v>
      </c>
      <c r="E24" s="71"/>
      <c r="F24" s="71">
        <v>0.0468</v>
      </c>
      <c r="G24" s="71"/>
      <c r="H24" s="71">
        <v>0.0446</v>
      </c>
      <c r="I24" s="71"/>
      <c r="J24" s="71">
        <v>0.0415</v>
      </c>
      <c r="K24" s="71" t="s">
        <v>107</v>
      </c>
      <c r="L24" s="76">
        <v>0.00132276</v>
      </c>
      <c r="M24" s="76" t="s">
        <v>107</v>
      </c>
      <c r="N24" s="76">
        <v>0.0011023</v>
      </c>
      <c r="O24" s="76" t="s">
        <v>107</v>
      </c>
      <c r="P24" s="76">
        <v>0.0011023</v>
      </c>
      <c r="Q24" s="76"/>
      <c r="R24" s="76"/>
      <c r="S24" s="76"/>
      <c r="T24" s="76"/>
      <c r="U24" s="71"/>
      <c r="V24" s="71"/>
    </row>
    <row r="26" spans="2:22" ht="12.75">
      <c r="B26" s="8" t="s">
        <v>38</v>
      </c>
      <c r="C26" s="8"/>
      <c r="D26" s="8" t="s">
        <v>17</v>
      </c>
      <c r="F26" s="74">
        <f>'emiss 2'!$G$35</f>
        <v>28000</v>
      </c>
      <c r="H26" s="74">
        <f>'emiss 2'!$I$35</f>
        <v>28100</v>
      </c>
      <c r="J26" s="74">
        <f>'emiss 2'!$K$35</f>
        <v>30000</v>
      </c>
      <c r="L26" s="74">
        <f>'emiss 2'!$G$35</f>
        <v>28000</v>
      </c>
      <c r="N26" s="74">
        <f>'emiss 2'!$I$35</f>
        <v>28100</v>
      </c>
      <c r="P26" s="74">
        <f>'emiss 2'!$K$35</f>
        <v>30000</v>
      </c>
      <c r="R26" s="74">
        <f>'emiss 2'!$G$35</f>
        <v>28000</v>
      </c>
      <c r="T26" s="74">
        <f>'emiss 2'!$I$35</f>
        <v>28100</v>
      </c>
      <c r="V26" s="74">
        <f>'emiss 2'!$K$35</f>
        <v>30000</v>
      </c>
    </row>
    <row r="27" spans="2:22" ht="12.75">
      <c r="B27" s="8" t="s">
        <v>39</v>
      </c>
      <c r="C27" s="8"/>
      <c r="D27" s="8" t="s">
        <v>18</v>
      </c>
      <c r="F27" s="74">
        <f>'emiss 2'!$G$36</f>
        <v>16.2</v>
      </c>
      <c r="H27" s="74">
        <f>'emiss 2'!$I$36</f>
        <v>15.8</v>
      </c>
      <c r="J27" s="74">
        <f>'emiss 2'!$K$36</f>
        <v>16.3</v>
      </c>
      <c r="L27" s="74">
        <f>'emiss 2'!$G$36</f>
        <v>16.2</v>
      </c>
      <c r="N27" s="74">
        <f>'emiss 2'!$I$36</f>
        <v>15.8</v>
      </c>
      <c r="P27" s="74">
        <f>'emiss 2'!$K$36</f>
        <v>16.3</v>
      </c>
      <c r="R27" s="74">
        <f>'emiss 2'!$G$36</f>
        <v>16.2</v>
      </c>
      <c r="T27" s="74">
        <f>'emiss 2'!$I$36</f>
        <v>15.8</v>
      </c>
      <c r="V27" s="74">
        <f>'emiss 2'!$K$36</f>
        <v>16.3</v>
      </c>
    </row>
    <row r="29" ht="12.75">
      <c r="B29" s="100" t="s">
        <v>47</v>
      </c>
    </row>
    <row r="30" spans="2:30" ht="12.75">
      <c r="B30" s="74" t="s">
        <v>24</v>
      </c>
      <c r="D30" s="74" t="s">
        <v>35</v>
      </c>
      <c r="E30" s="71">
        <v>100</v>
      </c>
      <c r="F30" s="73">
        <f>F13*454*1000000/F$26*14/(21-F$27)/0.0283/60/2</f>
        <v>175463.7809187279</v>
      </c>
      <c r="G30" s="71">
        <v>100</v>
      </c>
      <c r="H30" s="73">
        <f>H13*454*1000000/H$26*14/(21-H$27)/0.0283/60/2</f>
        <v>144738.8064153026</v>
      </c>
      <c r="I30" s="71">
        <v>100</v>
      </c>
      <c r="J30" s="73">
        <f>J13*454*1000000/J$26*14/(21-J$27)/0.0283/60/2</f>
        <v>147339.7990126056</v>
      </c>
      <c r="K30" s="71"/>
      <c r="L30" s="73">
        <f aca="true" t="shared" si="0" ref="L30:L41">L13*454*1000000/L$26*14/(21-L$27)/0.0283/60</f>
        <v>1888847.744660385</v>
      </c>
      <c r="M30" s="71"/>
      <c r="N30" s="73">
        <f aca="true" t="shared" si="1" ref="N30:N41">N13*454*1000000/N$26*14/(21-N$27)/0.0283/60</f>
        <v>1839944.0843428946</v>
      </c>
      <c r="O30" s="71"/>
      <c r="P30" s="73">
        <f aca="true" t="shared" si="2" ref="P30:P41">P13*454*1000000/P$26*14/(21-P$27)/0.0283/60</f>
        <v>1975081.9277201216</v>
      </c>
      <c r="R30" s="73">
        <f aca="true" t="shared" si="3" ref="R30:R41">R13*454*1000000/R$26*14/(21-R$27)/0.0283/60</f>
        <v>0</v>
      </c>
      <c r="T30" s="73">
        <f aca="true" t="shared" si="4" ref="T30:T41">T13*454*1000000/T$26*14/(21-T$27)/0.0283/60</f>
        <v>0</v>
      </c>
      <c r="V30" s="73">
        <f aca="true" t="shared" si="5" ref="V30:V41">V13*454*1000000/V$26*14/(21-V$27)/0.0283/60</f>
        <v>0</v>
      </c>
      <c r="W30" s="74">
        <f>SUM((F30*E30/100),(L30*K30/100))/X30*100</f>
        <v>8.49986926607427</v>
      </c>
      <c r="X30" s="73">
        <f>F30+L30+R30</f>
        <v>2064311.5255791128</v>
      </c>
      <c r="Y30" s="74">
        <f>SUM((H30*G30/100),(N30*M30/100))/Z30*100</f>
        <v>7.292792571009106</v>
      </c>
      <c r="Z30" s="73">
        <f>H30+N30+T30</f>
        <v>1984682.8907581973</v>
      </c>
      <c r="AA30" s="74">
        <f>SUM((J30*I30/100),(P30*O30/100))/AB30*100</f>
        <v>6.942060437697349</v>
      </c>
      <c r="AB30" s="73">
        <f>J30+P30+V30</f>
        <v>2122421.726732727</v>
      </c>
      <c r="AC30" s="74">
        <f>SUM((AB30*AA30/100),(Z30*Y30/100),(X30*W30/100))/AD30/3*100</f>
        <v>7.5759335541105175</v>
      </c>
      <c r="AD30" s="73">
        <f>AVERAGE(X30,Z30,AB30)</f>
        <v>2057138.7143566792</v>
      </c>
    </row>
    <row r="31" spans="2:30" ht="12.75">
      <c r="B31" s="74" t="s">
        <v>109</v>
      </c>
      <c r="D31" s="74" t="s">
        <v>35</v>
      </c>
      <c r="E31" s="71">
        <v>100</v>
      </c>
      <c r="F31" s="73">
        <f aca="true" t="shared" si="6" ref="F31:F41">F14*454*1000000/F$26*14/(21-F$27)/0.0283/60</f>
        <v>342.5721436984687</v>
      </c>
      <c r="G31" s="71">
        <v>100</v>
      </c>
      <c r="H31" s="73">
        <f aca="true" t="shared" si="7" ref="H31:H41">H14*454*1000000/H$26*14/(21-H$27)/0.0283/60</f>
        <v>281.79236647227043</v>
      </c>
      <c r="I31" s="71">
        <v>100</v>
      </c>
      <c r="J31" s="73">
        <f aca="true" t="shared" si="8" ref="J31:J41">J14*454*1000000/J$26*14/(21-J$27)/0.0283/60</f>
        <v>286.71528456507036</v>
      </c>
      <c r="K31" s="71"/>
      <c r="L31" s="73">
        <f t="shared" si="0"/>
        <v>214.90413967412638</v>
      </c>
      <c r="M31" s="71"/>
      <c r="N31" s="73">
        <f t="shared" si="1"/>
        <v>259.7910431976301</v>
      </c>
      <c r="O31" s="71"/>
      <c r="P31" s="73">
        <f t="shared" si="2"/>
        <v>257.5191733286553</v>
      </c>
      <c r="R31" s="73">
        <f t="shared" si="3"/>
        <v>0</v>
      </c>
      <c r="T31" s="73">
        <f t="shared" si="4"/>
        <v>0</v>
      </c>
      <c r="V31" s="73">
        <f t="shared" si="5"/>
        <v>0</v>
      </c>
      <c r="W31" s="74">
        <f>SUM((F31*E31/100),(L31*K31/100))/X31*100</f>
        <v>61.4505323214812</v>
      </c>
      <c r="X31" s="73">
        <f aca="true" t="shared" si="9" ref="X31:AB43">F31+L31+R31</f>
        <v>557.4762833725952</v>
      </c>
      <c r="Y31" s="74">
        <f>SUM((H31*G31/100),(N31*M31/100))/Z31*100</f>
        <v>52.03120358580134</v>
      </c>
      <c r="Z31" s="73">
        <f t="shared" si="9"/>
        <v>541.5834096699004</v>
      </c>
      <c r="AA31" s="74">
        <f>SUM((J31*I31/100),(P31*O31/100))/AB31*100</f>
        <v>52.68231006076027</v>
      </c>
      <c r="AB31" s="73">
        <f t="shared" si="9"/>
        <v>544.2344578937257</v>
      </c>
      <c r="AC31" s="74">
        <f aca="true" t="shared" si="10" ref="AC31:AC42">SUM((AB31*AA31/100),(Z31*Y31/100),(X31*W31/100))/AD31/3*100</f>
        <v>55.4422830639753</v>
      </c>
      <c r="AD31" s="73">
        <f aca="true" t="shared" si="11" ref="AD31:AD43">AVERAGE(X31,Z31,AB31)</f>
        <v>547.7647169787405</v>
      </c>
    </row>
    <row r="32" spans="2:30" ht="12.75">
      <c r="B32" s="74" t="s">
        <v>108</v>
      </c>
      <c r="D32" s="74" t="s">
        <v>35</v>
      </c>
      <c r="E32" s="71"/>
      <c r="F32" s="73">
        <f t="shared" si="6"/>
        <v>3676.3839811543</v>
      </c>
      <c r="G32" s="71"/>
      <c r="H32" s="73">
        <f t="shared" si="7"/>
        <v>3765.7707155839776</v>
      </c>
      <c r="I32" s="71"/>
      <c r="J32" s="73">
        <f t="shared" si="8"/>
        <v>2734.414287981689</v>
      </c>
      <c r="K32" s="71"/>
      <c r="L32" s="73">
        <f t="shared" si="0"/>
        <v>552.610644876325</v>
      </c>
      <c r="M32" s="71"/>
      <c r="N32" s="73">
        <f t="shared" si="1"/>
        <v>96.00973335564589</v>
      </c>
      <c r="O32" s="71">
        <v>100</v>
      </c>
      <c r="P32" s="73">
        <f>P15*454*1000000/P$26*14/(21-P$27)/0.0283/60/2</f>
        <v>8.779062727113253</v>
      </c>
      <c r="R32" s="73">
        <f t="shared" si="3"/>
        <v>20477.294451806043</v>
      </c>
      <c r="T32" s="73">
        <f t="shared" si="4"/>
        <v>24798.749362625946</v>
      </c>
      <c r="V32" s="73">
        <f t="shared" si="5"/>
        <v>33834.50775029447</v>
      </c>
      <c r="X32" s="73">
        <f t="shared" si="9"/>
        <v>24706.289077836667</v>
      </c>
      <c r="Z32" s="73">
        <f t="shared" si="9"/>
        <v>28660.529811565568</v>
      </c>
      <c r="AB32" s="73">
        <f t="shared" si="9"/>
        <v>36577.70110100327</v>
      </c>
      <c r="AD32" s="73">
        <f t="shared" si="11"/>
        <v>29981.506663468503</v>
      </c>
    </row>
    <row r="33" spans="2:30" ht="12.75">
      <c r="B33" s="74" t="s">
        <v>110</v>
      </c>
      <c r="D33" s="74" t="s">
        <v>35</v>
      </c>
      <c r="E33" s="71"/>
      <c r="F33" s="73">
        <f t="shared" si="6"/>
        <v>87453.3765213977</v>
      </c>
      <c r="G33" s="71"/>
      <c r="H33" s="73">
        <f t="shared" si="7"/>
        <v>80438.91188390266</v>
      </c>
      <c r="I33" s="71"/>
      <c r="J33" s="73">
        <f t="shared" si="8"/>
        <v>84156.24556215489</v>
      </c>
      <c r="K33" s="71"/>
      <c r="L33" s="73">
        <f t="shared" si="0"/>
        <v>7073.416254416961</v>
      </c>
      <c r="M33" s="71"/>
      <c r="N33" s="73">
        <f t="shared" si="1"/>
        <v>5178.8779698310145</v>
      </c>
      <c r="O33" s="71"/>
      <c r="P33" s="73">
        <f t="shared" si="2"/>
        <v>4541.701784159921</v>
      </c>
      <c r="R33" s="73">
        <f t="shared" si="3"/>
        <v>0</v>
      </c>
      <c r="T33" s="73">
        <f t="shared" si="4"/>
        <v>0</v>
      </c>
      <c r="V33" s="73">
        <f t="shared" si="5"/>
        <v>0</v>
      </c>
      <c r="X33" s="73">
        <f t="shared" si="9"/>
        <v>94526.79277581467</v>
      </c>
      <c r="Z33" s="73">
        <f t="shared" si="9"/>
        <v>85617.78985373367</v>
      </c>
      <c r="AB33" s="73">
        <f t="shared" si="9"/>
        <v>88697.9473463148</v>
      </c>
      <c r="AD33" s="73">
        <f t="shared" si="11"/>
        <v>89614.17665862104</v>
      </c>
    </row>
    <row r="34" spans="2:30" ht="12.75">
      <c r="B34" s="74" t="s">
        <v>111</v>
      </c>
      <c r="D34" s="74" t="s">
        <v>35</v>
      </c>
      <c r="E34" s="71"/>
      <c r="F34" s="73">
        <f t="shared" si="6"/>
        <v>1172.5436788378486</v>
      </c>
      <c r="G34" s="71"/>
      <c r="H34" s="73">
        <f t="shared" si="7"/>
        <v>2971.6285918893977</v>
      </c>
      <c r="I34" s="71"/>
      <c r="J34" s="73">
        <f t="shared" si="8"/>
        <v>1115.0038844197181</v>
      </c>
      <c r="K34" s="71">
        <v>100</v>
      </c>
      <c r="L34" s="73">
        <f>L17*454*1000000/L$26*14/(21-L$27)/0.0283/60</f>
        <v>6.140118276403612</v>
      </c>
      <c r="M34" s="71">
        <v>100</v>
      </c>
      <c r="N34" s="73">
        <f>N17*454*1000000/N$26*14/(21-N$27)/0.0283/60</f>
        <v>5.647631373861523</v>
      </c>
      <c r="O34" s="71">
        <v>100</v>
      </c>
      <c r="P34" s="73">
        <f>P17*454*1000000/P$26*14/(21-P$27)/0.0283/60/2</f>
        <v>2.9263542423710835</v>
      </c>
      <c r="R34" s="73">
        <f t="shared" si="3"/>
        <v>2228.86293433451</v>
      </c>
      <c r="T34" s="73">
        <f t="shared" si="4"/>
        <v>4320.438001004064</v>
      </c>
      <c r="V34" s="73">
        <f t="shared" si="5"/>
        <v>4957.244086576617</v>
      </c>
      <c r="W34" s="74">
        <f>SUM((F34*E34/100),(L34*K34/100))/X34*100</f>
        <v>0.18019175554470124</v>
      </c>
      <c r="X34" s="73">
        <f t="shared" si="9"/>
        <v>3407.5467314487623</v>
      </c>
      <c r="Y34" s="74">
        <f>SUM((H34*G34/100),(N34*M34/100))/Z34*100</f>
        <v>0.07738904539562913</v>
      </c>
      <c r="Z34" s="73">
        <f t="shared" si="9"/>
        <v>7297.7142242673235</v>
      </c>
      <c r="AA34" s="74">
        <f>SUM((J34*I34/100),(P34*O34/100))/AB34*100</f>
        <v>0.04816905796783207</v>
      </c>
      <c r="AB34" s="73">
        <f t="shared" si="9"/>
        <v>6075.174325238706</v>
      </c>
      <c r="AC34" s="74">
        <f t="shared" si="10"/>
        <v>0.08768606800883295</v>
      </c>
      <c r="AD34" s="73">
        <f t="shared" si="11"/>
        <v>5593.478426984931</v>
      </c>
    </row>
    <row r="35" spans="2:30" ht="12.75">
      <c r="B35" s="74" t="s">
        <v>112</v>
      </c>
      <c r="D35" s="74" t="s">
        <v>35</v>
      </c>
      <c r="E35" s="71">
        <v>100</v>
      </c>
      <c r="F35" s="73">
        <f>F18*454*1000000/F$26*14/(21-F$27)/0.0283/60</f>
        <v>395.48979191205336</v>
      </c>
      <c r="G35" s="71">
        <v>100</v>
      </c>
      <c r="H35" s="73">
        <f>H18*454*1000000/H$26*14/(21-H$27)/0.0283/60</f>
        <v>325.3420958361668</v>
      </c>
      <c r="I35" s="71">
        <v>100</v>
      </c>
      <c r="J35" s="73">
        <f>J18*454*1000000/J$26*14/(21-J$27)/0.0283/60</f>
        <v>331.8463941725351</v>
      </c>
      <c r="K35" s="71">
        <v>100</v>
      </c>
      <c r="L35" s="73">
        <f>L18*454*1000000/L$26*14/(21-L$27)/0.0283/60/2</f>
        <v>18.420354829210837</v>
      </c>
      <c r="M35" s="71">
        <v>100</v>
      </c>
      <c r="N35" s="73">
        <f>N18*454*1000000/N$26*14/(21-N$27)/0.0283/60/2</f>
        <v>16.94289412158457</v>
      </c>
      <c r="O35" s="71">
        <v>100</v>
      </c>
      <c r="P35" s="73">
        <f>P18*454*1000000/P$26*14/(21-P$27)/0.0283/60/2</f>
        <v>17.558125454226506</v>
      </c>
      <c r="R35" s="73">
        <f t="shared" si="3"/>
        <v>75265.56983215547</v>
      </c>
      <c r="T35" s="73">
        <f t="shared" si="4"/>
        <v>55934.14112672453</v>
      </c>
      <c r="V35" s="73">
        <f t="shared" si="5"/>
        <v>61201.77262494883</v>
      </c>
      <c r="W35" s="74">
        <f>SUM((F35*E35/100),(L35*K35/100))/X35*100</f>
        <v>0.5469251993495241</v>
      </c>
      <c r="X35" s="73">
        <f t="shared" si="9"/>
        <v>75679.47997889674</v>
      </c>
      <c r="Y35" s="74">
        <f>SUM((H35*G35/100),(N35*M35/100))/Z35*100</f>
        <v>0.6082209080727077</v>
      </c>
      <c r="Z35" s="73">
        <f t="shared" si="9"/>
        <v>56276.426116682276</v>
      </c>
      <c r="AA35" s="74">
        <f>SUM((J35*I35/100),(P35*O35/100))/AB35*100</f>
        <v>0.5676650485596019</v>
      </c>
      <c r="AB35" s="73">
        <f t="shared" si="9"/>
        <v>61551.177144575595</v>
      </c>
      <c r="AC35" s="74">
        <f t="shared" si="10"/>
        <v>0.5713484167159181</v>
      </c>
      <c r="AD35" s="73">
        <f t="shared" si="11"/>
        <v>64502.36108005154</v>
      </c>
    </row>
    <row r="36" spans="2:30" ht="12.75">
      <c r="B36" s="74" t="s">
        <v>113</v>
      </c>
      <c r="D36" s="74" t="s">
        <v>35</v>
      </c>
      <c r="E36" s="71"/>
      <c r="F36" s="73">
        <f t="shared" si="6"/>
        <v>93580.68315665488</v>
      </c>
      <c r="G36" s="71"/>
      <c r="H36" s="73">
        <f t="shared" si="7"/>
        <v>72753.665525568</v>
      </c>
      <c r="I36" s="71"/>
      <c r="J36" s="73">
        <f t="shared" si="8"/>
        <v>67165.71018052111</v>
      </c>
      <c r="K36" s="71"/>
      <c r="L36" s="73">
        <f t="shared" si="0"/>
        <v>798.2153759324696</v>
      </c>
      <c r="M36" s="71"/>
      <c r="N36" s="73">
        <f t="shared" si="1"/>
        <v>604.296557003183</v>
      </c>
      <c r="O36" s="71"/>
      <c r="P36" s="73">
        <f t="shared" si="2"/>
        <v>485.7748042335999</v>
      </c>
      <c r="R36" s="73">
        <f t="shared" si="3"/>
        <v>20151.868183156654</v>
      </c>
      <c r="T36" s="73">
        <f t="shared" si="4"/>
        <v>12520.798755850994</v>
      </c>
      <c r="V36" s="73">
        <f t="shared" si="5"/>
        <v>11514.033402033265</v>
      </c>
      <c r="X36" s="73">
        <f>F36+L36+R36</f>
        <v>114530.766715744</v>
      </c>
      <c r="Z36" s="73">
        <f>H36+N36+T36</f>
        <v>85878.76083842217</v>
      </c>
      <c r="AB36" s="73">
        <f>J36+P36+V36</f>
        <v>79165.51838678798</v>
      </c>
      <c r="AD36" s="73">
        <f>AVERAGE(X36,Z36,AB36)</f>
        <v>93191.68198031804</v>
      </c>
    </row>
    <row r="37" spans="2:30" ht="12.75">
      <c r="B37" s="74" t="s">
        <v>190</v>
      </c>
      <c r="D37" s="74" t="s">
        <v>35</v>
      </c>
      <c r="E37" s="71"/>
      <c r="F37" s="73">
        <f t="shared" si="6"/>
        <v>0</v>
      </c>
      <c r="G37" s="71"/>
      <c r="H37" s="73">
        <f t="shared" si="7"/>
        <v>0</v>
      </c>
      <c r="I37" s="71"/>
      <c r="J37" s="73">
        <f t="shared" si="8"/>
        <v>0</v>
      </c>
      <c r="K37" s="71"/>
      <c r="L37" s="73">
        <f t="shared" si="0"/>
        <v>0</v>
      </c>
      <c r="M37" s="71"/>
      <c r="N37" s="73">
        <f t="shared" si="1"/>
        <v>0</v>
      </c>
      <c r="O37" s="71"/>
      <c r="P37" s="73">
        <f t="shared" si="2"/>
        <v>0</v>
      </c>
      <c r="R37" s="73">
        <f t="shared" si="3"/>
        <v>20151.868183156654</v>
      </c>
      <c r="T37" s="73">
        <f t="shared" si="4"/>
        <v>12520.798755850994</v>
      </c>
      <c r="V37" s="73">
        <f t="shared" si="5"/>
        <v>11512.277589487845</v>
      </c>
      <c r="X37" s="73">
        <f t="shared" si="9"/>
        <v>20151.868183156654</v>
      </c>
      <c r="Z37" s="73">
        <f t="shared" si="9"/>
        <v>12520.798755850994</v>
      </c>
      <c r="AB37" s="73">
        <f t="shared" si="9"/>
        <v>11512.277589487845</v>
      </c>
      <c r="AD37" s="73">
        <f t="shared" si="11"/>
        <v>14728.31484283183</v>
      </c>
    </row>
    <row r="38" spans="2:30" ht="12.75">
      <c r="B38" s="74" t="s">
        <v>115</v>
      </c>
      <c r="D38" s="74" t="s">
        <v>35</v>
      </c>
      <c r="E38" s="71">
        <v>100</v>
      </c>
      <c r="F38" s="73">
        <f>F21*454*1000000/F$26*14/(21-F$27)/0.0283/60</f>
        <v>1838.19199057715</v>
      </c>
      <c r="G38" s="71">
        <v>100</v>
      </c>
      <c r="H38" s="73">
        <f>H21*454*1000000/H$26*14/(21-H$27)/0.0283/60/2</f>
        <v>759.5585150820746</v>
      </c>
      <c r="I38" s="71">
        <v>100</v>
      </c>
      <c r="J38" s="73">
        <f>J21*454*1000000/J$26*14/(21-J$27)/0.0283/60/2</f>
        <v>775.193176787042</v>
      </c>
      <c r="K38" s="71"/>
      <c r="L38" s="73">
        <f t="shared" si="0"/>
        <v>3039.3585468197875</v>
      </c>
      <c r="M38" s="71"/>
      <c r="N38" s="73">
        <f t="shared" si="1"/>
        <v>1908.8994043651944</v>
      </c>
      <c r="O38" s="71"/>
      <c r="P38" s="73">
        <f t="shared" si="2"/>
        <v>1457.3244127008</v>
      </c>
      <c r="R38" s="73">
        <f t="shared" si="3"/>
        <v>403927.6808132116</v>
      </c>
      <c r="T38" s="73">
        <f t="shared" si="4"/>
        <v>384157.5336814346</v>
      </c>
      <c r="V38" s="73">
        <f t="shared" si="5"/>
        <v>383159.2663706155</v>
      </c>
      <c r="W38" s="74">
        <f>SUM((F38*E38/100),(L38*K38/100))/X38*100</f>
        <v>0.44964982089493843</v>
      </c>
      <c r="X38" s="73">
        <f t="shared" si="9"/>
        <v>408805.2313506085</v>
      </c>
      <c r="Y38" s="74">
        <f>SUM((H38*G38/100),(N38*M38/100))/Z38*100</f>
        <v>0.19635663879219614</v>
      </c>
      <c r="Z38" s="73">
        <f t="shared" si="9"/>
        <v>386825.99160088185</v>
      </c>
      <c r="AA38" s="74">
        <f>SUM((J38*I38/100),(P38*O38/100))/AB38*100</f>
        <v>0.20114418860244615</v>
      </c>
      <c r="AB38" s="73">
        <f t="shared" si="9"/>
        <v>385391.78396010335</v>
      </c>
      <c r="AC38" s="74">
        <f t="shared" si="10"/>
        <v>0.2855950868617372</v>
      </c>
      <c r="AD38" s="73">
        <f t="shared" si="11"/>
        <v>393674.3356371979</v>
      </c>
    </row>
    <row r="39" spans="2:30" ht="12.75">
      <c r="B39" s="74" t="s">
        <v>116</v>
      </c>
      <c r="D39" s="74" t="s">
        <v>35</v>
      </c>
      <c r="E39" s="71">
        <v>100</v>
      </c>
      <c r="F39" s="73">
        <f>F22*454*1000000/F$26*14/(21-F$27)/0.0283/60/2</f>
        <v>17.546378091872786</v>
      </c>
      <c r="G39" s="71">
        <v>100</v>
      </c>
      <c r="H39" s="73">
        <f>H22*454*1000000/H$26*14/(21-H$27)/0.0283/60/2</f>
        <v>14.089618323613525</v>
      </c>
      <c r="I39" s="71">
        <v>100</v>
      </c>
      <c r="J39" s="73">
        <f>J22*454*1000000/J$26*14/(21-J$27)/0.0283/60/2</f>
        <v>14.601241343591546</v>
      </c>
      <c r="K39" s="71"/>
      <c r="L39" s="73">
        <f t="shared" si="0"/>
        <v>18.420354829210837</v>
      </c>
      <c r="M39" s="71"/>
      <c r="N39" s="73">
        <f t="shared" si="1"/>
        <v>11.295262747723045</v>
      </c>
      <c r="O39" s="71"/>
      <c r="P39" s="73">
        <f t="shared" si="2"/>
        <v>5.852708484742167</v>
      </c>
      <c r="R39" s="73">
        <f t="shared" si="3"/>
        <v>0</v>
      </c>
      <c r="T39" s="73">
        <f t="shared" si="4"/>
        <v>0</v>
      </c>
      <c r="V39" s="73">
        <f t="shared" si="5"/>
        <v>0</v>
      </c>
      <c r="W39" s="74">
        <f>SUM((F39*E39/100),(L39*K39/100))/X39*100</f>
        <v>48.78502067555638</v>
      </c>
      <c r="X39" s="73">
        <f t="shared" si="9"/>
        <v>35.96673292108362</v>
      </c>
      <c r="Y39" s="74">
        <f>SUM((H39*G39/100),(N39*M39/100))/Z39*100</f>
        <v>55.503976103015376</v>
      </c>
      <c r="Z39" s="73">
        <f t="shared" si="9"/>
        <v>25.384881071336572</v>
      </c>
      <c r="AA39" s="74">
        <f>SUM((J39*I39/100),(P39*O39/100))/AB39*100</f>
        <v>71.38592529138438</v>
      </c>
      <c r="AB39" s="73">
        <f t="shared" si="9"/>
        <v>20.453949828333712</v>
      </c>
      <c r="AC39" s="74">
        <f t="shared" si="10"/>
        <v>56.52089613414236</v>
      </c>
      <c r="AD39" s="73">
        <f t="shared" si="11"/>
        <v>27.268521273584636</v>
      </c>
    </row>
    <row r="40" spans="2:30" ht="12.75">
      <c r="B40" s="74" t="s">
        <v>119</v>
      </c>
      <c r="D40" s="74" t="s">
        <v>35</v>
      </c>
      <c r="E40" s="71">
        <v>100</v>
      </c>
      <c r="F40" s="73">
        <f t="shared" si="6"/>
        <v>612.7306635257165</v>
      </c>
      <c r="G40" s="71">
        <v>100</v>
      </c>
      <c r="H40" s="73">
        <f t="shared" si="7"/>
        <v>507.2262596500869</v>
      </c>
      <c r="I40" s="71">
        <v>100</v>
      </c>
      <c r="J40" s="73">
        <f t="shared" si="8"/>
        <v>517.6803749091548</v>
      </c>
      <c r="K40" s="71">
        <v>100</v>
      </c>
      <c r="L40" s="73">
        <f t="shared" si="0"/>
        <v>61.401182764036115</v>
      </c>
      <c r="M40" s="71">
        <v>100</v>
      </c>
      <c r="N40" s="73">
        <f t="shared" si="1"/>
        <v>56.47631373861522</v>
      </c>
      <c r="O40" s="71">
        <v>100</v>
      </c>
      <c r="P40" s="73">
        <f t="shared" si="2"/>
        <v>52.67437636267951</v>
      </c>
      <c r="R40" s="73">
        <f t="shared" si="3"/>
        <v>0</v>
      </c>
      <c r="T40" s="73">
        <f t="shared" si="4"/>
        <v>0</v>
      </c>
      <c r="V40" s="73">
        <f t="shared" si="5"/>
        <v>0</v>
      </c>
      <c r="W40" s="74">
        <f>SUM((F40*E40/100),(L40*K40/100))/X40*100</f>
        <v>100</v>
      </c>
      <c r="X40" s="73">
        <f t="shared" si="9"/>
        <v>674.1318462897526</v>
      </c>
      <c r="Y40" s="74">
        <f>SUM((H40*G40/100),(N40*M40/100))/Z40*100</f>
        <v>100</v>
      </c>
      <c r="Z40" s="73">
        <f t="shared" si="9"/>
        <v>563.7025733887021</v>
      </c>
      <c r="AA40" s="74">
        <f>SUM((J40*I40/100),(P40*O40/100))/AB40*100</f>
        <v>100</v>
      </c>
      <c r="AB40" s="73">
        <f t="shared" si="9"/>
        <v>570.3547512718343</v>
      </c>
      <c r="AC40" s="74">
        <f t="shared" si="10"/>
        <v>100</v>
      </c>
      <c r="AD40" s="73">
        <f t="shared" si="11"/>
        <v>602.7297236500963</v>
      </c>
    </row>
    <row r="41" spans="2:30" ht="12.75">
      <c r="B41" s="74" t="s">
        <v>120</v>
      </c>
      <c r="D41" s="74" t="s">
        <v>35</v>
      </c>
      <c r="E41" s="71"/>
      <c r="F41" s="73">
        <f t="shared" si="6"/>
        <v>1303.4452296819786</v>
      </c>
      <c r="G41" s="71"/>
      <c r="H41" s="73">
        <f t="shared" si="7"/>
        <v>1142.5399586057513</v>
      </c>
      <c r="I41" s="71"/>
      <c r="J41" s="73">
        <f t="shared" si="8"/>
        <v>1101.7300286528166</v>
      </c>
      <c r="K41" s="71">
        <v>100</v>
      </c>
      <c r="L41" s="73">
        <f t="shared" si="0"/>
        <v>36.84070965842167</v>
      </c>
      <c r="M41" s="71">
        <v>100</v>
      </c>
      <c r="N41" s="73">
        <f t="shared" si="1"/>
        <v>28.23815686930761</v>
      </c>
      <c r="O41" s="71">
        <v>100</v>
      </c>
      <c r="P41" s="73">
        <f t="shared" si="2"/>
        <v>29.263542423710838</v>
      </c>
      <c r="R41" s="73">
        <f t="shared" si="3"/>
        <v>0</v>
      </c>
      <c r="T41" s="73">
        <f t="shared" si="4"/>
        <v>0</v>
      </c>
      <c r="V41" s="73">
        <f t="shared" si="5"/>
        <v>0</v>
      </c>
      <c r="W41" s="74">
        <f>SUM((F41*E41/100),(L41*K41/100))/X41*100</f>
        <v>2.7487201482209254</v>
      </c>
      <c r="X41" s="73">
        <f t="shared" si="9"/>
        <v>1340.2859393404003</v>
      </c>
      <c r="Y41" s="74">
        <f>SUM((H41*G41/100),(N41*M41/100))/Z41*100</f>
        <v>2.411913623603188</v>
      </c>
      <c r="Z41" s="73">
        <f t="shared" si="9"/>
        <v>1170.778115475059</v>
      </c>
      <c r="AA41" s="74">
        <f>SUM((J41*I41/100),(P41*O41/100))/AB41*100</f>
        <v>2.587418989115611</v>
      </c>
      <c r="AB41" s="73">
        <f t="shared" si="9"/>
        <v>1130.9935710765274</v>
      </c>
      <c r="AC41" s="74">
        <f t="shared" si="10"/>
        <v>2.5903601382016697</v>
      </c>
      <c r="AD41" s="73">
        <f t="shared" si="11"/>
        <v>1214.0192086306622</v>
      </c>
    </row>
    <row r="42" spans="2:30" ht="12.75">
      <c r="B42" s="74" t="s">
        <v>36</v>
      </c>
      <c r="D42" s="74" t="s">
        <v>35</v>
      </c>
      <c r="E42" s="71">
        <v>100</v>
      </c>
      <c r="F42" s="73">
        <f>F38+F35</f>
        <v>2233.681782489203</v>
      </c>
      <c r="G42" s="71">
        <v>100</v>
      </c>
      <c r="H42" s="73">
        <f>H38+H35</f>
        <v>1084.9006109182415</v>
      </c>
      <c r="I42" s="71">
        <v>100</v>
      </c>
      <c r="J42" s="73">
        <f>J38+J35</f>
        <v>1107.039570959577</v>
      </c>
      <c r="K42" s="74">
        <f>L35/L42*100</f>
        <v>0.602409638554217</v>
      </c>
      <c r="L42" s="73">
        <f>L38+L35</f>
        <v>3057.7789016489983</v>
      </c>
      <c r="M42" s="74">
        <f>N35/N42*100</f>
        <v>0.8797653958944284</v>
      </c>
      <c r="N42" s="73">
        <f>N38+N35</f>
        <v>1925.8422984867789</v>
      </c>
      <c r="O42" s="74">
        <f>P35/P42*100</f>
        <v>1.1904761904761907</v>
      </c>
      <c r="P42" s="73">
        <f>P38+P35</f>
        <v>1474.8825381550264</v>
      </c>
      <c r="R42" s="73">
        <f>R38+R35</f>
        <v>479193.2506453671</v>
      </c>
      <c r="T42" s="73">
        <f>T38+T35</f>
        <v>440091.6748081591</v>
      </c>
      <c r="V42" s="73">
        <f>V38+V35</f>
        <v>444361.03899556433</v>
      </c>
      <c r="W42" s="74">
        <f>SUM((F42*E42/100),(L42*K42/100))/X42*100</f>
        <v>0.4648448309417809</v>
      </c>
      <c r="X42" s="73">
        <f t="shared" si="9"/>
        <v>484484.71132950525</v>
      </c>
      <c r="Y42" s="74">
        <f>SUM((H42*G42/100),(N42*M42/100))/Z42*100</f>
        <v>0.24866564951630368</v>
      </c>
      <c r="Z42" s="73">
        <f t="shared" si="9"/>
        <v>443102.41771756415</v>
      </c>
      <c r="AA42" s="74">
        <f>SUM((J42*I42/100),(P42*O42/100))/AB42*100</f>
        <v>0.2516199592078172</v>
      </c>
      <c r="AB42" s="73">
        <f t="shared" si="9"/>
        <v>446942.9611046789</v>
      </c>
      <c r="AC42" s="74">
        <f t="shared" si="10"/>
        <v>0.32582359388564647</v>
      </c>
      <c r="AD42" s="73">
        <f t="shared" si="11"/>
        <v>458176.69671724946</v>
      </c>
    </row>
    <row r="43" spans="2:30" ht="12.75">
      <c r="B43" s="74" t="s">
        <v>37</v>
      </c>
      <c r="D43" s="74" t="s">
        <v>35</v>
      </c>
      <c r="F43" s="73">
        <f>F32+F34+F36</f>
        <v>98429.61081664702</v>
      </c>
      <c r="H43" s="73">
        <f>H32+H34+H36</f>
        <v>79491.06483304137</v>
      </c>
      <c r="J43" s="73">
        <f>J32+J34+J36</f>
        <v>71015.12835292252</v>
      </c>
      <c r="K43" s="74">
        <f>L34/L43*100</f>
        <v>0.4524886877828055</v>
      </c>
      <c r="L43" s="73">
        <f>L32+L34+L36</f>
        <v>1356.9661390851982</v>
      </c>
      <c r="M43" s="74">
        <f>N34/N43*100</f>
        <v>0.7999999999999998</v>
      </c>
      <c r="N43" s="73">
        <f>N32+N34+N36</f>
        <v>705.9539217326904</v>
      </c>
      <c r="O43" s="74">
        <f>SUM(P34,P32)/P43*100</f>
        <v>2.3529411764705883</v>
      </c>
      <c r="P43" s="73">
        <f>P32+P34+P36</f>
        <v>497.4802212030843</v>
      </c>
      <c r="R43" s="73">
        <f>R32+R34+R36</f>
        <v>42858.025569297206</v>
      </c>
      <c r="T43" s="73">
        <f>T32+T34+T36</f>
        <v>41639.986119481</v>
      </c>
      <c r="V43" s="73">
        <f>V32+V34+V36</f>
        <v>50305.785238904355</v>
      </c>
      <c r="X43" s="73">
        <f t="shared" si="9"/>
        <v>142644.60252502942</v>
      </c>
      <c r="Z43" s="73">
        <f t="shared" si="9"/>
        <v>121837.00487425507</v>
      </c>
      <c r="AB43" s="73">
        <f t="shared" si="9"/>
        <v>121818.39381302995</v>
      </c>
      <c r="AD43" s="73">
        <f t="shared" si="11"/>
        <v>128766.6670707715</v>
      </c>
    </row>
    <row r="45" spans="2:30" ht="12.75">
      <c r="B45" s="12" t="s">
        <v>186</v>
      </c>
      <c r="C45" s="12"/>
      <c r="F45" s="95" t="s">
        <v>169</v>
      </c>
      <c r="G45" s="95"/>
      <c r="H45" s="95" t="s">
        <v>170</v>
      </c>
      <c r="I45" s="95"/>
      <c r="J45" s="95" t="s">
        <v>171</v>
      </c>
      <c r="K45" s="95"/>
      <c r="L45" s="95" t="s">
        <v>169</v>
      </c>
      <c r="M45" s="95"/>
      <c r="N45" s="95" t="s">
        <v>170</v>
      </c>
      <c r="O45" s="95"/>
      <c r="P45" s="95" t="s">
        <v>171</v>
      </c>
      <c r="Q45" s="95"/>
      <c r="R45" s="95" t="s">
        <v>169</v>
      </c>
      <c r="S45" s="95"/>
      <c r="T45" s="95" t="s">
        <v>170</v>
      </c>
      <c r="U45" s="95"/>
      <c r="V45" s="95" t="s">
        <v>171</v>
      </c>
      <c r="W45" s="95"/>
      <c r="X45" s="95" t="s">
        <v>169</v>
      </c>
      <c r="Y45" s="95"/>
      <c r="Z45" s="95" t="s">
        <v>170</v>
      </c>
      <c r="AA45" s="95"/>
      <c r="AB45" s="95" t="s">
        <v>171</v>
      </c>
      <c r="AC45" s="95"/>
      <c r="AD45" s="95" t="s">
        <v>172</v>
      </c>
    </row>
    <row r="46" spans="2:30" ht="12.75">
      <c r="B46" s="12"/>
      <c r="C46" s="12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2:30" ht="12.75">
      <c r="B47" s="8" t="s">
        <v>245</v>
      </c>
      <c r="C47" s="8"/>
      <c r="F47" s="95" t="s">
        <v>246</v>
      </c>
      <c r="G47" s="95"/>
      <c r="H47" s="95" t="s">
        <v>246</v>
      </c>
      <c r="I47" s="95"/>
      <c r="J47" s="95" t="s">
        <v>246</v>
      </c>
      <c r="K47" s="95"/>
      <c r="L47" s="95" t="s">
        <v>247</v>
      </c>
      <c r="M47" s="95"/>
      <c r="N47" s="95" t="s">
        <v>247</v>
      </c>
      <c r="O47" s="95"/>
      <c r="P47" s="95" t="s">
        <v>247</v>
      </c>
      <c r="Q47" s="95"/>
      <c r="R47" s="95" t="s">
        <v>248</v>
      </c>
      <c r="S47" s="95"/>
      <c r="T47" s="95" t="s">
        <v>248</v>
      </c>
      <c r="U47" s="95"/>
      <c r="V47" s="95" t="s">
        <v>248</v>
      </c>
      <c r="W47" s="95"/>
      <c r="X47" s="95" t="s">
        <v>249</v>
      </c>
      <c r="Y47" s="95"/>
      <c r="Z47" s="95" t="s">
        <v>249</v>
      </c>
      <c r="AA47" s="95"/>
      <c r="AB47" s="95" t="s">
        <v>249</v>
      </c>
      <c r="AC47" s="95"/>
      <c r="AD47" s="95" t="s">
        <v>249</v>
      </c>
    </row>
    <row r="48" spans="2:30" ht="12.75">
      <c r="B48" s="8" t="s">
        <v>250</v>
      </c>
      <c r="C48" s="8"/>
      <c r="F48" s="74" t="s">
        <v>251</v>
      </c>
      <c r="H48" s="74" t="s">
        <v>251</v>
      </c>
      <c r="J48" s="74" t="s">
        <v>251</v>
      </c>
      <c r="L48" s="74" t="s">
        <v>252</v>
      </c>
      <c r="N48" s="74" t="s">
        <v>252</v>
      </c>
      <c r="P48" s="74" t="s">
        <v>252</v>
      </c>
      <c r="R48" s="74" t="s">
        <v>34</v>
      </c>
      <c r="T48" s="74" t="s">
        <v>34</v>
      </c>
      <c r="V48" s="74" t="s">
        <v>34</v>
      </c>
      <c r="X48" s="74" t="s">
        <v>63</v>
      </c>
      <c r="Z48" s="74" t="s">
        <v>63</v>
      </c>
      <c r="AB48" s="74" t="s">
        <v>63</v>
      </c>
      <c r="AD48" s="74" t="s">
        <v>63</v>
      </c>
    </row>
    <row r="49" spans="2:30" ht="12.75">
      <c r="B49" s="8" t="s">
        <v>255</v>
      </c>
      <c r="C49" s="8"/>
      <c r="F49" s="95" t="s">
        <v>140</v>
      </c>
      <c r="H49" s="95" t="s">
        <v>140</v>
      </c>
      <c r="J49" s="95" t="s">
        <v>140</v>
      </c>
      <c r="L49" s="95" t="s">
        <v>41</v>
      </c>
      <c r="N49" s="95" t="s">
        <v>41</v>
      </c>
      <c r="P49" s="95" t="s">
        <v>41</v>
      </c>
      <c r="R49" s="74" t="s">
        <v>34</v>
      </c>
      <c r="T49" s="74" t="s">
        <v>34</v>
      </c>
      <c r="V49" s="74" t="s">
        <v>34</v>
      </c>
      <c r="X49" s="74" t="s">
        <v>63</v>
      </c>
      <c r="Z49" s="74" t="s">
        <v>63</v>
      </c>
      <c r="AB49" s="74" t="s">
        <v>63</v>
      </c>
      <c r="AD49" s="74" t="s">
        <v>63</v>
      </c>
    </row>
    <row r="50" spans="2:30" ht="12.75">
      <c r="B50" s="8" t="s">
        <v>20</v>
      </c>
      <c r="C50" s="8"/>
      <c r="F50" s="74" t="s">
        <v>253</v>
      </c>
      <c r="H50" s="74" t="s">
        <v>253</v>
      </c>
      <c r="J50" s="74" t="s">
        <v>253</v>
      </c>
      <c r="L50" s="74" t="s">
        <v>254</v>
      </c>
      <c r="N50" s="74" t="s">
        <v>254</v>
      </c>
      <c r="P50" s="74" t="s">
        <v>254</v>
      </c>
      <c r="R50" s="74" t="s">
        <v>34</v>
      </c>
      <c r="T50" s="74" t="s">
        <v>34</v>
      </c>
      <c r="V50" s="74" t="s">
        <v>34</v>
      </c>
      <c r="X50" s="74" t="s">
        <v>63</v>
      </c>
      <c r="Z50" s="74" t="s">
        <v>63</v>
      </c>
      <c r="AB50" s="74" t="s">
        <v>63</v>
      </c>
      <c r="AD50" s="74" t="s">
        <v>63</v>
      </c>
    </row>
    <row r="51" spans="1:22" s="77" customFormat="1" ht="12.75">
      <c r="A51" s="77" t="s">
        <v>186</v>
      </c>
      <c r="B51" s="77" t="s">
        <v>62</v>
      </c>
      <c r="D51" s="77" t="s">
        <v>29</v>
      </c>
      <c r="E51" s="78"/>
      <c r="F51" s="78" t="s">
        <v>194</v>
      </c>
      <c r="G51" s="78"/>
      <c r="H51" s="78" t="s">
        <v>194</v>
      </c>
      <c r="I51" s="78"/>
      <c r="J51" s="78" t="s">
        <v>194</v>
      </c>
      <c r="K51" s="78"/>
      <c r="L51" s="78" t="s">
        <v>194</v>
      </c>
      <c r="M51" s="78"/>
      <c r="N51" s="78" t="s">
        <v>194</v>
      </c>
      <c r="O51" s="78"/>
      <c r="P51" s="78" t="s">
        <v>194</v>
      </c>
      <c r="Q51" s="78"/>
      <c r="R51" s="78" t="s">
        <v>194</v>
      </c>
      <c r="S51" s="78"/>
      <c r="T51" s="78" t="s">
        <v>194</v>
      </c>
      <c r="U51" s="78"/>
      <c r="V51" s="78" t="s">
        <v>194</v>
      </c>
    </row>
    <row r="52" spans="1:22" s="77" customFormat="1" ht="12.75">
      <c r="A52" s="77" t="s">
        <v>186</v>
      </c>
      <c r="B52" s="77" t="s">
        <v>21</v>
      </c>
      <c r="D52" s="77" t="s">
        <v>22</v>
      </c>
      <c r="E52" s="78"/>
      <c r="F52" s="78"/>
      <c r="G52" s="78"/>
      <c r="H52" s="78"/>
      <c r="I52" s="78"/>
      <c r="J52" s="78"/>
      <c r="K52" s="78"/>
      <c r="L52" s="78">
        <v>13500</v>
      </c>
      <c r="M52" s="78"/>
      <c r="N52" s="78">
        <v>13400</v>
      </c>
      <c r="O52" s="78"/>
      <c r="P52" s="78">
        <v>13400</v>
      </c>
      <c r="Q52" s="78"/>
      <c r="R52" s="78"/>
      <c r="S52" s="78"/>
      <c r="T52" s="78"/>
      <c r="U52" s="78"/>
      <c r="V52" s="78"/>
    </row>
    <row r="53" spans="1:22" s="77" customFormat="1" ht="12.75">
      <c r="A53" s="77" t="s">
        <v>186</v>
      </c>
      <c r="B53" s="77" t="s">
        <v>24</v>
      </c>
      <c r="D53" s="77" t="s">
        <v>195</v>
      </c>
      <c r="E53" s="78" t="s">
        <v>107</v>
      </c>
      <c r="F53" s="78">
        <v>17</v>
      </c>
      <c r="G53" s="78" t="s">
        <v>107</v>
      </c>
      <c r="H53" s="78">
        <v>16</v>
      </c>
      <c r="I53" s="78" t="s">
        <v>107</v>
      </c>
      <c r="J53" s="78">
        <v>16</v>
      </c>
      <c r="K53" s="78"/>
      <c r="L53" s="78">
        <v>4700</v>
      </c>
      <c r="M53" s="78"/>
      <c r="N53" s="78">
        <v>4400</v>
      </c>
      <c r="O53" s="78"/>
      <c r="P53" s="78">
        <v>3900</v>
      </c>
      <c r="Q53" s="78"/>
      <c r="R53" s="78"/>
      <c r="S53" s="78"/>
      <c r="T53" s="78"/>
      <c r="U53" s="78"/>
      <c r="V53" s="78"/>
    </row>
    <row r="54" spans="1:22" s="77" customFormat="1" ht="12.75">
      <c r="A54" s="77" t="s">
        <v>186</v>
      </c>
      <c r="B54" s="77" t="s">
        <v>109</v>
      </c>
      <c r="D54" s="77" t="s">
        <v>195</v>
      </c>
      <c r="E54" s="78" t="s">
        <v>107</v>
      </c>
      <c r="F54" s="78">
        <v>1</v>
      </c>
      <c r="G54" s="78" t="s">
        <v>107</v>
      </c>
      <c r="H54" s="78">
        <v>1</v>
      </c>
      <c r="I54" s="78" t="s">
        <v>107</v>
      </c>
      <c r="J54" s="78">
        <v>1</v>
      </c>
      <c r="K54" s="78"/>
      <c r="L54" s="78">
        <v>33.1</v>
      </c>
      <c r="M54" s="78"/>
      <c r="N54" s="78">
        <v>32.4</v>
      </c>
      <c r="O54" s="78"/>
      <c r="P54" s="78">
        <v>12.1</v>
      </c>
      <c r="Q54" s="78"/>
      <c r="R54" s="78"/>
      <c r="S54" s="78"/>
      <c r="T54" s="78"/>
      <c r="U54" s="78"/>
      <c r="V54" s="78"/>
    </row>
    <row r="55" spans="1:22" s="77" customFormat="1" ht="12.75">
      <c r="A55" s="77" t="s">
        <v>186</v>
      </c>
      <c r="B55" s="77" t="s">
        <v>108</v>
      </c>
      <c r="D55" s="77" t="s">
        <v>195</v>
      </c>
      <c r="E55" s="78"/>
      <c r="F55" s="78">
        <v>2.65</v>
      </c>
      <c r="G55" s="78"/>
      <c r="H55" s="78">
        <v>4.9</v>
      </c>
      <c r="I55" s="78"/>
      <c r="J55" s="78">
        <v>3.85</v>
      </c>
      <c r="K55" s="78" t="s">
        <v>107</v>
      </c>
      <c r="L55" s="78">
        <v>1</v>
      </c>
      <c r="M55" s="78" t="s">
        <v>107</v>
      </c>
      <c r="N55" s="78">
        <v>1</v>
      </c>
      <c r="O55" s="78" t="s">
        <v>107</v>
      </c>
      <c r="P55" s="78">
        <v>1</v>
      </c>
      <c r="Q55" s="78"/>
      <c r="R55" s="78">
        <v>39300</v>
      </c>
      <c r="S55" s="78"/>
      <c r="T55" s="78"/>
      <c r="U55" s="78"/>
      <c r="V55" s="78"/>
    </row>
    <row r="56" spans="1:22" s="77" customFormat="1" ht="12.75">
      <c r="A56" s="77" t="s">
        <v>186</v>
      </c>
      <c r="B56" s="77" t="s">
        <v>110</v>
      </c>
      <c r="D56" s="77" t="s">
        <v>195</v>
      </c>
      <c r="E56" s="78"/>
      <c r="F56" s="78">
        <v>256</v>
      </c>
      <c r="G56" s="78"/>
      <c r="H56" s="78">
        <v>334</v>
      </c>
      <c r="I56" s="78"/>
      <c r="J56" s="78">
        <v>248</v>
      </c>
      <c r="K56" s="78"/>
      <c r="L56" s="78">
        <v>592</v>
      </c>
      <c r="M56" s="78"/>
      <c r="N56" s="78">
        <v>561</v>
      </c>
      <c r="O56" s="78"/>
      <c r="P56" s="78">
        <v>88.5</v>
      </c>
      <c r="Q56" s="78"/>
      <c r="R56" s="78"/>
      <c r="S56" s="78"/>
      <c r="T56" s="78"/>
      <c r="U56" s="78"/>
      <c r="V56" s="78"/>
    </row>
    <row r="57" spans="1:22" s="77" customFormat="1" ht="12.75">
      <c r="A57" s="77" t="s">
        <v>186</v>
      </c>
      <c r="B57" s="77" t="s">
        <v>111</v>
      </c>
      <c r="D57" s="77" t="s">
        <v>195</v>
      </c>
      <c r="E57" s="78"/>
      <c r="F57" s="78">
        <v>1.5</v>
      </c>
      <c r="G57" s="78"/>
      <c r="H57" s="78">
        <v>1.65</v>
      </c>
      <c r="I57" s="78"/>
      <c r="J57" s="78">
        <v>1.45</v>
      </c>
      <c r="K57" s="78" t="s">
        <v>107</v>
      </c>
      <c r="L57" s="78">
        <v>0.25</v>
      </c>
      <c r="M57" s="78" t="s">
        <v>107</v>
      </c>
      <c r="N57" s="78">
        <v>0.25</v>
      </c>
      <c r="O57" s="78" t="s">
        <v>107</v>
      </c>
      <c r="P57" s="78">
        <v>0.25</v>
      </c>
      <c r="Q57" s="78"/>
      <c r="R57" s="78">
        <v>5250</v>
      </c>
      <c r="S57" s="78"/>
      <c r="T57" s="78">
        <v>4860</v>
      </c>
      <c r="U57" s="78"/>
      <c r="V57" s="78">
        <v>5070</v>
      </c>
    </row>
    <row r="58" spans="1:22" s="77" customFormat="1" ht="12.75">
      <c r="A58" s="77" t="s">
        <v>186</v>
      </c>
      <c r="B58" s="77" t="s">
        <v>112</v>
      </c>
      <c r="D58" s="77" t="s">
        <v>195</v>
      </c>
      <c r="E58" s="78" t="s">
        <v>107</v>
      </c>
      <c r="F58" s="78">
        <v>0.4</v>
      </c>
      <c r="G58" s="78" t="s">
        <v>107</v>
      </c>
      <c r="H58" s="78">
        <v>0.4</v>
      </c>
      <c r="I58" s="78" t="s">
        <v>107</v>
      </c>
      <c r="J58" s="78">
        <v>0.4</v>
      </c>
      <c r="K58" s="78"/>
      <c r="L58" s="78">
        <v>19.4</v>
      </c>
      <c r="M58" s="78"/>
      <c r="N58" s="78">
        <v>19.7</v>
      </c>
      <c r="O58" s="78"/>
      <c r="P58" s="78">
        <v>10.1</v>
      </c>
      <c r="Q58" s="78"/>
      <c r="R58" s="78">
        <v>40000</v>
      </c>
      <c r="S58" s="78"/>
      <c r="T58" s="78">
        <v>40000</v>
      </c>
      <c r="U58" s="78"/>
      <c r="V58" s="78">
        <v>33900</v>
      </c>
    </row>
    <row r="59" spans="1:22" s="77" customFormat="1" ht="12.75">
      <c r="A59" s="77" t="s">
        <v>186</v>
      </c>
      <c r="B59" s="77" t="s">
        <v>113</v>
      </c>
      <c r="D59" s="77" t="s">
        <v>195</v>
      </c>
      <c r="E59" s="78"/>
      <c r="F59" s="78">
        <v>35</v>
      </c>
      <c r="G59" s="78"/>
      <c r="H59" s="78">
        <v>41.1</v>
      </c>
      <c r="I59" s="78"/>
      <c r="J59" s="78">
        <v>39.4</v>
      </c>
      <c r="K59" s="78"/>
      <c r="L59" s="78">
        <v>184</v>
      </c>
      <c r="M59" s="78"/>
      <c r="N59" s="78">
        <v>165</v>
      </c>
      <c r="O59" s="78"/>
      <c r="P59" s="78">
        <v>101</v>
      </c>
      <c r="Q59" s="78"/>
      <c r="R59" s="78">
        <v>135000</v>
      </c>
      <c r="S59" s="78"/>
      <c r="T59" s="78"/>
      <c r="U59" s="78"/>
      <c r="V59" s="78">
        <v>155000</v>
      </c>
    </row>
    <row r="60" spans="1:22" s="77" customFormat="1" ht="12.75">
      <c r="A60" s="77" t="s">
        <v>186</v>
      </c>
      <c r="B60" s="77" t="s">
        <v>190</v>
      </c>
      <c r="D60" s="77" t="s">
        <v>195</v>
      </c>
      <c r="E60" s="78"/>
      <c r="F60" s="78">
        <v>0.31</v>
      </c>
      <c r="G60" s="78" t="s">
        <v>107</v>
      </c>
      <c r="H60" s="78">
        <v>0.1</v>
      </c>
      <c r="I60" s="78"/>
      <c r="J60" s="78">
        <v>0.19</v>
      </c>
      <c r="K60" s="78"/>
      <c r="L60" s="78">
        <v>86.5</v>
      </c>
      <c r="M60" s="78"/>
      <c r="N60" s="78">
        <v>98.3</v>
      </c>
      <c r="O60" s="78"/>
      <c r="P60" s="78">
        <v>76.4</v>
      </c>
      <c r="Q60" s="78"/>
      <c r="R60" s="78"/>
      <c r="S60" s="78"/>
      <c r="T60" s="78"/>
      <c r="U60" s="78"/>
      <c r="V60" s="78"/>
    </row>
    <row r="61" spans="1:22" s="77" customFormat="1" ht="12.75">
      <c r="A61" s="77" t="s">
        <v>186</v>
      </c>
      <c r="B61" s="77" t="s">
        <v>115</v>
      </c>
      <c r="D61" s="77" t="s">
        <v>195</v>
      </c>
      <c r="E61" s="78"/>
      <c r="F61" s="78">
        <v>9.2</v>
      </c>
      <c r="G61" s="78"/>
      <c r="H61" s="78">
        <v>11.7</v>
      </c>
      <c r="I61" s="78"/>
      <c r="J61" s="78">
        <v>10.9</v>
      </c>
      <c r="K61" s="78"/>
      <c r="L61" s="78">
        <v>876</v>
      </c>
      <c r="M61" s="78"/>
      <c r="N61" s="78">
        <v>817</v>
      </c>
      <c r="O61" s="78"/>
      <c r="P61" s="78">
        <v>262</v>
      </c>
      <c r="Q61" s="78"/>
      <c r="R61" s="78">
        <v>355000</v>
      </c>
      <c r="S61" s="78"/>
      <c r="T61" s="78">
        <v>363000</v>
      </c>
      <c r="U61" s="78"/>
      <c r="V61" s="78">
        <v>345000</v>
      </c>
    </row>
    <row r="62" spans="1:22" s="77" customFormat="1" ht="12.75">
      <c r="A62" s="77" t="s">
        <v>186</v>
      </c>
      <c r="B62" s="77" t="s">
        <v>116</v>
      </c>
      <c r="D62" s="77" t="s">
        <v>195</v>
      </c>
      <c r="E62" s="78" t="s">
        <v>107</v>
      </c>
      <c r="F62" s="78">
        <v>0.0507</v>
      </c>
      <c r="G62" s="78" t="s">
        <v>107</v>
      </c>
      <c r="H62" s="78">
        <v>0.0508</v>
      </c>
      <c r="I62" s="78" t="s">
        <v>107</v>
      </c>
      <c r="J62" s="78">
        <v>0.0507</v>
      </c>
      <c r="K62" s="78" t="s">
        <v>107</v>
      </c>
      <c r="L62" s="78">
        <v>0.1185</v>
      </c>
      <c r="M62" s="78" t="s">
        <v>107</v>
      </c>
      <c r="N62" s="78">
        <v>0.1134</v>
      </c>
      <c r="O62" s="78" t="s">
        <v>107</v>
      </c>
      <c r="P62" s="78">
        <v>0.1032</v>
      </c>
      <c r="Q62" s="78"/>
      <c r="R62" s="78"/>
      <c r="S62" s="78"/>
      <c r="T62" s="78"/>
      <c r="U62" s="78"/>
      <c r="V62" s="78"/>
    </row>
    <row r="63" spans="1:22" s="77" customFormat="1" ht="12.75">
      <c r="A63" s="77" t="s">
        <v>186</v>
      </c>
      <c r="B63" s="77" t="s">
        <v>117</v>
      </c>
      <c r="D63" s="77" t="s">
        <v>195</v>
      </c>
      <c r="E63" s="78"/>
      <c r="F63" s="78">
        <v>28.3</v>
      </c>
      <c r="G63" s="78"/>
      <c r="H63" s="78">
        <v>31.4</v>
      </c>
      <c r="I63" s="78"/>
      <c r="J63" s="78">
        <v>31.3</v>
      </c>
      <c r="K63" s="78"/>
      <c r="L63" s="78">
        <v>62.5</v>
      </c>
      <c r="M63" s="78"/>
      <c r="N63" s="78">
        <v>56.3</v>
      </c>
      <c r="O63" s="78"/>
      <c r="P63" s="78">
        <v>22.5</v>
      </c>
      <c r="Q63" s="78"/>
      <c r="R63" s="78"/>
      <c r="S63" s="78"/>
      <c r="T63" s="78"/>
      <c r="U63" s="78"/>
      <c r="V63" s="78"/>
    </row>
    <row r="64" spans="1:22" s="77" customFormat="1" ht="12.75">
      <c r="A64" s="77" t="s">
        <v>186</v>
      </c>
      <c r="B64" s="77" t="s">
        <v>118</v>
      </c>
      <c r="D64" s="77" t="s">
        <v>195</v>
      </c>
      <c r="E64" s="78" t="s">
        <v>107</v>
      </c>
      <c r="F64" s="78">
        <v>1</v>
      </c>
      <c r="G64" s="78" t="s">
        <v>107</v>
      </c>
      <c r="H64" s="78">
        <v>1</v>
      </c>
      <c r="I64" s="78" t="s">
        <v>107</v>
      </c>
      <c r="J64" s="78">
        <v>1</v>
      </c>
      <c r="K64" s="78"/>
      <c r="L64" s="78">
        <v>4.35</v>
      </c>
      <c r="M64" s="78"/>
      <c r="N64" s="78">
        <v>4.05</v>
      </c>
      <c r="O64" s="78"/>
      <c r="P64" s="78">
        <v>1.7</v>
      </c>
      <c r="Q64" s="78"/>
      <c r="R64" s="78"/>
      <c r="S64" s="78"/>
      <c r="T64" s="78"/>
      <c r="U64" s="78"/>
      <c r="V64" s="78"/>
    </row>
    <row r="65" spans="1:22" s="77" customFormat="1" ht="12.75">
      <c r="A65" s="77" t="s">
        <v>186</v>
      </c>
      <c r="B65" s="77" t="s">
        <v>119</v>
      </c>
      <c r="D65" s="77" t="s">
        <v>195</v>
      </c>
      <c r="E65" s="78" t="s">
        <v>107</v>
      </c>
      <c r="F65" s="78">
        <v>0.4</v>
      </c>
      <c r="G65" s="78" t="s">
        <v>107</v>
      </c>
      <c r="H65" s="78">
        <v>0.4</v>
      </c>
      <c r="I65" s="78" t="s">
        <v>107</v>
      </c>
      <c r="J65" s="78">
        <v>0.4</v>
      </c>
      <c r="K65" s="78"/>
      <c r="L65" s="78">
        <v>0.505</v>
      </c>
      <c r="M65" s="78" t="s">
        <v>107</v>
      </c>
      <c r="N65" s="78">
        <v>0.5</v>
      </c>
      <c r="O65" s="78" t="s">
        <v>107</v>
      </c>
      <c r="P65" s="78">
        <v>0.5</v>
      </c>
      <c r="Q65" s="78"/>
      <c r="R65" s="78"/>
      <c r="S65" s="78"/>
      <c r="T65" s="78"/>
      <c r="U65" s="78"/>
      <c r="V65" s="78"/>
    </row>
    <row r="66" spans="1:22" s="77" customFormat="1" ht="12.75">
      <c r="A66" s="77" t="s">
        <v>186</v>
      </c>
      <c r="B66" s="77" t="s">
        <v>120</v>
      </c>
      <c r="D66" s="77" t="s">
        <v>195</v>
      </c>
      <c r="E66" s="78" t="s">
        <v>107</v>
      </c>
      <c r="F66" s="78">
        <v>1</v>
      </c>
      <c r="G66" s="78" t="s">
        <v>107</v>
      </c>
      <c r="H66" s="78">
        <v>1</v>
      </c>
      <c r="I66" s="78" t="s">
        <v>107</v>
      </c>
      <c r="J66" s="78">
        <v>1</v>
      </c>
      <c r="K66" s="78" t="s">
        <v>107</v>
      </c>
      <c r="L66" s="78">
        <v>1</v>
      </c>
      <c r="M66" s="78" t="s">
        <v>107</v>
      </c>
      <c r="N66" s="78">
        <v>1</v>
      </c>
      <c r="O66" s="78" t="s">
        <v>107</v>
      </c>
      <c r="P66" s="78">
        <v>1</v>
      </c>
      <c r="Q66" s="78"/>
      <c r="R66" s="78"/>
      <c r="S66" s="78"/>
      <c r="T66" s="78"/>
      <c r="U66" s="78"/>
      <c r="V66" s="78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7"/>
  <sheetViews>
    <sheetView workbookViewId="0" topLeftCell="B1">
      <selection activeCell="C1" sqref="C1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421875" style="0" customWidth="1"/>
    <col min="4" max="4" width="3.140625" style="0" customWidth="1"/>
    <col min="5" max="5" width="9.57421875" style="0" customWidth="1"/>
    <col min="6" max="7" width="8.140625" style="0" customWidth="1"/>
    <col min="8" max="8" width="12.28125" style="0" customWidth="1"/>
    <col min="9" max="9" width="12.421875" style="0" customWidth="1"/>
  </cols>
  <sheetData>
    <row r="1" spans="2:9" ht="12.75">
      <c r="B1" s="2" t="s">
        <v>216</v>
      </c>
      <c r="C1" s="9"/>
      <c r="D1" s="9"/>
      <c r="E1" s="9"/>
      <c r="F1" s="9"/>
      <c r="G1" s="9"/>
      <c r="H1" s="9"/>
      <c r="I1" s="9"/>
    </row>
    <row r="2" spans="2:9" ht="12.75">
      <c r="B2" s="9"/>
      <c r="C2" s="9" t="s">
        <v>12</v>
      </c>
      <c r="D2" s="9"/>
      <c r="E2" s="28" t="s">
        <v>169</v>
      </c>
      <c r="F2" s="28" t="s">
        <v>170</v>
      </c>
      <c r="G2" s="28" t="s">
        <v>171</v>
      </c>
      <c r="H2" s="28" t="s">
        <v>172</v>
      </c>
      <c r="I2" s="9"/>
    </row>
    <row r="3" spans="2:9" ht="12.75">
      <c r="B3" s="9"/>
      <c r="C3" s="9"/>
      <c r="D3" s="9"/>
      <c r="E3" s="9"/>
      <c r="F3" s="9"/>
      <c r="G3" s="9"/>
      <c r="H3" s="9"/>
      <c r="I3" s="9"/>
    </row>
    <row r="4" spans="1:9" ht="12.75">
      <c r="A4" t="s">
        <v>59</v>
      </c>
      <c r="B4" s="2" t="s">
        <v>164</v>
      </c>
      <c r="C4" s="9" t="s">
        <v>179</v>
      </c>
      <c r="D4" s="9"/>
      <c r="E4" s="9"/>
      <c r="F4" s="9"/>
      <c r="G4" s="9"/>
      <c r="H4" s="9"/>
      <c r="I4" s="9"/>
    </row>
    <row r="5" spans="2:9" ht="12.75">
      <c r="B5" s="2"/>
      <c r="C5" s="53"/>
      <c r="D5" s="9"/>
      <c r="E5" s="9"/>
      <c r="F5" s="9"/>
      <c r="G5" s="9"/>
      <c r="H5" s="9"/>
      <c r="I5" s="9"/>
    </row>
    <row r="6" spans="2:9" ht="12.75">
      <c r="B6" s="9" t="s">
        <v>173</v>
      </c>
      <c r="C6" s="9" t="s">
        <v>19</v>
      </c>
      <c r="D6" s="9"/>
      <c r="E6">
        <v>2747</v>
      </c>
      <c r="F6" s="9">
        <v>3196</v>
      </c>
      <c r="G6" s="9">
        <v>2779</v>
      </c>
      <c r="H6" s="9">
        <v>2907</v>
      </c>
      <c r="I6" s="9"/>
    </row>
    <row r="7" spans="2:9" ht="12.75">
      <c r="B7" s="9" t="s">
        <v>142</v>
      </c>
      <c r="C7" s="9" t="s">
        <v>19</v>
      </c>
      <c r="D7" s="9"/>
      <c r="E7">
        <v>436.6</v>
      </c>
      <c r="F7" s="9">
        <v>427</v>
      </c>
      <c r="G7" s="9">
        <v>423.4</v>
      </c>
      <c r="H7" s="9">
        <v>429</v>
      </c>
      <c r="I7" s="9"/>
    </row>
    <row r="8" spans="2:10" ht="12.75">
      <c r="B8" s="9" t="s">
        <v>174</v>
      </c>
      <c r="C8" s="9" t="s">
        <v>126</v>
      </c>
      <c r="D8" s="9"/>
      <c r="E8">
        <v>6.36</v>
      </c>
      <c r="F8" s="9">
        <v>5.21</v>
      </c>
      <c r="G8" s="9">
        <v>5.03</v>
      </c>
      <c r="H8" s="9">
        <v>5.53</v>
      </c>
      <c r="I8" s="9"/>
      <c r="J8" s="30"/>
    </row>
    <row r="9" spans="2:9" ht="12.75">
      <c r="B9" s="9"/>
      <c r="C9" s="9"/>
      <c r="D9" s="9"/>
      <c r="E9" s="9"/>
      <c r="F9" s="9"/>
      <c r="G9" s="9"/>
      <c r="H9" s="9"/>
      <c r="I9" s="9"/>
    </row>
    <row r="10" spans="1:9" ht="12.75">
      <c r="A10" t="s">
        <v>59</v>
      </c>
      <c r="B10" s="2" t="s">
        <v>165</v>
      </c>
      <c r="C10" s="9" t="s">
        <v>122</v>
      </c>
      <c r="D10" s="9"/>
      <c r="E10" s="9"/>
      <c r="F10" s="9"/>
      <c r="G10" s="9"/>
      <c r="H10" s="9"/>
      <c r="I10" s="9"/>
    </row>
    <row r="11" spans="2:9" ht="12.75">
      <c r="B11" s="2"/>
      <c r="C11" s="53"/>
      <c r="D11" s="9"/>
      <c r="E11" s="9"/>
      <c r="F11" s="9"/>
      <c r="G11" s="9"/>
      <c r="H11" s="9"/>
      <c r="I11" s="9"/>
    </row>
    <row r="12" spans="2:9" ht="12.75">
      <c r="B12" s="9" t="s">
        <v>180</v>
      </c>
      <c r="C12" s="9" t="s">
        <v>19</v>
      </c>
      <c r="D12" s="9"/>
      <c r="E12" s="9">
        <v>1693</v>
      </c>
      <c r="F12" s="9">
        <v>1573</v>
      </c>
      <c r="G12" s="9">
        <v>1532</v>
      </c>
      <c r="H12" s="25">
        <f>AVERAGE(E12:G12)</f>
        <v>1599.3333333333333</v>
      </c>
      <c r="I12" s="9"/>
    </row>
    <row r="13" spans="2:9" ht="12.75">
      <c r="B13" s="9" t="s">
        <v>175</v>
      </c>
      <c r="C13" s="9" t="s">
        <v>19</v>
      </c>
      <c r="D13" s="9"/>
      <c r="E13" s="9">
        <v>1098</v>
      </c>
      <c r="F13" s="9">
        <v>1052</v>
      </c>
      <c r="G13" s="9">
        <v>1090</v>
      </c>
      <c r="H13" s="9">
        <f>AVERAGE(E13,F13,G13)</f>
        <v>1080</v>
      </c>
      <c r="I13" s="9"/>
    </row>
    <row r="14" spans="2:9" ht="12.75">
      <c r="B14" s="9" t="s">
        <v>176</v>
      </c>
      <c r="C14" s="9" t="s">
        <v>19</v>
      </c>
      <c r="D14" s="9"/>
      <c r="E14" s="9">
        <v>450.1</v>
      </c>
      <c r="F14" s="9">
        <v>447</v>
      </c>
      <c r="G14" s="9">
        <v>450.6</v>
      </c>
      <c r="H14" s="25">
        <f>AVERAGE(E14:G14)</f>
        <v>449.23333333333335</v>
      </c>
      <c r="I14" s="9"/>
    </row>
    <row r="15" spans="2:9" ht="12.75">
      <c r="B15" s="9" t="s">
        <v>142</v>
      </c>
      <c r="C15" s="9" t="s">
        <v>19</v>
      </c>
      <c r="D15" s="9"/>
      <c r="E15" s="9">
        <v>440</v>
      </c>
      <c r="F15" s="9">
        <v>439</v>
      </c>
      <c r="G15" s="9">
        <v>440</v>
      </c>
      <c r="H15" s="9">
        <v>440</v>
      </c>
      <c r="I15" s="9"/>
    </row>
    <row r="16" spans="2:9" ht="12.75">
      <c r="B16" s="9" t="s">
        <v>152</v>
      </c>
      <c r="C16" s="9" t="s">
        <v>126</v>
      </c>
      <c r="D16" s="9"/>
      <c r="E16" s="9"/>
      <c r="F16" s="9"/>
      <c r="G16" s="9"/>
      <c r="H16" s="9">
        <v>-4.37</v>
      </c>
      <c r="I16" s="9"/>
    </row>
    <row r="17" spans="2:9" ht="12.75">
      <c r="B17" s="9"/>
      <c r="C17" s="9"/>
      <c r="D17" s="9"/>
      <c r="E17" s="9"/>
      <c r="F17" s="9"/>
      <c r="G17" s="9"/>
      <c r="H17" s="9"/>
      <c r="I17" s="9"/>
    </row>
    <row r="18" spans="1:9" ht="12.75">
      <c r="A18" t="s">
        <v>59</v>
      </c>
      <c r="B18" s="2" t="s">
        <v>166</v>
      </c>
      <c r="C18" s="9" t="s">
        <v>122</v>
      </c>
      <c r="D18" s="9"/>
      <c r="E18" s="9"/>
      <c r="F18" s="9"/>
      <c r="G18" s="9"/>
      <c r="H18" s="9"/>
      <c r="I18" s="9"/>
    </row>
    <row r="19" spans="2:9" ht="12.75">
      <c r="B19" s="2"/>
      <c r="C19" s="53"/>
      <c r="D19" s="9"/>
      <c r="E19" s="9"/>
      <c r="F19" s="9"/>
      <c r="G19" s="9"/>
      <c r="H19" s="9"/>
      <c r="I19" s="9"/>
    </row>
    <row r="20" spans="2:9" ht="12.75">
      <c r="B20" s="9" t="s">
        <v>177</v>
      </c>
      <c r="C20" s="9" t="s">
        <v>19</v>
      </c>
      <c r="D20" s="9"/>
      <c r="E20" s="9">
        <v>2047</v>
      </c>
      <c r="F20" s="9">
        <v>2156</v>
      </c>
      <c r="G20" s="9">
        <v>1889</v>
      </c>
      <c r="H20" s="9">
        <v>2031</v>
      </c>
      <c r="I20" s="9"/>
    </row>
    <row r="21" spans="2:9" ht="12.75">
      <c r="B21" t="s">
        <v>178</v>
      </c>
      <c r="C21" s="9" t="s">
        <v>19</v>
      </c>
      <c r="E21">
        <v>968</v>
      </c>
      <c r="F21">
        <v>977</v>
      </c>
      <c r="G21">
        <v>1003</v>
      </c>
      <c r="H21">
        <v>983</v>
      </c>
      <c r="I21" s="9"/>
    </row>
    <row r="22" spans="2:9" ht="12.75">
      <c r="B22" t="s">
        <v>176</v>
      </c>
      <c r="C22" s="9" t="s">
        <v>19</v>
      </c>
      <c r="E22">
        <v>388.2</v>
      </c>
      <c r="F22">
        <v>380.5</v>
      </c>
      <c r="G22">
        <v>375.6</v>
      </c>
      <c r="H22" s="67">
        <f>AVERAGE(E22:G22)</f>
        <v>381.4333333333334</v>
      </c>
      <c r="I22" s="9"/>
    </row>
    <row r="23" spans="2:9" ht="12.75">
      <c r="B23" s="9" t="s">
        <v>159</v>
      </c>
      <c r="C23" s="9" t="s">
        <v>19</v>
      </c>
      <c r="D23" s="9"/>
      <c r="E23" s="9">
        <v>371</v>
      </c>
      <c r="F23" s="9">
        <v>370</v>
      </c>
      <c r="G23" s="9">
        <v>369</v>
      </c>
      <c r="H23" s="9">
        <v>370</v>
      </c>
      <c r="I23" s="9"/>
    </row>
    <row r="24" spans="2:9" ht="12.75">
      <c r="B24" s="9" t="s">
        <v>163</v>
      </c>
      <c r="C24" s="9" t="s">
        <v>126</v>
      </c>
      <c r="D24" s="9"/>
      <c r="E24" s="9"/>
      <c r="F24" s="9"/>
      <c r="G24" s="9"/>
      <c r="H24" s="9">
        <v>-2.02</v>
      </c>
      <c r="I24" s="9"/>
    </row>
    <row r="25" spans="2:9" ht="12.75">
      <c r="B25" s="2"/>
      <c r="C25" s="53"/>
      <c r="D25" s="9"/>
      <c r="E25" s="9"/>
      <c r="F25" s="9"/>
      <c r="G25" s="9"/>
      <c r="H25" s="9"/>
      <c r="I25" s="9"/>
    </row>
    <row r="26" spans="2:8" ht="12.75">
      <c r="B26" s="9"/>
      <c r="C26" s="9"/>
      <c r="D26" s="9"/>
      <c r="E26" s="9"/>
      <c r="F26" s="9"/>
      <c r="G26" s="9"/>
      <c r="H26" s="9"/>
    </row>
    <row r="27" spans="2:8" ht="12.75">
      <c r="B27" s="9"/>
      <c r="C27" s="9"/>
      <c r="D27" s="9"/>
      <c r="E27" s="9"/>
      <c r="F27" s="9"/>
      <c r="G27" s="9"/>
      <c r="H27" s="9"/>
    </row>
    <row r="28" spans="2:8" ht="12.75">
      <c r="B28" s="9"/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2:8" ht="14.25">
      <c r="B30" s="9"/>
      <c r="C30" s="9"/>
      <c r="D30" s="3"/>
      <c r="E30" s="3"/>
      <c r="F30" s="3"/>
      <c r="G30" s="3"/>
      <c r="H30" s="9"/>
    </row>
    <row r="31" spans="2:8" ht="14.25">
      <c r="B31" s="9"/>
      <c r="C31" s="9"/>
      <c r="D31" s="3"/>
      <c r="E31" s="3"/>
      <c r="F31" s="3"/>
      <c r="G31" s="3"/>
      <c r="H31" s="9"/>
    </row>
    <row r="33" spans="2:8" ht="12.75">
      <c r="B33" s="2"/>
      <c r="C33" s="9"/>
      <c r="D33" s="9"/>
      <c r="E33" s="9"/>
      <c r="F33" s="9"/>
      <c r="G33" s="9"/>
      <c r="H33" s="9"/>
    </row>
    <row r="34" spans="2:8" ht="12.75">
      <c r="B34" s="2"/>
      <c r="C34" s="53"/>
      <c r="D34" s="9"/>
      <c r="E34" s="9"/>
      <c r="F34" s="9"/>
      <c r="G34" s="9"/>
      <c r="H34" s="9"/>
    </row>
    <row r="35" spans="2:8" ht="12.75">
      <c r="B35" s="9"/>
      <c r="C35" s="9"/>
      <c r="D35" s="9"/>
      <c r="E35" s="9"/>
      <c r="F35" s="9"/>
      <c r="G35" s="9"/>
      <c r="H35" s="9"/>
    </row>
    <row r="36" spans="2:8" ht="12.75">
      <c r="B36" s="9"/>
      <c r="C36" s="9"/>
      <c r="D36" s="9"/>
      <c r="E36" s="9"/>
      <c r="F36" s="9"/>
      <c r="G36" s="9"/>
      <c r="H36" s="9"/>
    </row>
    <row r="37" spans="2:8" ht="12.75">
      <c r="B37" s="9"/>
      <c r="C37" s="9"/>
      <c r="D37" s="9"/>
      <c r="E37" s="9"/>
      <c r="F37" s="9"/>
      <c r="G37" s="9"/>
      <c r="H37" s="9"/>
    </row>
    <row r="38" spans="2:8" ht="12.75">
      <c r="B38" s="9"/>
      <c r="C38" s="9"/>
      <c r="D38" s="9"/>
      <c r="E38" s="9"/>
      <c r="F38" s="9"/>
      <c r="G38" s="9"/>
      <c r="H38" s="9"/>
    </row>
    <row r="39" spans="2:8" ht="14.25">
      <c r="B39" s="9"/>
      <c r="C39" s="9"/>
      <c r="D39" s="3"/>
      <c r="E39" s="3"/>
      <c r="F39" s="3"/>
      <c r="G39" s="3"/>
      <c r="H39" s="9"/>
    </row>
    <row r="42" spans="2:8" ht="12.75">
      <c r="B42" s="2"/>
      <c r="C42" s="9"/>
      <c r="D42" s="9"/>
      <c r="E42" s="9"/>
      <c r="F42" s="9"/>
      <c r="G42" s="9"/>
      <c r="H42" s="9"/>
    </row>
    <row r="43" spans="2:8" ht="12.75">
      <c r="B43" s="2"/>
      <c r="C43" s="53"/>
      <c r="D43" s="9"/>
      <c r="E43" s="9"/>
      <c r="F43" s="9"/>
      <c r="G43" s="9"/>
      <c r="H43" s="9"/>
    </row>
    <row r="44" spans="2:8" ht="12.75">
      <c r="B44" s="9"/>
      <c r="C44" s="9"/>
      <c r="D44" s="9"/>
      <c r="E44" s="9"/>
      <c r="F44" s="9"/>
      <c r="G44" s="9"/>
      <c r="H44" s="9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  <row r="48" spans="2:8" ht="14.25">
      <c r="B48" s="9"/>
      <c r="C48" s="9"/>
      <c r="D48" s="3"/>
      <c r="E48" s="3"/>
      <c r="F48" s="3"/>
      <c r="G48" s="3"/>
      <c r="H48" s="9"/>
    </row>
    <row r="51" spans="2:8" ht="12.75">
      <c r="B51" s="2"/>
      <c r="C51" s="9"/>
      <c r="D51" s="9"/>
      <c r="E51" s="9"/>
      <c r="F51" s="9"/>
      <c r="G51" s="9"/>
      <c r="H51" s="9"/>
    </row>
    <row r="52" spans="2:8" ht="12.75">
      <c r="B52" s="2"/>
      <c r="C52" s="53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4.25">
      <c r="B57" s="9"/>
      <c r="C57" s="9"/>
      <c r="D57" s="3"/>
      <c r="E57" s="3"/>
      <c r="F57" s="3"/>
      <c r="G57" s="3"/>
      <c r="H57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7"/>
  <sheetViews>
    <sheetView workbookViewId="0" topLeftCell="C1">
      <selection activeCell="C1" sqref="C1"/>
    </sheetView>
  </sheetViews>
  <sheetFormatPr defaultColWidth="9.140625" defaultRowHeight="12.75"/>
  <cols>
    <col min="1" max="2" width="9.140625" style="0" hidden="1" customWidth="1"/>
    <col min="3" max="3" width="25.140625" style="0" customWidth="1"/>
    <col min="4" max="4" width="8.8515625" style="0" customWidth="1"/>
    <col min="5" max="5" width="9.421875" style="0" customWidth="1"/>
  </cols>
  <sheetData>
    <row r="1" ht="12.75">
      <c r="C1" s="2" t="s">
        <v>215</v>
      </c>
    </row>
    <row r="3" spans="3:7" ht="12.75">
      <c r="C3" s="2" t="s">
        <v>181</v>
      </c>
      <c r="E3" s="96">
        <v>1</v>
      </c>
      <c r="F3" s="96">
        <v>2</v>
      </c>
      <c r="G3" s="96">
        <v>3</v>
      </c>
    </row>
    <row r="5" spans="1:31" s="74" customFormat="1" ht="12.75">
      <c r="A5" s="74" t="s">
        <v>181</v>
      </c>
      <c r="B5" s="74" t="s">
        <v>205</v>
      </c>
      <c r="C5" s="74" t="s">
        <v>206</v>
      </c>
      <c r="D5" s="74" t="s">
        <v>207</v>
      </c>
      <c r="E5" s="71">
        <v>2773</v>
      </c>
      <c r="F5" s="71">
        <v>2811</v>
      </c>
      <c r="G5" s="71">
        <v>2811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</row>
    <row r="6" spans="1:22" s="74" customFormat="1" ht="12.75">
      <c r="A6" s="74" t="s">
        <v>181</v>
      </c>
      <c r="B6" s="74" t="s">
        <v>205</v>
      </c>
      <c r="C6" s="74" t="s">
        <v>209</v>
      </c>
      <c r="D6" s="74" t="s">
        <v>207</v>
      </c>
      <c r="E6" s="71">
        <v>426</v>
      </c>
      <c r="F6" s="71">
        <v>424</v>
      </c>
      <c r="G6" s="71">
        <v>425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3" s="74" customFormat="1" ht="12.75">
      <c r="A7" s="74" t="s">
        <v>181</v>
      </c>
      <c r="B7" s="74" t="s">
        <v>205</v>
      </c>
      <c r="C7" s="74" t="s">
        <v>210</v>
      </c>
      <c r="D7" s="74" t="s">
        <v>208</v>
      </c>
      <c r="E7" s="71">
        <v>4.4</v>
      </c>
      <c r="F7" s="71">
        <v>3.8</v>
      </c>
      <c r="G7" s="71">
        <v>4.8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2004-02-24T23:59:30Z</cp:lastPrinted>
  <dcterms:created xsi:type="dcterms:W3CDTF">2000-01-10T00:44:42Z</dcterms:created>
  <dcterms:modified xsi:type="dcterms:W3CDTF">2004-02-25T00:01:39Z</dcterms:modified>
  <cp:category/>
  <cp:version/>
  <cp:contentType/>
  <cp:contentStatus/>
</cp:coreProperties>
</file>