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8490" windowHeight="4860" activeTab="0"/>
  </bookViews>
  <sheets>
    <sheet name="Inputs" sheetId="1" r:id="rId1"/>
    <sheet name="Results" sheetId="2" r:id="rId2"/>
    <sheet name="IntResults" sheetId="3" r:id="rId3"/>
    <sheet name="Sens1D" sheetId="4" r:id="rId4"/>
    <sheet name="SensResults" sheetId="5" r:id="rId5"/>
    <sheet name="NRSA_Summary" sheetId="6" r:id="rId6"/>
    <sheet name="SensLB" sheetId="7" r:id="rId7"/>
    <sheet name="SensML" sheetId="8" r:id="rId8"/>
    <sheet name="SensUB" sheetId="9" r:id="rId9"/>
    <sheet name="PasteurizationSims" sheetId="10" r:id="rId10"/>
    <sheet name="PostPastG2" sheetId="11" r:id="rId11"/>
    <sheet name="ResultsCharts" sheetId="12" r:id="rId12"/>
    <sheet name="CompareResults" sheetId="13" r:id="rId13"/>
    <sheet name="SimResults" sheetId="14" r:id="rId14"/>
    <sheet name="SeparateTypes" sheetId="15" r:id="rId15"/>
  </sheets>
  <definedNames>
    <definedName name="treeList" hidden="1">"10000000000000000000000000000000000000000000000000000000000000000000000000000000000000000000000000000000000000000000000000000000000000000000000000000000000000000000000000000000000000000000000000000000"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<sst xmlns="http://schemas.openxmlformats.org/spreadsheetml/2006/main" count="4495" uniqueCount="497">
  <si>
    <t>e</t>
  </si>
  <si>
    <t>f</t>
  </si>
  <si>
    <t>d</t>
  </si>
  <si>
    <t>Estimate</t>
  </si>
  <si>
    <t>MPD</t>
  </si>
  <si>
    <t>q</t>
  </si>
  <si>
    <t>Parameter</t>
  </si>
  <si>
    <t>g</t>
  </si>
  <si>
    <t>k</t>
  </si>
  <si>
    <t>Omega</t>
  </si>
  <si>
    <t>YMB</t>
  </si>
  <si>
    <t>Total</t>
  </si>
  <si>
    <t>v</t>
  </si>
  <si>
    <t>Layer house</t>
  </si>
  <si>
    <t>Time</t>
  </si>
  <si>
    <t>Temp</t>
  </si>
  <si>
    <t>Transportation</t>
  </si>
  <si>
    <t>Fraction</t>
  </si>
  <si>
    <t>b</t>
  </si>
  <si>
    <t>tmax</t>
  </si>
  <si>
    <t>vpos</t>
  </si>
  <si>
    <t>SD</t>
  </si>
  <si>
    <t>Input</t>
  </si>
  <si>
    <t>Determining initial levels</t>
  </si>
  <si>
    <t>Yolk growth</t>
  </si>
  <si>
    <t>Albumen growth</t>
  </si>
  <si>
    <t>Time interval f(day)</t>
  </si>
  <si>
    <t>Model parameters</t>
  </si>
  <si>
    <t>Iterations</t>
  </si>
  <si>
    <t>Yolk</t>
  </si>
  <si>
    <t>VM</t>
  </si>
  <si>
    <t>Albumen</t>
  </si>
  <si>
    <t>Close</t>
  </si>
  <si>
    <t>Far</t>
  </si>
  <si>
    <t>Alb C G</t>
  </si>
  <si>
    <t>Alb F G</t>
  </si>
  <si>
    <t>a</t>
  </si>
  <si>
    <t xml:space="preserve"> </t>
  </si>
  <si>
    <t>alpha</t>
  </si>
  <si>
    <t>beta</t>
  </si>
  <si>
    <t>amb T</t>
  </si>
  <si>
    <t>ln b</t>
  </si>
  <si>
    <t>ln -a</t>
  </si>
  <si>
    <t>Pasteurization parameters</t>
  </si>
  <si>
    <t>Log Reduction</t>
  </si>
  <si>
    <t>Past Int (m)</t>
  </si>
  <si>
    <t>Home Store</t>
  </si>
  <si>
    <t>Whiting</t>
  </si>
  <si>
    <t>Days</t>
  </si>
  <si>
    <t>Egg Temp</t>
  </si>
  <si>
    <t>Bacteria</t>
  </si>
  <si>
    <t>5th</t>
  </si>
  <si>
    <t>95th</t>
  </si>
  <si>
    <t>Retail Storage</t>
  </si>
  <si>
    <t>Retail Transportation</t>
  </si>
  <si>
    <t>Postprocessing Storage</t>
  </si>
  <si>
    <t>Pasteurization</t>
  </si>
  <si>
    <t>Preprocessing Storage</t>
  </si>
  <si>
    <t>On Farm Storage</t>
  </si>
  <si>
    <t>Home Transportation</t>
  </si>
  <si>
    <t>Random seed</t>
  </si>
  <si>
    <t>Cumul</t>
  </si>
  <si>
    <t>F inline processed</t>
  </si>
  <si>
    <t>F consumed away</t>
  </si>
  <si>
    <t>Median</t>
  </si>
  <si>
    <t>Mean</t>
  </si>
  <si>
    <t>Sd</t>
  </si>
  <si>
    <t>lag/growth</t>
  </si>
  <si>
    <t>Min</t>
  </si>
  <si>
    <t>Max</t>
  </si>
  <si>
    <t>1st</t>
  </si>
  <si>
    <t>10th</t>
  </si>
  <si>
    <t>25th</t>
  </si>
  <si>
    <t>75th</t>
  </si>
  <si>
    <t>90th</t>
  </si>
  <si>
    <t>Time run began</t>
  </si>
  <si>
    <t>Time run ended</t>
  </si>
  <si>
    <t>Run time</t>
  </si>
  <si>
    <t>Lag method</t>
  </si>
  <si>
    <t>ResetLag</t>
  </si>
  <si>
    <t>AccumulateLag</t>
  </si>
  <si>
    <t>Initial egg temp (F)</t>
  </si>
  <si>
    <t>List of available k values and meaning</t>
  </si>
  <si>
    <t>k value</t>
  </si>
  <si>
    <t>Meaning</t>
  </si>
  <si>
    <t>Water bath</t>
  </si>
  <si>
    <t>pallet</t>
  </si>
  <si>
    <t>case</t>
  </si>
  <si>
    <t>Adjust</t>
  </si>
  <si>
    <t>Egg exposed to ambient air or carton in home refrigerator</t>
  </si>
  <si>
    <t>Stacks of cartons or flats within or without a case</t>
  </si>
  <si>
    <t>Cases within a pallet</t>
  </si>
  <si>
    <t>Model stochastic growth</t>
  </si>
  <si>
    <t>Menu Messages</t>
  </si>
  <si>
    <t>Using stochastic growth model</t>
  </si>
  <si>
    <t>Using deterministic growth model</t>
  </si>
  <si>
    <t>Sim</t>
  </si>
  <si>
    <t>Shell</t>
  </si>
  <si>
    <t>Internal</t>
  </si>
  <si>
    <t>Growth</t>
  </si>
  <si>
    <t>No Growth</t>
  </si>
  <si>
    <t>Low value</t>
  </si>
  <si>
    <t>High value</t>
  </si>
  <si>
    <t>VM or Yolk</t>
  </si>
  <si>
    <t>Alb C N</t>
  </si>
  <si>
    <t>Alb F N</t>
  </si>
  <si>
    <t>VM Low</t>
  </si>
  <si>
    <t>VM High</t>
  </si>
  <si>
    <t>Yolk Low</t>
  </si>
  <si>
    <t>Yolk High</t>
  </si>
  <si>
    <t>Type</t>
  </si>
  <si>
    <t>Egg Type</t>
  </si>
  <si>
    <t>Determining Fractions of different egg types</t>
  </si>
  <si>
    <t>Number</t>
  </si>
  <si>
    <t>St dev</t>
  </si>
  <si>
    <t>Yolk and VM (low)</t>
  </si>
  <si>
    <t>Total Bacteria</t>
  </si>
  <si>
    <t>Bacteria per Egg</t>
  </si>
  <si>
    <t>Bacteria per egg by egg type</t>
  </si>
  <si>
    <t>Summary for all egg types</t>
  </si>
  <si>
    <t>Std Dev</t>
  </si>
  <si>
    <t>Layerhouse</t>
  </si>
  <si>
    <t>no</t>
  </si>
  <si>
    <t>OnFarm</t>
  </si>
  <si>
    <t>yes</t>
  </si>
  <si>
    <t>TransportationFromFarm</t>
  </si>
  <si>
    <t>PreProcessingOffLine</t>
  </si>
  <si>
    <t>PreProcessingInLine</t>
  </si>
  <si>
    <t>PostProcessing</t>
  </si>
  <si>
    <t>RetailTransportation</t>
  </si>
  <si>
    <t>RetailStorage</t>
  </si>
  <si>
    <t>HomeTransportation</t>
  </si>
  <si>
    <t>HomeStorage</t>
  </si>
  <si>
    <t>Data based</t>
  </si>
  <si>
    <t>Cooking</t>
  </si>
  <si>
    <t>Initial bacteria</t>
  </si>
  <si>
    <t>Dose reponse parameters</t>
  </si>
  <si>
    <t>Alpha</t>
  </si>
  <si>
    <t>Beta</t>
  </si>
  <si>
    <t>Servings per egg</t>
  </si>
  <si>
    <t>Servings</t>
  </si>
  <si>
    <t>p(illness)</t>
  </si>
  <si>
    <t>Log normal distribution</t>
  </si>
  <si>
    <t>Distribution</t>
  </si>
  <si>
    <t>Log normal</t>
  </si>
  <si>
    <t>Discrete</t>
  </si>
  <si>
    <t>K-values</t>
  </si>
  <si>
    <t>Layerhouse - off line</t>
  </si>
  <si>
    <t>Layerhouse - in line</t>
  </si>
  <si>
    <t>K-values and associated cumul fraction</t>
  </si>
  <si>
    <t>Parameters Time, Temperature, and K-values</t>
  </si>
  <si>
    <t>Parameters for K-values</t>
  </si>
  <si>
    <t>Type of serving</t>
  </si>
  <si>
    <t>Log reduction</t>
  </si>
  <si>
    <t>Eggs</t>
  </si>
  <si>
    <t>Beverages</t>
  </si>
  <si>
    <t>Mixtures</t>
  </si>
  <si>
    <t>Soft boiled and poached</t>
  </si>
  <si>
    <t>Sunny side up</t>
  </si>
  <si>
    <t>Scrambled and omelettes</t>
  </si>
  <si>
    <t>Over easy</t>
  </si>
  <si>
    <t>Hard boiled</t>
  </si>
  <si>
    <t>AF</t>
  </si>
  <si>
    <t>Fractions for different types of cooking and associated log reductions (Discrete)</t>
  </si>
  <si>
    <t>Growth Parameter estimates</t>
  </si>
  <si>
    <t>Prob of 0</t>
  </si>
  <si>
    <t>Poisson</t>
  </si>
  <si>
    <t>p(Flock infected)</t>
  </si>
  <si>
    <t>p(Hen is infected |  flock is infected)</t>
  </si>
  <si>
    <t>p(Flock is not molted)</t>
  </si>
  <si>
    <t>p(Egg contaminated | hen infected, not molted)</t>
  </si>
  <si>
    <t>p(Flock is molted)</t>
  </si>
  <si>
    <t>p(Egg contaminated | hen infected, molted)</t>
  </si>
  <si>
    <t>molting multiplier</t>
  </si>
  <si>
    <t>p(egg contaminated)</t>
  </si>
  <si>
    <t>Fraction of eggs that are contaminated</t>
  </si>
  <si>
    <t>F sero+</t>
  </si>
  <si>
    <t>Additional fractions for processing and consumption</t>
  </si>
  <si>
    <t>Parameter estimates - growth</t>
  </si>
  <si>
    <t>StdErr</t>
  </si>
  <si>
    <t>Correlation Matrix</t>
  </si>
  <si>
    <t>Parameter estimates - ymb</t>
  </si>
  <si>
    <t>Stand Error</t>
  </si>
  <si>
    <t>Temp Layerhouse Mean</t>
  </si>
  <si>
    <t>Temp OnFarm Mean</t>
  </si>
  <si>
    <t>Temp TransportationFromFarm Mean</t>
  </si>
  <si>
    <t>Temp PreProcessingOffLine Mean</t>
  </si>
  <si>
    <t>Temp PreProcessingInLine Mean</t>
  </si>
  <si>
    <t>Temp PostProcessing Mean</t>
  </si>
  <si>
    <t>Temp RetailTransportation Mean</t>
  </si>
  <si>
    <t>Temp RetailStorage Mean</t>
  </si>
  <si>
    <t>Temp HomeTransportation Mean</t>
  </si>
  <si>
    <t>Temp HomeStorage Mean</t>
  </si>
  <si>
    <t>Temp Layerhouse Std Dev</t>
  </si>
  <si>
    <t>Temp OnFarm Std Dev</t>
  </si>
  <si>
    <t>Temp TransportationFromFarm Std Dev</t>
  </si>
  <si>
    <t>Temp PreProcessingOffLine Std Dev</t>
  </si>
  <si>
    <t>Temp PreProcessingInLine Std Dev</t>
  </si>
  <si>
    <t>Temp PostProcessing Std Dev</t>
  </si>
  <si>
    <t>Temp RetailTransportation Std Dev</t>
  </si>
  <si>
    <t>Temp RetailStorage Std Dev</t>
  </si>
  <si>
    <t>Temp HomeTransportation Std Dev</t>
  </si>
  <si>
    <t>Temp HomeStorage Std Dev</t>
  </si>
  <si>
    <t>Time Layerhouse Mean</t>
  </si>
  <si>
    <t>Time Layerhouse Std Dev</t>
  </si>
  <si>
    <t>Time OnFarm Mean</t>
  </si>
  <si>
    <t>Time OnFarm Std Dev</t>
  </si>
  <si>
    <t>Time TransportationFromFarm Mean</t>
  </si>
  <si>
    <t>Time TransportationFromFarm Std Dev</t>
  </si>
  <si>
    <t>Time PreProcessingOffLine Mean</t>
  </si>
  <si>
    <t>Time PreProcessingOffLine Std Dev</t>
  </si>
  <si>
    <t>Time PreProcessingInLine Mean</t>
  </si>
  <si>
    <t>Time PreProcessingInLine Std Dev</t>
  </si>
  <si>
    <t>Time PostProcessing Mean</t>
  </si>
  <si>
    <t>Time PostProcessing Std Dev</t>
  </si>
  <si>
    <t>Time RetailTransportation Mean</t>
  </si>
  <si>
    <t>Time RetailTransportation Std Dev</t>
  </si>
  <si>
    <t>Time RetailStorage Mean</t>
  </si>
  <si>
    <t>Time RetailStorage Std Dev</t>
  </si>
  <si>
    <t>Time HomeTransportation Mean</t>
  </si>
  <si>
    <t>Time HomeTransportation Std Dev</t>
  </si>
  <si>
    <t>Time HomeStorage Mean</t>
  </si>
  <si>
    <t>Time HomeStorage Std Dev</t>
  </si>
  <si>
    <t>k-values Layerhouse - off line</t>
  </si>
  <si>
    <t>k-values Layerhouse - in line</t>
  </si>
  <si>
    <t>k-values OnFarm</t>
  </si>
  <si>
    <t>k-values TransportationFromFarm</t>
  </si>
  <si>
    <t>k-values PreProcessingOffLine</t>
  </si>
  <si>
    <t>k-values PreProcessingInLine</t>
  </si>
  <si>
    <t>k-values PostProcessing</t>
  </si>
  <si>
    <t>k-values RetailTransportation</t>
  </si>
  <si>
    <t>k-values RetailStorage</t>
  </si>
  <si>
    <t>k-values HomeTransportation</t>
  </si>
  <si>
    <t>k-values HomeStorage</t>
  </si>
  <si>
    <t>99th</t>
  </si>
  <si>
    <t>Production p(Flock infected)</t>
  </si>
  <si>
    <t>Production p(Hen is infected |  flock is infected)</t>
  </si>
  <si>
    <t>Production p(Egg contaminated | hen infected, not molted)</t>
  </si>
  <si>
    <t>Production p(Flock is molted)</t>
  </si>
  <si>
    <t>Production molting multiplier</t>
  </si>
  <si>
    <t>Serving type Beverages</t>
  </si>
  <si>
    <t>Serving type Mixtures</t>
  </si>
  <si>
    <t>Log reductions Soft boiled and poached</t>
  </si>
  <si>
    <t>Log reductions Sunny side up</t>
  </si>
  <si>
    <t>Log reductions Scrambled and omelettes</t>
  </si>
  <si>
    <t>Log reductions Over easy</t>
  </si>
  <si>
    <t>Log reductions Hard boiled</t>
  </si>
  <si>
    <t>Log reductions Beverages</t>
  </si>
  <si>
    <t>Log reductions Mixtures</t>
  </si>
  <si>
    <t>Egg fraction Soft boiled and poached</t>
  </si>
  <si>
    <t>Egg fraction Sunny side up</t>
  </si>
  <si>
    <t>Egg fraction Scrambled and omelettes</t>
  </si>
  <si>
    <t>Egg fraction Over easy</t>
  </si>
  <si>
    <t>Egg fraction Hard boiled</t>
  </si>
  <si>
    <t>Fractions F inline processed</t>
  </si>
  <si>
    <t>Fractions F consumed away</t>
  </si>
  <si>
    <t>Servings Mean</t>
  </si>
  <si>
    <t>Servings SD</t>
  </si>
  <si>
    <t>Initial albumen levels Mean</t>
  </si>
  <si>
    <t>Initial albumen levels St dev</t>
  </si>
  <si>
    <t>Initial yolk levels Mean</t>
  </si>
  <si>
    <t>Initial yolk levels Prob of 0</t>
  </si>
  <si>
    <t>Contaminated fraction Shell</t>
  </si>
  <si>
    <t>Contaminated fraction Alb C G</t>
  </si>
  <si>
    <t>Contaminated fraction Alb C N</t>
  </si>
  <si>
    <t>Contaminated fraction Alb F G</t>
  </si>
  <si>
    <t>Contaminated fraction Alb F N</t>
  </si>
  <si>
    <t>Contaminated fraction VM Low</t>
  </si>
  <si>
    <t>Contaminated fraction VM High</t>
  </si>
  <si>
    <t>Contaminated fraction Yolk Low</t>
  </si>
  <si>
    <t>Contaminated fraction Yolk High</t>
  </si>
  <si>
    <t>Albumen growth SD</t>
  </si>
  <si>
    <t>Albumen growth lag/growth</t>
  </si>
  <si>
    <t>Dose Response</t>
  </si>
  <si>
    <t>Results</t>
  </si>
  <si>
    <t>(Leave this row intact - top 2 rows should remain empty)</t>
  </si>
  <si>
    <t>Probability of illness</t>
  </si>
  <si>
    <t>Yolk growth e and f</t>
  </si>
  <si>
    <t>Yolk growth b</t>
  </si>
  <si>
    <t>YMB d</t>
  </si>
  <si>
    <t>YMB Omega</t>
  </si>
  <si>
    <t>YMB f, g, and k</t>
  </si>
  <si>
    <t>Baseline</t>
  </si>
  <si>
    <t>Scenario</t>
  </si>
  <si>
    <t>Storage at</t>
  </si>
  <si>
    <t>within _ days</t>
  </si>
  <si>
    <t>Pasteurized at</t>
  </si>
  <si>
    <t>Baseline settings</t>
  </si>
  <si>
    <t>E44</t>
  </si>
  <si>
    <t>Log reductions</t>
  </si>
  <si>
    <t>Max layer time</t>
  </si>
  <si>
    <t>StDev</t>
  </si>
  <si>
    <t>F55</t>
  </si>
  <si>
    <t>G55</t>
  </si>
  <si>
    <t>G56</t>
  </si>
  <si>
    <t>G57</t>
  </si>
  <si>
    <t>G58</t>
  </si>
  <si>
    <t>G59</t>
  </si>
  <si>
    <t>F56</t>
  </si>
  <si>
    <t>F57</t>
  </si>
  <si>
    <t>F58</t>
  </si>
  <si>
    <t>F59</t>
  </si>
  <si>
    <t>H64</t>
  </si>
  <si>
    <t>p(FlockInf)</t>
  </si>
  <si>
    <t>p(HenInf|FlockInf)</t>
  </si>
  <si>
    <t>p(EggCont|HenInfNM)</t>
  </si>
  <si>
    <t>p(FlockMolt)</t>
  </si>
  <si>
    <t>MoltMult</t>
  </si>
  <si>
    <t>InitAlbMean</t>
  </si>
  <si>
    <t>InitAlbSD</t>
  </si>
  <si>
    <t>InitYolkMean</t>
  </si>
  <si>
    <t>InitYolkSD</t>
  </si>
  <si>
    <t>Growth SD</t>
  </si>
  <si>
    <t>Lag/Growth</t>
  </si>
  <si>
    <t>TempLHMean</t>
  </si>
  <si>
    <t>TempLHSD</t>
  </si>
  <si>
    <t>TempFarmMean</t>
  </si>
  <si>
    <t>TempFarmSD</t>
  </si>
  <si>
    <t>TempFTMean</t>
  </si>
  <si>
    <t>TempFTSD</t>
  </si>
  <si>
    <t>TempPreOMean</t>
  </si>
  <si>
    <t>TempPreOSD</t>
  </si>
  <si>
    <t>TempPreIMean</t>
  </si>
  <si>
    <t>TempPreISD</t>
  </si>
  <si>
    <t>TempPostMean</t>
  </si>
  <si>
    <t>TempPostSD</t>
  </si>
  <si>
    <t>TempRTMean</t>
  </si>
  <si>
    <t>TempRTSD</t>
  </si>
  <si>
    <t>TempRetMean</t>
  </si>
  <si>
    <t>TempRetSD</t>
  </si>
  <si>
    <t>TempHTMean</t>
  </si>
  <si>
    <t>TempHTSD</t>
  </si>
  <si>
    <t>TempHomeMean</t>
  </si>
  <si>
    <t>TempHomeSD</t>
  </si>
  <si>
    <t>TimeLHMean</t>
  </si>
  <si>
    <t>TimeLHSD</t>
  </si>
  <si>
    <t>TimeFarmMean</t>
  </si>
  <si>
    <t>TimeFarmSD</t>
  </si>
  <si>
    <t>TimeFTMean</t>
  </si>
  <si>
    <t>TimeFTSD</t>
  </si>
  <si>
    <t>TimePreOMean</t>
  </si>
  <si>
    <t>TimePreOSD</t>
  </si>
  <si>
    <t>TimePreIMean</t>
  </si>
  <si>
    <t>TimePreISD</t>
  </si>
  <si>
    <t>TimePostMean</t>
  </si>
  <si>
    <t>TimePostSD</t>
  </si>
  <si>
    <t>TimeRTMean</t>
  </si>
  <si>
    <t>TimeRTSD</t>
  </si>
  <si>
    <t>TimeRetMean</t>
  </si>
  <si>
    <t>TimeRetSD</t>
  </si>
  <si>
    <t>TimeHTMean</t>
  </si>
  <si>
    <t>TimeHTSD</t>
  </si>
  <si>
    <t>TimeHomeMean</t>
  </si>
  <si>
    <t>TimeHomeSD</t>
  </si>
  <si>
    <t>kLHO</t>
  </si>
  <si>
    <t>kLHI</t>
  </si>
  <si>
    <t>kFarm</t>
  </si>
  <si>
    <t>kFT</t>
  </si>
  <si>
    <t>kPreO</t>
  </si>
  <si>
    <t>kPreI</t>
  </si>
  <si>
    <t>kPost</t>
  </si>
  <si>
    <t>kRT</t>
  </si>
  <si>
    <t>kRet</t>
  </si>
  <si>
    <t>kHT</t>
  </si>
  <si>
    <t>kHome</t>
  </si>
  <si>
    <t>FractBev</t>
  </si>
  <si>
    <t>FractMix</t>
  </si>
  <si>
    <t>CookBoil</t>
  </si>
  <si>
    <t>CookSSU</t>
  </si>
  <si>
    <t>CookScram</t>
  </si>
  <si>
    <t>CookOver</t>
  </si>
  <si>
    <t>CookHard</t>
  </si>
  <si>
    <t>CookBev</t>
  </si>
  <si>
    <t>CookMix</t>
  </si>
  <si>
    <t>FractBoil</t>
  </si>
  <si>
    <t>FractSSU</t>
  </si>
  <si>
    <t>FractScram</t>
  </si>
  <si>
    <t>FractOver</t>
  </si>
  <si>
    <t>FractHard</t>
  </si>
  <si>
    <t>FractInLine</t>
  </si>
  <si>
    <t>FractAway</t>
  </si>
  <si>
    <t>ServingsMean</t>
  </si>
  <si>
    <t>ServingsSD</t>
  </si>
  <si>
    <t>DoseResponse</t>
  </si>
  <si>
    <t>Pasteurization effect</t>
  </si>
  <si>
    <t>mean</t>
  </si>
  <si>
    <t>Layer</t>
  </si>
  <si>
    <t>Farm</t>
  </si>
  <si>
    <t>PreProcess</t>
  </si>
  <si>
    <t>Trans</t>
  </si>
  <si>
    <t>Past</t>
  </si>
  <si>
    <t>PostProcess</t>
  </si>
  <si>
    <t>Retail</t>
  </si>
  <si>
    <t>Home</t>
  </si>
  <si>
    <t>3 logs</t>
  </si>
  <si>
    <t>5 logs</t>
  </si>
  <si>
    <t>Illness</t>
  </si>
  <si>
    <t>Rank</t>
  </si>
  <si>
    <t>LayerTime</t>
  </si>
  <si>
    <t>LayerTemp</t>
  </si>
  <si>
    <t>LayerK</t>
  </si>
  <si>
    <t>OnFarmTime</t>
  </si>
  <si>
    <t>OnFarmTemp</t>
  </si>
  <si>
    <t>OnFarmK</t>
  </si>
  <si>
    <t>TransportTime</t>
  </si>
  <si>
    <t>TransportTemp</t>
  </si>
  <si>
    <t>TransportK</t>
  </si>
  <si>
    <t>PreProcessTime</t>
  </si>
  <si>
    <t>PreProcessTemp</t>
  </si>
  <si>
    <t>PreProcessK</t>
  </si>
  <si>
    <t>PostProcessTime</t>
  </si>
  <si>
    <t>PostProcessTemp</t>
  </si>
  <si>
    <t>PostProcessK</t>
  </si>
  <si>
    <t>RetailTransportTemp</t>
  </si>
  <si>
    <t>RetailTransportK</t>
  </si>
  <si>
    <t>RetailStoreTime</t>
  </si>
  <si>
    <t>RetailStoreTemp</t>
  </si>
  <si>
    <t>RetailStoreK</t>
  </si>
  <si>
    <t>HomeTranportTime</t>
  </si>
  <si>
    <t>HomeTransportTemp</t>
  </si>
  <si>
    <t>HomeTransportK</t>
  </si>
  <si>
    <t>HomeStoreTime</t>
  </si>
  <si>
    <t>HomeStoreTemp</t>
  </si>
  <si>
    <t>HomeStoreK</t>
  </si>
  <si>
    <t>Initial Bact</t>
  </si>
  <si>
    <t>RetailTransportTime</t>
  </si>
  <si>
    <t>-</t>
  </si>
  <si>
    <t>Egg Age</t>
  </si>
  <si>
    <t>On Farm</t>
  </si>
  <si>
    <t>Pre-processing</t>
  </si>
  <si>
    <t>Post-processing</t>
  </si>
  <si>
    <t>Transportation to Processor</t>
  </si>
  <si>
    <t>Home Storage</t>
  </si>
  <si>
    <t>Correlation of human illness with output at end of each step</t>
  </si>
  <si>
    <t>Correlation of human illness with input for time, temperature, and cooling constant at each step</t>
  </si>
  <si>
    <t>Correlation of human illness with other model variables</t>
  </si>
  <si>
    <t>Correlation with:</t>
  </si>
  <si>
    <t>Model Step</t>
  </si>
  <si>
    <t>Variable</t>
  </si>
  <si>
    <t>Correlation</t>
  </si>
  <si>
    <t>NA</t>
  </si>
  <si>
    <t>dozen</t>
  </si>
  <si>
    <t>breakers</t>
  </si>
  <si>
    <t>total</t>
  </si>
  <si>
    <t>http://www.ers.usda.gov/publications/agoutlook/Nov2002/ao296a.pdf</t>
  </si>
  <si>
    <t>Time and Temperature</t>
  </si>
  <si>
    <t>Pasteurization?</t>
  </si>
  <si>
    <t>Illnesses</t>
  </si>
  <si>
    <t>Multiplier for G2 growth rate after pasteurization</t>
  </si>
  <si>
    <t>Storage at 45F within 1.5 days</t>
  </si>
  <si>
    <t>Storage at 45F within 1.0 days</t>
  </si>
  <si>
    <t>Storage at 45F within 0.5 days</t>
  </si>
  <si>
    <t>Storage at 53F within 1.5 days</t>
  </si>
  <si>
    <t>Storage at 53F within 1.0 days</t>
  </si>
  <si>
    <t>Storage at 53F within 0.5 days</t>
  </si>
  <si>
    <t>Storage at 60F within 1.5 days</t>
  </si>
  <si>
    <t>Storage at 60F within 1.0 days</t>
  </si>
  <si>
    <t>Storage at 60F within 0.5 days</t>
  </si>
  <si>
    <t>3 Logs</t>
  </si>
  <si>
    <t>5 Logs</t>
  </si>
  <si>
    <t>Step</t>
  </si>
  <si>
    <t>Illnesses per egg</t>
  </si>
  <si>
    <t>Eggs per illness</t>
  </si>
  <si>
    <t>Illnesses per serving</t>
  </si>
  <si>
    <t>Servings per illness</t>
  </si>
  <si>
    <t>Baseline (0 logs)</t>
  </si>
  <si>
    <t>None</t>
  </si>
  <si>
    <t>Albumen init cont (mean of log normal)</t>
  </si>
  <si>
    <t>Albumen init cont (st. dev. of log normal)</t>
  </si>
  <si>
    <t>Yolk and VM init cont (mean of Poisson)</t>
  </si>
  <si>
    <t>Yolk and VM init cont (prob. of 0)</t>
  </si>
  <si>
    <t>InitYolkProb0</t>
  </si>
  <si>
    <t>5th and 95th</t>
  </si>
  <si>
    <t>arbitary</t>
  </si>
  <si>
    <t>LB</t>
  </si>
  <si>
    <t>ML</t>
  </si>
  <si>
    <t>UB</t>
  </si>
  <si>
    <t>Lower bound</t>
  </si>
  <si>
    <t>Most likely values</t>
  </si>
  <si>
    <t>Upper bound</t>
  </si>
  <si>
    <t>Correlated</t>
  </si>
  <si>
    <t>Scrambled and omelettes 1</t>
  </si>
  <si>
    <t>Scrambled and omelettes 2</t>
  </si>
  <si>
    <t>In-line processed</t>
  </si>
  <si>
    <t>Consumed away from home</t>
  </si>
  <si>
    <t>Dose response (parameters correlated)</t>
  </si>
  <si>
    <t>Determ</t>
  </si>
  <si>
    <t>Stoch</t>
  </si>
  <si>
    <t>Determ (log scale)</t>
  </si>
  <si>
    <t>Stoch (log scale)</t>
  </si>
  <si>
    <t>Minutes</t>
  </si>
  <si>
    <t>Initial</t>
  </si>
  <si>
    <t>Past 3 logs</t>
  </si>
  <si>
    <t>After Cooking</t>
  </si>
  <si>
    <t>Normal growth</t>
  </si>
  <si>
    <t>50% growth rate post-past</t>
  </si>
  <si>
    <t>Uniform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</si>
</sst>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"/>
    <numFmt numFmtId="166" formatCode="0.000"/>
    <numFmt numFmtId="167" formatCode="0.0000000"/>
    <numFmt numFmtId="168" formatCode="0.000000"/>
    <numFmt numFmtId="169" formatCode="0.00000"/>
    <numFmt numFmtId="170" formatCode="0.0000"/>
    <numFmt numFmtId="171" formatCode="_(* #,##0_);_(* \(#,##0\);_(* &quot;-&quot;??_);_(@_)"/>
    <numFmt numFmtId="172" formatCode="0.00000000"/>
    <numFmt numFmtId="173" formatCode="0.000000000"/>
    <numFmt numFmtId="174" formatCode="_(* #,##0.0_);_(* \(#,##0.0\);_(* &quot;-&quot;??_);_(@_)"/>
    <numFmt numFmtId="175" formatCode="0.0E+00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0.00000000E+00"/>
    <numFmt numFmtId="182" formatCode="0.000000000000000000000000000000E+00"/>
    <numFmt numFmtId="183" formatCode="_(* #,##0.000_);_(* \(#,##0.000\);_(* &quot;-&quot;???_);_(@_)"/>
    <numFmt numFmtId="184" formatCode="0.0%"/>
    <numFmt numFmtId="185" formatCode="_(* #,##0.0000_);_(* \(#,##0.0000\);_(* &quot;-&quot;????_);_(@_)"/>
    <numFmt numFmtId="186" formatCode="0.000%"/>
    <numFmt numFmtId="187" formatCode="_(* #,##0.0&quot; C&quot;_);_(* \(#,##0.0\);_(* &quot;-&quot;??_);_(@_)"/>
    <numFmt numFmtId="188" formatCode="_(* #,##0.0&quot; C&quot;_);_(* \(#,##0.0&quot; C&quot;\);_(* &quot;-&quot;??_);_(@_)"/>
    <numFmt numFmtId="189" formatCode="_(* #,##0.0&quot; F&quot;_);_(* \(#,##0.0&quot; F&quot;\);_(* &quot;-&quot;??_);_(@_)"/>
    <numFmt numFmtId="190" formatCode="_(* #,##0.00&quot; C&quot;_);_(* \(#,##0.00&quot; C&quot;\);_(* &quot;-&quot;??_);_(@_)"/>
    <numFmt numFmtId="191" formatCode="_(* #,##0.000&quot; C&quot;_);_(* \(#,##0.000&quot; C&quot;\);_(* &quot;-&quot;??_);_(@_)"/>
    <numFmt numFmtId="192" formatCode="_(* #,##0.0000&quot; C&quot;_);_(* \(#,##0.0000&quot; C&quot;\);_(* &quot;-&quot;??_);_(@_)"/>
    <numFmt numFmtId="193" formatCode="0.0000%"/>
    <numFmt numFmtId="194" formatCode="_(* #,##0.0_);_(* \(#,##0.0\);_(* &quot;-&quot;?_);_(@_)"/>
    <numFmt numFmtId="195" formatCode="0E+00"/>
    <numFmt numFmtId="196" formatCode="0.E+00"/>
    <numFmt numFmtId="197" formatCode="0.00000%"/>
    <numFmt numFmtId="198" formatCode="0.0_)"/>
    <numFmt numFmtId="199" formatCode="0.00_)"/>
    <numFmt numFmtId="200" formatCode="0.0000_)"/>
    <numFmt numFmtId="201" formatCode="0.000_)"/>
    <numFmt numFmtId="202" formatCode="0.00000000000000%"/>
    <numFmt numFmtId="203" formatCode="0.0000000000000%"/>
    <numFmt numFmtId="204" formatCode="0.000000000000%"/>
    <numFmt numFmtId="205" formatCode="0.00000000000%"/>
    <numFmt numFmtId="206" formatCode="0.0000000000%"/>
    <numFmt numFmtId="207" formatCode="0.000000000%"/>
    <numFmt numFmtId="208" formatCode="0.00000000%"/>
    <numFmt numFmtId="209" formatCode="0.0000000%"/>
    <numFmt numFmtId="210" formatCode="0.000000%"/>
    <numFmt numFmtId="211" formatCode="0.000000000000000000%"/>
    <numFmt numFmtId="212" formatCode="0.000000E+00;\Ј"/>
    <numFmt numFmtId="213" formatCode="0.000000E+00;\鬸"/>
    <numFmt numFmtId="214" formatCode="_(* #,##0.0000000_);_(* \(#,##0.0000000\);_(* &quot;-&quot;???????_);_(@_)"/>
    <numFmt numFmtId="215" formatCode="_(* #,##0.00000000_);_(* \(#,##0.00000000\);_(* &quot;-&quot;??_);_(@_)"/>
    <numFmt numFmtId="216" formatCode="_(* #,##0.000000000_);_(* \(#,##0.000000000\);_(* &quot;-&quot;??_);_(@_)"/>
    <numFmt numFmtId="217" formatCode="_(* #,##0.000000_);_(* \(#,##0.000000\);_(* &quot;-&quot;??????_);_(@_)"/>
    <numFmt numFmtId="218" formatCode="0.000E+00"/>
    <numFmt numFmtId="219" formatCode="0.0000E+00"/>
    <numFmt numFmtId="220" formatCode="_(* #,##0.00000000_);_(* \(#,##0.00000000\);_(* &quot;-&quot;????????_);_(@_)"/>
    <numFmt numFmtId="221" formatCode="_(* #,##0.0000000000_);_(* \(#,##0.00000000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.75"/>
      <name val="Arial"/>
      <family val="0"/>
    </font>
    <font>
      <sz val="8"/>
      <name val="Arial"/>
      <family val="2"/>
    </font>
    <font>
      <b/>
      <sz val="10.75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.5"/>
      <name val="Arial"/>
      <family val="0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8.75"/>
      <name val="Arial"/>
      <family val="2"/>
    </font>
    <font>
      <b/>
      <sz val="12"/>
      <name val="Arial"/>
      <family val="2"/>
    </font>
    <font>
      <sz val="8.5"/>
      <name val="Arial"/>
      <family val="0"/>
    </font>
  </fonts>
  <fills count="12">
    <fill>
      <patternFill/>
    </fill>
    <fill>
      <patternFill patternType="gray125"/>
    </fill>
    <fill>
      <patternFill patternType="lightDown">
        <f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darkDown">
        <fgColor indexed="8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15" applyNumberFormat="1" applyAlignment="1">
      <alignment/>
    </xf>
    <xf numFmtId="0" fontId="0" fillId="0" borderId="0" xfId="15" applyNumberFormat="1" applyAlignment="1">
      <alignment/>
    </xf>
    <xf numFmtId="47" fontId="0" fillId="0" borderId="0" xfId="0" applyNumberFormat="1" applyAlignment="1">
      <alignment/>
    </xf>
    <xf numFmtId="43" fontId="0" fillId="0" borderId="0" xfId="15" applyAlignment="1">
      <alignment/>
    </xf>
    <xf numFmtId="171" fontId="0" fillId="0" borderId="0" xfId="15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3" fillId="0" borderId="5" xfId="0" applyFont="1" applyBorder="1" applyAlignment="1">
      <alignment horizontal="center"/>
    </xf>
    <xf numFmtId="0" fontId="0" fillId="2" borderId="6" xfId="0" applyFill="1" applyBorder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2" borderId="7" xfId="0" applyFill="1" applyBorder="1" applyAlignment="1">
      <alignment/>
    </xf>
    <xf numFmtId="166" fontId="0" fillId="0" borderId="0" xfId="0" applyNumberFormat="1" applyAlignment="1">
      <alignment/>
    </xf>
    <xf numFmtId="184" fontId="0" fillId="0" borderId="0" xfId="21" applyNumberFormat="1" applyAlignment="1">
      <alignment/>
    </xf>
    <xf numFmtId="43" fontId="1" fillId="0" borderId="5" xfId="15" applyFont="1" applyBorder="1" applyAlignment="1">
      <alignment horizontal="center"/>
    </xf>
    <xf numFmtId="43" fontId="1" fillId="0" borderId="8" xfId="15" applyFont="1" applyBorder="1" applyAlignment="1">
      <alignment horizontal="center"/>
    </xf>
    <xf numFmtId="184" fontId="1" fillId="0" borderId="8" xfId="21" applyNumberFormat="1" applyFont="1" applyBorder="1" applyAlignment="1">
      <alignment horizontal="center"/>
    </xf>
    <xf numFmtId="171" fontId="1" fillId="0" borderId="8" xfId="15" applyNumberFormat="1" applyFont="1" applyBorder="1" applyAlignment="1">
      <alignment horizontal="center"/>
    </xf>
    <xf numFmtId="43" fontId="1" fillId="0" borderId="5" xfId="15" applyFont="1" applyBorder="1" applyAlignment="1">
      <alignment/>
    </xf>
    <xf numFmtId="184" fontId="1" fillId="0" borderId="5" xfId="21" applyNumberFormat="1" applyFont="1" applyBorder="1" applyAlignment="1">
      <alignment/>
    </xf>
    <xf numFmtId="171" fontId="1" fillId="0" borderId="5" xfId="15" applyNumberFormat="1" applyFont="1" applyBorder="1" applyAlignment="1">
      <alignment/>
    </xf>
    <xf numFmtId="171" fontId="1" fillId="0" borderId="5" xfId="15" applyNumberFormat="1" applyFont="1" applyBorder="1" applyAlignment="1">
      <alignment horizontal="left"/>
    </xf>
    <xf numFmtId="171" fontId="1" fillId="0" borderId="8" xfId="15" applyNumberFormat="1" applyFont="1" applyBorder="1" applyAlignment="1">
      <alignment horizontal="left"/>
    </xf>
    <xf numFmtId="171" fontId="0" fillId="0" borderId="0" xfId="15" applyNumberFormat="1" applyAlignment="1">
      <alignment horizontal="left"/>
    </xf>
    <xf numFmtId="0" fontId="0" fillId="2" borderId="9" xfId="0" applyFill="1" applyBorder="1" applyAlignment="1">
      <alignment/>
    </xf>
    <xf numFmtId="171" fontId="1" fillId="0" borderId="5" xfId="15" applyNumberFormat="1" applyFont="1" applyBorder="1" applyAlignment="1">
      <alignment horizontal="center"/>
    </xf>
    <xf numFmtId="43" fontId="0" fillId="0" borderId="10" xfId="15" applyBorder="1" applyAlignment="1">
      <alignment/>
    </xf>
    <xf numFmtId="43" fontId="0" fillId="0" borderId="0" xfId="15" applyBorder="1" applyAlignment="1">
      <alignment/>
    </xf>
    <xf numFmtId="43" fontId="0" fillId="0" borderId="3" xfId="15" applyBorder="1" applyAlignment="1">
      <alignment/>
    </xf>
    <xf numFmtId="43" fontId="0" fillId="0" borderId="11" xfId="15" applyBorder="1" applyAlignment="1">
      <alignment/>
    </xf>
    <xf numFmtId="43" fontId="0" fillId="0" borderId="9" xfId="15" applyBorder="1" applyAlignment="1">
      <alignment/>
    </xf>
    <xf numFmtId="43" fontId="0" fillId="0" borderId="4" xfId="15" applyBorder="1" applyAlignment="1">
      <alignment/>
    </xf>
    <xf numFmtId="184" fontId="1" fillId="0" borderId="5" xfId="21" applyNumberFormat="1" applyFont="1" applyBorder="1" applyAlignment="1">
      <alignment horizontal="center"/>
    </xf>
    <xf numFmtId="171" fontId="0" fillId="0" borderId="0" xfId="15" applyNumberFormat="1" applyBorder="1" applyAlignment="1">
      <alignment/>
    </xf>
    <xf numFmtId="171" fontId="0" fillId="0" borderId="9" xfId="15" applyNumberFormat="1" applyBorder="1" applyAlignment="1">
      <alignment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15" applyNumberFormat="1" applyFont="1" applyAlignment="1">
      <alignment/>
    </xf>
    <xf numFmtId="9" fontId="0" fillId="0" borderId="0" xfId="21" applyAlignment="1">
      <alignment/>
    </xf>
    <xf numFmtId="0" fontId="0" fillId="2" borderId="11" xfId="0" applyFill="1" applyBorder="1" applyAlignment="1">
      <alignment/>
    </xf>
    <xf numFmtId="170" fontId="0" fillId="2" borderId="9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12" xfId="0" applyFill="1" applyBorder="1" applyAlignment="1">
      <alignment/>
    </xf>
    <xf numFmtId="166" fontId="0" fillId="3" borderId="5" xfId="0" applyNumberFormat="1" applyFill="1" applyBorder="1" applyAlignment="1">
      <alignment/>
    </xf>
    <xf numFmtId="166" fontId="0" fillId="4" borderId="5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0" fontId="3" fillId="5" borderId="5" xfId="0" applyFont="1" applyFill="1" applyBorder="1" applyAlignment="1">
      <alignment/>
    </xf>
    <xf numFmtId="0" fontId="0" fillId="4" borderId="12" xfId="0" applyFill="1" applyBorder="1" applyAlignment="1">
      <alignment/>
    </xf>
    <xf numFmtId="0" fontId="2" fillId="6" borderId="12" xfId="0" applyFont="1" applyFill="1" applyBorder="1" applyAlignment="1">
      <alignment/>
    </xf>
    <xf numFmtId="0" fontId="1" fillId="7" borderId="5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9" fontId="0" fillId="4" borderId="5" xfId="0" applyNumberFormat="1" applyFill="1" applyBorder="1" applyAlignment="1">
      <alignment/>
    </xf>
    <xf numFmtId="46" fontId="0" fillId="4" borderId="5" xfId="0" applyNumberFormat="1" applyFill="1" applyBorder="1" applyAlignment="1">
      <alignment/>
    </xf>
    <xf numFmtId="170" fontId="0" fillId="0" borderId="0" xfId="0" applyNumberFormat="1" applyAlignment="1">
      <alignment/>
    </xf>
    <xf numFmtId="43" fontId="1" fillId="0" borderId="8" xfId="15" applyNumberFormat="1" applyFont="1" applyBorder="1" applyAlignment="1">
      <alignment horizontal="center"/>
    </xf>
    <xf numFmtId="2" fontId="0" fillId="4" borderId="5" xfId="0" applyNumberFormat="1" applyFill="1" applyBorder="1" applyAlignment="1">
      <alignment/>
    </xf>
    <xf numFmtId="2" fontId="0" fillId="4" borderId="12" xfId="0" applyNumberFormat="1" applyFill="1" applyBorder="1" applyAlignment="1">
      <alignment/>
    </xf>
    <xf numFmtId="0" fontId="0" fillId="2" borderId="10" xfId="0" applyFill="1" applyBorder="1" applyAlignment="1">
      <alignment/>
    </xf>
    <xf numFmtId="22" fontId="0" fillId="0" borderId="0" xfId="0" applyNumberFormat="1" applyAlignment="1">
      <alignment/>
    </xf>
    <xf numFmtId="21" fontId="0" fillId="0" borderId="0" xfId="0" applyNumberFormat="1" applyAlignment="1">
      <alignment/>
    </xf>
    <xf numFmtId="188" fontId="1" fillId="0" borderId="5" xfId="15" applyNumberFormat="1" applyFont="1" applyBorder="1" applyAlignment="1">
      <alignment/>
    </xf>
    <xf numFmtId="0" fontId="0" fillId="8" borderId="0" xfId="0" applyFill="1" applyAlignment="1" applyProtection="1">
      <alignment/>
      <protection hidden="1"/>
    </xf>
    <xf numFmtId="0" fontId="0" fillId="8" borderId="0" xfId="0" applyFill="1" applyAlignment="1">
      <alignment/>
    </xf>
    <xf numFmtId="43" fontId="1" fillId="0" borderId="15" xfId="15" applyFont="1" applyBorder="1" applyAlignment="1">
      <alignment horizontal="center"/>
    </xf>
    <xf numFmtId="43" fontId="1" fillId="0" borderId="16" xfId="15" applyFont="1" applyBorder="1" applyAlignment="1">
      <alignment horizontal="center"/>
    </xf>
    <xf numFmtId="43" fontId="1" fillId="0" borderId="17" xfId="15" applyFont="1" applyBorder="1" applyAlignment="1">
      <alignment/>
    </xf>
    <xf numFmtId="187" fontId="1" fillId="0" borderId="18" xfId="15" applyNumberFormat="1" applyFont="1" applyBorder="1" applyAlignment="1">
      <alignment/>
    </xf>
    <xf numFmtId="43" fontId="1" fillId="0" borderId="19" xfId="15" applyFont="1" applyBorder="1" applyAlignment="1">
      <alignment/>
    </xf>
    <xf numFmtId="184" fontId="1" fillId="0" borderId="20" xfId="21" applyNumberFormat="1" applyFont="1" applyBorder="1" applyAlignment="1">
      <alignment/>
    </xf>
    <xf numFmtId="171" fontId="1" fillId="0" borderId="20" xfId="15" applyNumberFormat="1" applyFont="1" applyBorder="1" applyAlignment="1">
      <alignment/>
    </xf>
    <xf numFmtId="187" fontId="1" fillId="0" borderId="21" xfId="15" applyNumberFormat="1" applyFont="1" applyBorder="1" applyAlignment="1">
      <alignment/>
    </xf>
    <xf numFmtId="171" fontId="1" fillId="0" borderId="20" xfId="15" applyNumberFormat="1" applyFont="1" applyBorder="1" applyAlignment="1">
      <alignment horizontal="left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22" fontId="0" fillId="0" borderId="12" xfId="0" applyNumberFormat="1" applyBorder="1" applyAlignment="1">
      <alignment/>
    </xf>
    <xf numFmtId="21" fontId="0" fillId="0" borderId="12" xfId="0" applyNumberForma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43" fontId="1" fillId="0" borderId="2" xfId="15" applyFont="1" applyBorder="1" applyAlignment="1">
      <alignment horizontal="center"/>
    </xf>
    <xf numFmtId="43" fontId="1" fillId="0" borderId="14" xfId="15" applyFont="1" applyBorder="1" applyAlignment="1">
      <alignment/>
    </xf>
    <xf numFmtId="43" fontId="1" fillId="0" borderId="30" xfId="15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1" fillId="7" borderId="4" xfId="0" applyFont="1" applyFill="1" applyBorder="1" applyAlignment="1">
      <alignment horizontal="center"/>
    </xf>
    <xf numFmtId="166" fontId="0" fillId="4" borderId="5" xfId="0" applyNumberFormat="1" applyFill="1" applyBorder="1" applyAlignment="1">
      <alignment horizontal="center"/>
    </xf>
    <xf numFmtId="166" fontId="0" fillId="3" borderId="7" xfId="0" applyNumberFormat="1" applyFill="1" applyBorder="1" applyAlignment="1">
      <alignment/>
    </xf>
    <xf numFmtId="2" fontId="0" fillId="3" borderId="12" xfId="0" applyNumberFormat="1" applyFill="1" applyBorder="1" applyAlignment="1">
      <alignment/>
    </xf>
    <xf numFmtId="0" fontId="0" fillId="0" borderId="5" xfId="0" applyFill="1" applyBorder="1" applyAlignment="1">
      <alignment/>
    </xf>
    <xf numFmtId="171" fontId="0" fillId="0" borderId="5" xfId="15" applyNumberFormat="1" applyFill="1" applyBorder="1" applyAlignment="1">
      <alignment/>
    </xf>
    <xf numFmtId="0" fontId="0" fillId="0" borderId="5" xfId="0" applyBorder="1" applyAlignment="1">
      <alignment/>
    </xf>
    <xf numFmtId="171" fontId="0" fillId="0" borderId="12" xfId="0" applyNumberFormat="1" applyBorder="1" applyAlignment="1">
      <alignment/>
    </xf>
    <xf numFmtId="171" fontId="0" fillId="0" borderId="8" xfId="15" applyNumberForma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171" fontId="1" fillId="0" borderId="12" xfId="15" applyNumberFormat="1" applyFont="1" applyBorder="1" applyAlignment="1">
      <alignment horizontal="centerContinuous" vertical="center"/>
    </xf>
    <xf numFmtId="171" fontId="1" fillId="0" borderId="13" xfId="15" applyNumberFormat="1" applyFont="1" applyBorder="1" applyAlignment="1">
      <alignment horizontal="centerContinuous" vertical="center"/>
    </xf>
    <xf numFmtId="171" fontId="1" fillId="0" borderId="14" xfId="15" applyNumberFormat="1" applyFont="1" applyBorder="1" applyAlignment="1">
      <alignment horizontal="centerContinuous" vertical="center"/>
    </xf>
    <xf numFmtId="171" fontId="0" fillId="0" borderId="0" xfId="15" applyNumberFormat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Font="1" applyAlignment="1">
      <alignment/>
    </xf>
    <xf numFmtId="0" fontId="2" fillId="6" borderId="13" xfId="0" applyFont="1" applyFill="1" applyBorder="1" applyAlignment="1">
      <alignment/>
    </xf>
    <xf numFmtId="0" fontId="2" fillId="6" borderId="14" xfId="0" applyFont="1" applyFill="1" applyBorder="1" applyAlignment="1">
      <alignment/>
    </xf>
    <xf numFmtId="0" fontId="0" fillId="2" borderId="5" xfId="0" applyFill="1" applyBorder="1" applyAlignment="1">
      <alignment/>
    </xf>
    <xf numFmtId="0" fontId="1" fillId="7" borderId="5" xfId="0" applyFont="1" applyFill="1" applyBorder="1" applyAlignment="1">
      <alignment/>
    </xf>
    <xf numFmtId="176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1" fillId="0" borderId="5" xfId="15" applyNumberFormat="1" applyFont="1" applyBorder="1" applyAlignment="1">
      <alignment/>
    </xf>
    <xf numFmtId="43" fontId="1" fillId="0" borderId="5" xfId="15" applyNumberFormat="1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43" fontId="1" fillId="0" borderId="0" xfId="15" applyFont="1" applyBorder="1" applyAlignment="1">
      <alignment horizontal="center"/>
    </xf>
    <xf numFmtId="187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6" fontId="1" fillId="0" borderId="0" xfId="15" applyNumberFormat="1" applyFont="1" applyBorder="1" applyAlignment="1">
      <alignment/>
    </xf>
    <xf numFmtId="166" fontId="1" fillId="0" borderId="0" xfId="0" applyNumberFormat="1" applyFont="1" applyBorder="1" applyAlignment="1">
      <alignment horizontal="centerContinuous"/>
    </xf>
    <xf numFmtId="166" fontId="1" fillId="0" borderId="0" xfId="15" applyNumberFormat="1" applyFont="1" applyBorder="1" applyAlignment="1">
      <alignment horizontal="center"/>
    </xf>
    <xf numFmtId="43" fontId="1" fillId="0" borderId="0" xfId="15" applyFont="1" applyBorder="1" applyAlignment="1">
      <alignment horizontal="left"/>
    </xf>
    <xf numFmtId="43" fontId="1" fillId="0" borderId="0" xfId="15" applyFont="1" applyBorder="1" applyAlignment="1">
      <alignment/>
    </xf>
    <xf numFmtId="43" fontId="1" fillId="0" borderId="0" xfId="15" applyFont="1" applyBorder="1" applyAlignment="1">
      <alignment horizontal="centerContinuous"/>
    </xf>
    <xf numFmtId="0" fontId="0" fillId="2" borderId="8" xfId="0" applyFill="1" applyBorder="1" applyAlignment="1">
      <alignment/>
    </xf>
    <xf numFmtId="0" fontId="3" fillId="5" borderId="14" xfId="0" applyFont="1" applyFill="1" applyBorder="1" applyAlignment="1">
      <alignment/>
    </xf>
    <xf numFmtId="0" fontId="0" fillId="5" borderId="5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7" borderId="7" xfId="0" applyFont="1" applyFill="1" applyBorder="1" applyAlignment="1">
      <alignment/>
    </xf>
    <xf numFmtId="0" fontId="3" fillId="6" borderId="12" xfId="0" applyFont="1" applyFill="1" applyBorder="1" applyAlignment="1">
      <alignment/>
    </xf>
    <xf numFmtId="0" fontId="0" fillId="6" borderId="14" xfId="0" applyFill="1" applyBorder="1" applyAlignment="1">
      <alignment horizontal="center"/>
    </xf>
    <xf numFmtId="0" fontId="1" fillId="7" borderId="14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1" fillId="2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vertical="center"/>
    </xf>
    <xf numFmtId="9" fontId="0" fillId="4" borderId="5" xfId="21" applyFill="1" applyBorder="1" applyAlignment="1">
      <alignment horizontal="center"/>
    </xf>
    <xf numFmtId="186" fontId="0" fillId="4" borderId="5" xfId="21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7" xfId="0" applyFill="1" applyBorder="1" applyAlignment="1">
      <alignment/>
    </xf>
    <xf numFmtId="166" fontId="0" fillId="0" borderId="5" xfId="0" applyNumberFormat="1" applyFill="1" applyBorder="1" applyAlignment="1">
      <alignment horizontal="center"/>
    </xf>
    <xf numFmtId="171" fontId="0" fillId="9" borderId="5" xfId="15" applyNumberFormat="1" applyFont="1" applyFill="1" applyBorder="1" applyAlignment="1">
      <alignment/>
    </xf>
    <xf numFmtId="43" fontId="0" fillId="9" borderId="5" xfId="15" applyFont="1" applyFill="1" applyBorder="1" applyAlignment="1">
      <alignment/>
    </xf>
    <xf numFmtId="179" fontId="0" fillId="9" borderId="5" xfId="15" applyNumberFormat="1" applyFont="1" applyFill="1" applyBorder="1" applyAlignment="1">
      <alignment/>
    </xf>
    <xf numFmtId="189" fontId="0" fillId="9" borderId="5" xfId="15" applyNumberFormat="1" applyFont="1" applyFill="1" applyBorder="1" applyAlignment="1">
      <alignment/>
    </xf>
    <xf numFmtId="171" fontId="0" fillId="9" borderId="5" xfId="15" applyNumberFormat="1" applyFont="1" applyFill="1" applyBorder="1" applyAlignment="1">
      <alignment horizontal="center"/>
    </xf>
    <xf numFmtId="0" fontId="0" fillId="9" borderId="5" xfId="0" applyFill="1" applyBorder="1" applyAlignment="1">
      <alignment/>
    </xf>
    <xf numFmtId="2" fontId="0" fillId="9" borderId="5" xfId="0" applyNumberFormat="1" applyFill="1" applyBorder="1" applyAlignment="1">
      <alignment/>
    </xf>
    <xf numFmtId="166" fontId="0" fillId="9" borderId="5" xfId="0" applyNumberFormat="1" applyFill="1" applyBorder="1" applyAlignment="1">
      <alignment horizontal="center"/>
    </xf>
    <xf numFmtId="170" fontId="0" fillId="9" borderId="5" xfId="0" applyNumberFormat="1" applyFont="1" applyFill="1" applyBorder="1" applyAlignment="1">
      <alignment horizontal="right"/>
    </xf>
    <xf numFmtId="43" fontId="3" fillId="9" borderId="5" xfId="0" applyNumberFormat="1" applyFont="1" applyFill="1" applyBorder="1" applyAlignment="1">
      <alignment/>
    </xf>
    <xf numFmtId="43" fontId="1" fillId="9" borderId="5" xfId="15" applyFont="1" applyFill="1" applyBorder="1" applyAlignment="1">
      <alignment/>
    </xf>
    <xf numFmtId="43" fontId="1" fillId="9" borderId="5" xfId="0" applyNumberFormat="1" applyFont="1" applyFill="1" applyBorder="1" applyAlignment="1">
      <alignment/>
    </xf>
    <xf numFmtId="43" fontId="3" fillId="9" borderId="8" xfId="0" applyNumberFormat="1" applyFont="1" applyFill="1" applyBorder="1" applyAlignment="1">
      <alignment/>
    </xf>
    <xf numFmtId="2" fontId="1" fillId="9" borderId="5" xfId="0" applyNumberFormat="1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Border="1" applyAlignment="1">
      <alignment/>
    </xf>
    <xf numFmtId="0" fontId="3" fillId="2" borderId="12" xfId="0" applyFont="1" applyFill="1" applyBorder="1" applyAlignment="1">
      <alignment/>
    </xf>
    <xf numFmtId="166" fontId="0" fillId="0" borderId="5" xfId="0" applyNumberFormat="1" applyBorder="1" applyAlignment="1">
      <alignment/>
    </xf>
    <xf numFmtId="170" fontId="0" fillId="9" borderId="5" xfId="0" applyNumberFormat="1" applyFill="1" applyBorder="1" applyAlignment="1">
      <alignment/>
    </xf>
    <xf numFmtId="164" fontId="0" fillId="9" borderId="5" xfId="0" applyNumberFormat="1" applyFill="1" applyBorder="1" applyAlignment="1">
      <alignment/>
    </xf>
    <xf numFmtId="170" fontId="0" fillId="9" borderId="7" xfId="0" applyNumberFormat="1" applyFill="1" applyBorder="1" applyAlignment="1">
      <alignment/>
    </xf>
    <xf numFmtId="0" fontId="0" fillId="9" borderId="7" xfId="0" applyFill="1" applyBorder="1" applyAlignment="1">
      <alignment/>
    </xf>
    <xf numFmtId="184" fontId="0" fillId="9" borderId="5" xfId="21" applyNumberFormat="1" applyFill="1" applyBorder="1" applyAlignment="1">
      <alignment/>
    </xf>
    <xf numFmtId="2" fontId="0" fillId="9" borderId="7" xfId="0" applyNumberFormat="1" applyFill="1" applyBorder="1" applyAlignment="1">
      <alignment/>
    </xf>
    <xf numFmtId="9" fontId="0" fillId="9" borderId="5" xfId="21" applyFill="1" applyBorder="1" applyAlignment="1">
      <alignment horizontal="center"/>
    </xf>
    <xf numFmtId="10" fontId="0" fillId="9" borderId="5" xfId="21" applyNumberFormat="1" applyFill="1" applyBorder="1" applyAlignment="1">
      <alignment horizontal="center"/>
    </xf>
    <xf numFmtId="43" fontId="0" fillId="9" borderId="5" xfId="15" applyFill="1" applyBorder="1" applyAlignment="1">
      <alignment horizontal="center"/>
    </xf>
    <xf numFmtId="186" fontId="1" fillId="0" borderId="5" xfId="21" applyNumberFormat="1" applyFont="1" applyBorder="1" applyAlignment="1">
      <alignment/>
    </xf>
    <xf numFmtId="0" fontId="3" fillId="5" borderId="14" xfId="0" applyFont="1" applyFill="1" applyBorder="1" applyAlignment="1">
      <alignment horizontal="center"/>
    </xf>
    <xf numFmtId="170" fontId="0" fillId="9" borderId="5" xfId="0" applyNumberFormat="1" applyFill="1" applyBorder="1" applyAlignment="1">
      <alignment/>
    </xf>
    <xf numFmtId="188" fontId="0" fillId="3" borderId="8" xfId="0" applyNumberFormat="1" applyFill="1" applyBorder="1" applyAlignment="1">
      <alignment/>
    </xf>
    <xf numFmtId="0" fontId="0" fillId="3" borderId="8" xfId="0" applyFill="1" applyBorder="1" applyAlignment="1">
      <alignment/>
    </xf>
    <xf numFmtId="1" fontId="0" fillId="3" borderId="8" xfId="0" applyNumberFormat="1" applyFill="1" applyBorder="1" applyAlignment="1">
      <alignment/>
    </xf>
    <xf numFmtId="170" fontId="0" fillId="4" borderId="8" xfId="0" applyNumberFormat="1" applyFill="1" applyBorder="1" applyAlignment="1">
      <alignment/>
    </xf>
    <xf numFmtId="170" fontId="0" fillId="3" borderId="5" xfId="0" applyNumberFormat="1" applyFont="1" applyFill="1" applyBorder="1" applyAlignment="1">
      <alignment horizontal="right"/>
    </xf>
    <xf numFmtId="170" fontId="0" fillId="3" borderId="8" xfId="15" applyNumberFormat="1" applyFont="1" applyFill="1" applyBorder="1" applyAlignment="1">
      <alignment horizontal="right"/>
    </xf>
    <xf numFmtId="2" fontId="0" fillId="3" borderId="5" xfId="0" applyNumberFormat="1" applyFill="1" applyBorder="1" applyAlignment="1">
      <alignment horizontal="right"/>
    </xf>
    <xf numFmtId="9" fontId="0" fillId="3" borderId="5" xfId="21" applyFill="1" applyBorder="1" applyAlignment="1">
      <alignment/>
    </xf>
    <xf numFmtId="168" fontId="0" fillId="4" borderId="5" xfId="0" applyNumberFormat="1" applyFill="1" applyBorder="1" applyAlignment="1">
      <alignment/>
    </xf>
    <xf numFmtId="180" fontId="0" fillId="0" borderId="0" xfId="15" applyNumberFormat="1" applyAlignment="1">
      <alignment/>
    </xf>
    <xf numFmtId="179" fontId="0" fillId="0" borderId="0" xfId="0" applyNumberFormat="1" applyAlignment="1">
      <alignment/>
    </xf>
    <xf numFmtId="11" fontId="0" fillId="0" borderId="0" xfId="0" applyNumberFormat="1" applyAlignment="1">
      <alignment/>
    </xf>
    <xf numFmtId="43" fontId="0" fillId="0" borderId="0" xfId="15" applyFont="1" applyAlignment="1">
      <alignment/>
    </xf>
    <xf numFmtId="46" fontId="0" fillId="0" borderId="0" xfId="0" applyNumberFormat="1" applyAlignment="1">
      <alignment/>
    </xf>
    <xf numFmtId="11" fontId="0" fillId="0" borderId="5" xfId="15" applyNumberFormat="1" applyBorder="1" applyAlignment="1">
      <alignment/>
    </xf>
    <xf numFmtId="9" fontId="0" fillId="0" borderId="0" xfId="0" applyNumberFormat="1" applyAlignment="1">
      <alignment/>
    </xf>
    <xf numFmtId="215" fontId="0" fillId="0" borderId="0" xfId="15" applyNumberFormat="1" applyAlignment="1">
      <alignment/>
    </xf>
    <xf numFmtId="215" fontId="0" fillId="0" borderId="0" xfId="0" applyNumberFormat="1" applyAlignment="1">
      <alignment/>
    </xf>
    <xf numFmtId="9" fontId="0" fillId="0" borderId="5" xfId="21" applyNumberFormat="1" applyBorder="1" applyAlignment="1">
      <alignment/>
    </xf>
    <xf numFmtId="9" fontId="0" fillId="0" borderId="5" xfId="0" applyNumberFormat="1" applyBorder="1" applyAlignment="1">
      <alignment/>
    </xf>
    <xf numFmtId="0" fontId="0" fillId="2" borderId="31" xfId="0" applyFill="1" applyBorder="1" applyAlignment="1">
      <alignment/>
    </xf>
    <xf numFmtId="0" fontId="0" fillId="10" borderId="5" xfId="0" applyFill="1" applyBorder="1" applyAlignment="1">
      <alignment/>
    </xf>
    <xf numFmtId="0" fontId="0" fillId="10" borderId="8" xfId="0" applyFill="1" applyBorder="1" applyAlignment="1">
      <alignment/>
    </xf>
    <xf numFmtId="0" fontId="0" fillId="3" borderId="5" xfId="0" applyFont="1" applyFill="1" applyBorder="1" applyAlignment="1">
      <alignment/>
    </xf>
    <xf numFmtId="164" fontId="0" fillId="3" borderId="5" xfId="0" applyNumberFormat="1" applyFont="1" applyFill="1" applyBorder="1" applyAlignment="1">
      <alignment/>
    </xf>
    <xf numFmtId="43" fontId="0" fillId="3" borderId="5" xfId="15" applyFont="1" applyFill="1" applyBorder="1" applyAlignment="1">
      <alignment/>
    </xf>
    <xf numFmtId="43" fontId="0" fillId="3" borderId="5" xfId="0" applyNumberFormat="1" applyFont="1" applyFill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43" fontId="1" fillId="0" borderId="32" xfId="15" applyFont="1" applyBorder="1" applyAlignment="1">
      <alignment horizontal="center"/>
    </xf>
    <xf numFmtId="171" fontId="1" fillId="0" borderId="32" xfId="15" applyNumberFormat="1" applyFont="1" applyBorder="1" applyAlignment="1">
      <alignment horizontal="center"/>
    </xf>
    <xf numFmtId="11" fontId="0" fillId="0" borderId="33" xfId="15" applyNumberFormat="1" applyBorder="1" applyAlignment="1">
      <alignment/>
    </xf>
    <xf numFmtId="171" fontId="1" fillId="0" borderId="17" xfId="15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71" fontId="1" fillId="0" borderId="17" xfId="15" applyNumberFormat="1" applyFont="1" applyBorder="1" applyAlignment="1">
      <alignment horizontal="left"/>
    </xf>
    <xf numFmtId="171" fontId="1" fillId="0" borderId="19" xfId="15" applyNumberFormat="1" applyFont="1" applyBorder="1" applyAlignment="1">
      <alignment horizontal="left"/>
    </xf>
    <xf numFmtId="43" fontId="1" fillId="0" borderId="20" xfId="15" applyFont="1" applyBorder="1" applyAlignment="1">
      <alignment/>
    </xf>
    <xf numFmtId="43" fontId="1" fillId="0" borderId="20" xfId="15" applyNumberFormat="1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171" fontId="1" fillId="0" borderId="34" xfId="15" applyNumberFormat="1" applyFont="1" applyBorder="1" applyAlignment="1">
      <alignment horizontal="center" wrapText="1"/>
    </xf>
    <xf numFmtId="10" fontId="0" fillId="0" borderId="0" xfId="21" applyNumberFormat="1" applyAlignment="1">
      <alignment/>
    </xf>
    <xf numFmtId="0" fontId="0" fillId="0" borderId="0" xfId="0" applyBorder="1" applyAlignment="1">
      <alignment/>
    </xf>
    <xf numFmtId="166" fontId="0" fillId="0" borderId="5" xfId="0" applyNumberFormat="1" applyFill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171" fontId="0" fillId="0" borderId="5" xfId="15" applyNumberFormat="1" applyBorder="1" applyAlignment="1">
      <alignment/>
    </xf>
    <xf numFmtId="0" fontId="1" fillId="7" borderId="11" xfId="0" applyFont="1" applyFill="1" applyBorder="1" applyAlignment="1">
      <alignment horizontal="center"/>
    </xf>
    <xf numFmtId="180" fontId="0" fillId="0" borderId="5" xfId="15" applyNumberFormat="1" applyBorder="1" applyAlignment="1">
      <alignment/>
    </xf>
    <xf numFmtId="180" fontId="0" fillId="0" borderId="0" xfId="0" applyNumberFormat="1" applyAlignment="1">
      <alignment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center"/>
    </xf>
    <xf numFmtId="2" fontId="0" fillId="0" borderId="5" xfId="0" applyNumberFormat="1" applyFill="1" applyBorder="1" applyAlignment="1">
      <alignment/>
    </xf>
    <xf numFmtId="170" fontId="0" fillId="0" borderId="5" xfId="0" applyNumberFormat="1" applyBorder="1" applyAlignment="1">
      <alignment/>
    </xf>
    <xf numFmtId="0" fontId="1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43" fontId="0" fillId="0" borderId="5" xfId="15" applyFont="1" applyFill="1" applyBorder="1" applyAlignment="1">
      <alignment/>
    </xf>
    <xf numFmtId="2" fontId="1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70" fontId="0" fillId="0" borderId="5" xfId="0" applyNumberFormat="1" applyFont="1" applyFill="1" applyBorder="1" applyAlignment="1">
      <alignment horizontal="right"/>
    </xf>
    <xf numFmtId="170" fontId="0" fillId="0" borderId="5" xfId="0" applyNumberFormat="1" applyFill="1" applyBorder="1" applyAlignment="1">
      <alignment/>
    </xf>
    <xf numFmtId="1" fontId="0" fillId="0" borderId="5" xfId="0" applyNumberFormat="1" applyFont="1" applyFill="1" applyBorder="1" applyAlignment="1">
      <alignment horizontal="center"/>
    </xf>
    <xf numFmtId="170" fontId="0" fillId="0" borderId="12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1" fontId="0" fillId="0" borderId="8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70" fontId="0" fillId="0" borderId="5" xfId="0" applyNumberFormat="1" applyFill="1" applyBorder="1" applyAlignment="1">
      <alignment/>
    </xf>
    <xf numFmtId="0" fontId="0" fillId="0" borderId="5" xfId="0" applyFill="1" applyBorder="1" applyAlignment="1">
      <alignment horizontal="left" wrapText="1"/>
    </xf>
    <xf numFmtId="164" fontId="0" fillId="0" borderId="5" xfId="0" applyNumberFormat="1" applyFill="1" applyBorder="1" applyAlignment="1">
      <alignment/>
    </xf>
    <xf numFmtId="0" fontId="0" fillId="0" borderId="5" xfId="0" applyFill="1" applyBorder="1" applyAlignment="1">
      <alignment horizontal="left"/>
    </xf>
    <xf numFmtId="184" fontId="0" fillId="0" borderId="5" xfId="21" applyNumberFormat="1" applyFill="1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43" fontId="3" fillId="9" borderId="5" xfId="15" applyFont="1" applyFill="1" applyBorder="1" applyAlignment="1">
      <alignment/>
    </xf>
    <xf numFmtId="178" fontId="0" fillId="0" borderId="0" xfId="0" applyNumberFormat="1" applyAlignment="1">
      <alignment/>
    </xf>
    <xf numFmtId="0" fontId="1" fillId="7" borderId="5" xfId="0" applyFont="1" applyFill="1" applyBorder="1" applyAlignment="1">
      <alignment/>
    </xf>
    <xf numFmtId="0" fontId="3" fillId="5" borderId="6" xfId="0" applyFont="1" applyFill="1" applyBorder="1" applyAlignment="1">
      <alignment wrapText="1"/>
    </xf>
    <xf numFmtId="0" fontId="2" fillId="6" borderId="13" xfId="0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left" wrapText="1" indent="2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3" fillId="5" borderId="12" xfId="0" applyFont="1" applyFill="1" applyBorder="1" applyAlignment="1">
      <alignment/>
    </xf>
    <xf numFmtId="0" fontId="3" fillId="5" borderId="14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2" fillId="6" borderId="12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2" fillId="6" borderId="14" xfId="0" applyFont="1" applyFill="1" applyBorder="1" applyAlignment="1">
      <alignment/>
    </xf>
    <xf numFmtId="0" fontId="1" fillId="7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5" borderId="5" xfId="0" applyFill="1" applyBorder="1" applyAlignment="1">
      <alignment horizontal="left" indent="2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2" fillId="6" borderId="1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wrapText="1"/>
    </xf>
    <xf numFmtId="0" fontId="3" fillId="5" borderId="10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1" fillId="0" borderId="5" xfId="15" applyFont="1" applyBorder="1" applyAlignment="1">
      <alignment horizont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Results!#REF!</c:f>
              <c:strCache>
                <c:ptCount val="1"/>
                <c:pt idx="0">
                  <c:v>#REF!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Results!#REF!</c:f>
              <c:strCache>
                <c:ptCount val="1"/>
                <c:pt idx="0">
                  <c:v>#REF!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Results!#REF!</c:f>
              <c:strCache>
                <c:ptCount val="1"/>
                <c:pt idx="0">
                  <c:v>#REF!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Results!#REF!</c:f>
              <c:strCache>
                <c:ptCount val="1"/>
                <c:pt idx="0">
                  <c:v>#REF!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Results!#REF!</c:f>
              <c:strCache>
                <c:ptCount val="1"/>
                <c:pt idx="0">
                  <c:v>#REF!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Results!#REF!</c:f>
              <c:strCache>
                <c:ptCount val="1"/>
                <c:pt idx="0">
                  <c:v>#REF!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Results!#REF!</c:f>
              <c:strCache>
                <c:ptCount val="1"/>
                <c:pt idx="0">
                  <c:v>#REF!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Results!#REF!</c:f>
              <c:strCache>
                <c:ptCount val="1"/>
                <c:pt idx="0">
                  <c:v>#REF!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Results!#REF!</c:f>
              <c:numCache>
                <c:ptCount val="1"/>
                <c:pt idx="0">
                  <c:v>1</c:v>
                </c:pt>
              </c:numCache>
            </c:numRef>
          </c:val>
        </c:ser>
        <c:axId val="10054874"/>
        <c:axId val="23385003"/>
        <c:axId val="9138436"/>
      </c:surface3D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85003"/>
        <c:crosses val="autoZero"/>
        <c:auto val="1"/>
        <c:lblOffset val="100"/>
        <c:noMultiLvlLbl val="0"/>
      </c:catAx>
      <c:valAx>
        <c:axId val="23385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54874"/>
        <c:crossesAt val="1"/>
        <c:crossBetween val="between"/>
        <c:dispUnits/>
      </c:valAx>
      <c:serAx>
        <c:axId val="913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8500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36"/>
          <c:w val="0.94525"/>
          <c:h val="0.801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Sens1D!$N$18:$N$26</c:f>
              <c:strCache/>
            </c:strRef>
          </c:cat>
          <c:val>
            <c:numRef>
              <c:f>Sens1D!$R$18:$R$26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1554191"/>
        <c:axId val="17116808"/>
      </c:barChart>
      <c:catAx>
        <c:axId val="615541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16808"/>
        <c:crosses val="autoZero"/>
        <c:auto val="1"/>
        <c:lblOffset val="100"/>
        <c:noMultiLvlLbl val="0"/>
      </c:catAx>
      <c:valAx>
        <c:axId val="17116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554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675"/>
          <c:y val="0.036"/>
          <c:w val="0.634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Sens1D!$N$18:$N$26</c:f>
              <c:strCache/>
            </c:strRef>
          </c:cat>
          <c:val>
            <c:numRef>
              <c:f>Sens1D!$Q$5:$Q$13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9833545"/>
        <c:axId val="44284178"/>
      </c:barChart>
      <c:catAx>
        <c:axId val="198335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12700">
            <a:solidFill/>
          </a:ln>
        </c:spPr>
        <c:crossAx val="44284178"/>
        <c:crossesAt val="0"/>
        <c:auto val="1"/>
        <c:lblOffset val="100"/>
        <c:noMultiLvlLbl val="0"/>
      </c:catAx>
      <c:valAx>
        <c:axId val="44284178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833545"/>
        <c:crossesAt val="1"/>
        <c:crossBetween val="between"/>
        <c:dispUnits/>
        <c:majorUnit val="0.1"/>
        <c:minorUnit val="0.00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36"/>
          <c:w val="0.94525"/>
          <c:h val="0.801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Sens1D!$N$18:$N$26</c:f>
              <c:strCache/>
            </c:strRef>
          </c:cat>
          <c:val>
            <c:numRef>
              <c:f>Sens1D!$R$18:$R$26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3013283"/>
        <c:axId val="30248636"/>
      </c:barChart>
      <c:catAx>
        <c:axId val="63013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48636"/>
        <c:crosses val="autoZero"/>
        <c:auto val="1"/>
        <c:lblOffset val="100"/>
        <c:noMultiLvlLbl val="0"/>
      </c:catAx>
      <c:valAx>
        <c:axId val="30248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013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675"/>
          <c:y val="0.036"/>
          <c:w val="0.634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Sens1D!$N$18:$N$26</c:f>
              <c:strCache/>
            </c:strRef>
          </c:cat>
          <c:val>
            <c:numRef>
              <c:f>Sens1D!$R$5:$R$13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802269"/>
        <c:axId val="34220422"/>
      </c:barChart>
      <c:catAx>
        <c:axId val="38022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12700">
            <a:solidFill/>
          </a:ln>
        </c:spPr>
        <c:crossAx val="34220422"/>
        <c:crossesAt val="0"/>
        <c:auto val="1"/>
        <c:lblOffset val="100"/>
        <c:noMultiLvlLbl val="0"/>
      </c:catAx>
      <c:valAx>
        <c:axId val="34220422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2269"/>
        <c:crossesAt val="1"/>
        <c:crossBetween val="between"/>
        <c:dispUnits/>
        <c:majorUnit val="0.1"/>
        <c:minorUnit val="0.00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36"/>
          <c:w val="0.94525"/>
          <c:h val="0.801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Sens1D!$N$18:$N$26</c:f>
              <c:strCache/>
            </c:strRef>
          </c:cat>
          <c:val>
            <c:numRef>
              <c:f>Sens1D!$R$18:$R$26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9548343"/>
        <c:axId val="20390768"/>
      </c:barChart>
      <c:catAx>
        <c:axId val="39548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390768"/>
        <c:crosses val="autoZero"/>
        <c:auto val="1"/>
        <c:lblOffset val="100"/>
        <c:noMultiLvlLbl val="0"/>
      </c:catAx>
      <c:valAx>
        <c:axId val="20390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548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675"/>
          <c:y val="0.036"/>
          <c:w val="0.634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Sens1D!$N$18:$N$26</c:f>
              <c:strCache/>
            </c:strRef>
          </c:cat>
          <c:val>
            <c:numRef>
              <c:f>Sens1D!$O$5:$O$13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9299185"/>
        <c:axId val="41039482"/>
      </c:barChart>
      <c:catAx>
        <c:axId val="492991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12700">
            <a:solidFill/>
          </a:ln>
        </c:spPr>
        <c:crossAx val="41039482"/>
        <c:crossesAt val="0"/>
        <c:auto val="1"/>
        <c:lblOffset val="100"/>
        <c:noMultiLvlLbl val="0"/>
      </c:catAx>
      <c:valAx>
        <c:axId val="41039482"/>
        <c:scaling>
          <c:orientation val="minMax"/>
          <c:max val="0.1"/>
          <c:min val="-0.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299185"/>
        <c:crossesAt val="1"/>
        <c:crossBetween val="between"/>
        <c:dispUnits/>
        <c:majorUnit val="0.01"/>
        <c:minorUnit val="0.00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36"/>
          <c:w val="0.94525"/>
          <c:h val="0.801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Sens1D!$N$18:$N$26</c:f>
              <c:strCache/>
            </c:strRef>
          </c:cat>
          <c:val>
            <c:numRef>
              <c:f>Sens1D!$R$18:$R$26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3811019"/>
        <c:axId val="35863716"/>
      </c:barChart>
      <c:catAx>
        <c:axId val="338110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863716"/>
        <c:crosses val="autoZero"/>
        <c:auto val="1"/>
        <c:lblOffset val="100"/>
        <c:noMultiLvlLbl val="0"/>
      </c:catAx>
      <c:valAx>
        <c:axId val="35863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811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675"/>
          <c:y val="0.036"/>
          <c:w val="0.634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Sens1D!$N$18:$N$26</c:f>
              <c:strCache/>
            </c:strRef>
          </c:cat>
          <c:val>
            <c:numRef>
              <c:f>Sens1D!$P$5:$P$13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4337989"/>
        <c:axId val="19279854"/>
      </c:barChart>
      <c:catAx>
        <c:axId val="543379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12700">
            <a:solidFill/>
          </a:ln>
        </c:spPr>
        <c:crossAx val="19279854"/>
        <c:crossesAt val="0"/>
        <c:auto val="1"/>
        <c:lblOffset val="100"/>
        <c:noMultiLvlLbl val="0"/>
      </c:catAx>
      <c:valAx>
        <c:axId val="19279854"/>
        <c:scaling>
          <c:orientation val="minMax"/>
          <c:max val="0.1"/>
          <c:min val="-0.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337989"/>
        <c:crossesAt val="1"/>
        <c:crossBetween val="between"/>
        <c:dispUnits/>
        <c:majorUnit val="0.01"/>
        <c:minorUnit val="0.00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36"/>
          <c:w val="0.94525"/>
          <c:h val="0.801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Sens1D!$N$18:$N$26</c:f>
              <c:strCache/>
            </c:strRef>
          </c:cat>
          <c:val>
            <c:numRef>
              <c:f>Sens1D!$R$18:$R$26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9300959"/>
        <c:axId val="18164312"/>
      </c:barChart>
      <c:catAx>
        <c:axId val="393009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64312"/>
        <c:crosses val="autoZero"/>
        <c:auto val="1"/>
        <c:lblOffset val="100"/>
        <c:noMultiLvlLbl val="0"/>
      </c:catAx>
      <c:valAx>
        <c:axId val="18164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300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3175"/>
          <c:w val="0.91125"/>
          <c:h val="0.85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SensResults!$H$1:$H$9</c:f>
              <c:strCache>
                <c:ptCount val="9"/>
                <c:pt idx="0">
                  <c:v>p(FlockInf)</c:v>
                </c:pt>
                <c:pt idx="1">
                  <c:v>p(HenInf|FlockInf)</c:v>
                </c:pt>
                <c:pt idx="2">
                  <c:v>p(EggCont|HenInfNM)</c:v>
                </c:pt>
                <c:pt idx="3">
                  <c:v>p(FlockMolt)</c:v>
                </c:pt>
                <c:pt idx="4">
                  <c:v>MoltMult</c:v>
                </c:pt>
                <c:pt idx="5">
                  <c:v>InitAlbMean</c:v>
                </c:pt>
                <c:pt idx="6">
                  <c:v>InitAlbSD</c:v>
                </c:pt>
                <c:pt idx="7">
                  <c:v>InitYolkMean</c:v>
                </c:pt>
                <c:pt idx="8">
                  <c:v>InitYolkProb0</c:v>
                </c:pt>
              </c:strCache>
            </c:strRef>
          </c:cat>
          <c:val>
            <c:numRef>
              <c:f>SensResults!$B$1:$B$9</c:f>
              <c:numCache>
                <c:ptCount val="9"/>
                <c:pt idx="0">
                  <c:v>5.91226101306573E-06</c:v>
                </c:pt>
                <c:pt idx="1">
                  <c:v>5.91226101306573E-06</c:v>
                </c:pt>
                <c:pt idx="2">
                  <c:v>5.91226101306573E-06</c:v>
                </c:pt>
                <c:pt idx="3">
                  <c:v>1.0944657776085143E-05</c:v>
                </c:pt>
                <c:pt idx="4">
                  <c:v>1.047161248036132E-05</c:v>
                </c:pt>
                <c:pt idx="5">
                  <c:v>1.1463140123887259E-05</c:v>
                </c:pt>
                <c:pt idx="6">
                  <c:v>1.1713169726984564E-05</c:v>
                </c:pt>
                <c:pt idx="7">
                  <c:v>1.170298108086429E-05</c:v>
                </c:pt>
                <c:pt idx="8">
                  <c:v>1.1775133729281909E-05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SensResults!$H$1:$H$9</c:f>
              <c:strCache>
                <c:ptCount val="9"/>
                <c:pt idx="0">
                  <c:v>p(FlockInf)</c:v>
                </c:pt>
                <c:pt idx="1">
                  <c:v>p(HenInf|FlockInf)</c:v>
                </c:pt>
                <c:pt idx="2">
                  <c:v>p(EggCont|HenInfNM)</c:v>
                </c:pt>
                <c:pt idx="3">
                  <c:v>p(FlockMolt)</c:v>
                </c:pt>
                <c:pt idx="4">
                  <c:v>MoltMult</c:v>
                </c:pt>
                <c:pt idx="5">
                  <c:v>InitAlbMean</c:v>
                </c:pt>
                <c:pt idx="6">
                  <c:v>InitAlbSD</c:v>
                </c:pt>
                <c:pt idx="7">
                  <c:v>InitYolkMean</c:v>
                </c:pt>
                <c:pt idx="8">
                  <c:v>InitYolkProb0</c:v>
                </c:pt>
              </c:strCache>
            </c:strRef>
          </c:cat>
          <c:val>
            <c:numRef>
              <c:f>SensResults!$C$1:$C$9</c:f>
              <c:numCache>
                <c:ptCount val="9"/>
                <c:pt idx="0">
                  <c:v>2.364904405226292E-05</c:v>
                </c:pt>
                <c:pt idx="1">
                  <c:v>2.364904405226292E-05</c:v>
                </c:pt>
                <c:pt idx="2">
                  <c:v>2.364904405226292E-05</c:v>
                </c:pt>
                <c:pt idx="3">
                  <c:v>1.358425052622409E-05</c:v>
                </c:pt>
                <c:pt idx="4">
                  <c:v>1.4530341117671739E-05</c:v>
                </c:pt>
                <c:pt idx="5">
                  <c:v>1.4531505422901768E-05</c:v>
                </c:pt>
                <c:pt idx="6">
                  <c:v>1.3631185144891231E-05</c:v>
                </c:pt>
                <c:pt idx="7">
                  <c:v>1.2060094384585577E-05</c:v>
                </c:pt>
                <c:pt idx="8">
                  <c:v>1.196505739342126E-05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SensResults!$H$1:$H$9</c:f>
              <c:strCache>
                <c:ptCount val="9"/>
                <c:pt idx="0">
                  <c:v>p(FlockInf)</c:v>
                </c:pt>
                <c:pt idx="1">
                  <c:v>p(HenInf|FlockInf)</c:v>
                </c:pt>
                <c:pt idx="2">
                  <c:v>p(EggCont|HenInfNM)</c:v>
                </c:pt>
                <c:pt idx="3">
                  <c:v>p(FlockMolt)</c:v>
                </c:pt>
                <c:pt idx="4">
                  <c:v>MoltMult</c:v>
                </c:pt>
                <c:pt idx="5">
                  <c:v>InitAlbMean</c:v>
                </c:pt>
                <c:pt idx="6">
                  <c:v>InitAlbSD</c:v>
                </c:pt>
                <c:pt idx="7">
                  <c:v>InitYolkMean</c:v>
                </c:pt>
                <c:pt idx="8">
                  <c:v>InitYolkProb0</c:v>
                </c:pt>
              </c:strCache>
            </c:strRef>
          </c:cat>
          <c:val>
            <c:numRef>
              <c:f>SensResults!$F$1:$F$9</c:f>
              <c:numCache>
                <c:ptCount val="9"/>
                <c:pt idx="0">
                  <c:v>1.1824522026131448E-05</c:v>
                </c:pt>
                <c:pt idx="1">
                  <c:v>1.1824522026131448E-05</c:v>
                </c:pt>
                <c:pt idx="2">
                  <c:v>1.1824522026131448E-05</c:v>
                </c:pt>
                <c:pt idx="3">
                  <c:v>1.1824522026131448E-05</c:v>
                </c:pt>
                <c:pt idx="4">
                  <c:v>1.1824522026131448E-05</c:v>
                </c:pt>
                <c:pt idx="5">
                  <c:v>1.1824522026131448E-05</c:v>
                </c:pt>
                <c:pt idx="6">
                  <c:v>1.1824522026131448E-05</c:v>
                </c:pt>
                <c:pt idx="7">
                  <c:v>1.1824522026131448E-05</c:v>
                </c:pt>
                <c:pt idx="8">
                  <c:v>1.1824522026131448E-05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29261081"/>
        <c:axId val="62023138"/>
      </c:lineChart>
      <c:catAx>
        <c:axId val="2926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23138"/>
        <c:crossesAt val="1E-08"/>
        <c:auto val="1"/>
        <c:lblOffset val="100"/>
        <c:noMultiLvlLbl val="0"/>
      </c:catAx>
      <c:valAx>
        <c:axId val="62023138"/>
        <c:scaling>
          <c:logBase val="10"/>
          <c:orientation val="minMax"/>
          <c:max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Probability of Illness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261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2"/>
          <c:tx>
            <c:strRef>
              <c:f>IntResults!$BC$12</c:f>
              <c:strCache>
                <c:ptCount val="1"/>
                <c:pt idx="0">
                  <c:v>Determ (log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IntResults!$AZ$13:$AZ$17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IntResults!$BC$13:$BC$17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IntResults!$BD$12</c:f>
              <c:strCache>
                <c:ptCount val="1"/>
                <c:pt idx="0">
                  <c:v>Stoch (log scale)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IntResults!$AZ$13:$AZ$17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IntResults!$BD$13:$BD$17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5137061"/>
        <c:axId val="2015822"/>
      </c:scatterChart>
      <c:scatterChart>
        <c:scatterStyle val="lineMarker"/>
        <c:varyColors val="0"/>
        <c:ser>
          <c:idx val="0"/>
          <c:order val="0"/>
          <c:tx>
            <c:strRef>
              <c:f>IntResults!$BA$12</c:f>
              <c:strCache>
                <c:ptCount val="1"/>
                <c:pt idx="0">
                  <c:v>Determ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IntResults!$AZ$13:$AZ$17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IntResults!$BA$13:$BA$17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IntResults!$BB$12</c:f>
              <c:strCache>
                <c:ptCount val="1"/>
                <c:pt idx="0">
                  <c:v>Stoch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IntResults!$AZ$13:$AZ$17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IntResults!$BB$13:$BB$17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8142399"/>
        <c:axId val="29063864"/>
      </c:scatterChart>
      <c:valAx>
        <c:axId val="15137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interval in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015822"/>
        <c:crossesAt val="1E-06"/>
        <c:crossBetween val="midCat"/>
        <c:dispUnits/>
      </c:valAx>
      <c:valAx>
        <c:axId val="201582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of illness
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5137061"/>
        <c:crosses val="autoZero"/>
        <c:crossBetween val="midCat"/>
        <c:dispUnits/>
      </c:valAx>
      <c:valAx>
        <c:axId val="18142399"/>
        <c:scaling>
          <c:orientation val="minMax"/>
        </c:scaling>
        <c:axPos val="b"/>
        <c:delete val="1"/>
        <c:majorTickMark val="in"/>
        <c:minorTickMark val="none"/>
        <c:tickLblPos val="nextTo"/>
        <c:crossAx val="29063864"/>
        <c:crosses val="max"/>
        <c:crossBetween val="midCat"/>
        <c:dispUnits/>
      </c:valAx>
      <c:valAx>
        <c:axId val="29063864"/>
        <c:scaling>
          <c:orientation val="minMax"/>
          <c:max val="1.6E-0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of illness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0" sourceLinked="0"/>
        <c:majorTickMark val="in"/>
        <c:minorTickMark val="none"/>
        <c:tickLblPos val="nextTo"/>
        <c:spPr>
          <a:ln w="25400">
            <a:solidFill/>
          </a:ln>
        </c:spPr>
        <c:crossAx val="1814239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125"/>
          <c:w val="0.909"/>
          <c:h val="0.85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SensResults!$H$10:$H$18</c:f>
              <c:strCache/>
            </c:strRef>
          </c:cat>
          <c:val>
            <c:numRef>
              <c:f>SensResults!$B$10:$B$18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SensResults!$H$10:$H$18</c:f>
              <c:strCache/>
            </c:strRef>
          </c:cat>
          <c:val>
            <c:numRef>
              <c:f>SensResults!$C$10:$C$18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SensResults!$H$10:$H$18</c:f>
              <c:strCache/>
            </c:strRef>
          </c:cat>
          <c:val>
            <c:numRef>
              <c:f>SensResults!$F$10:$F$18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21337331"/>
        <c:axId val="57818252"/>
      </c:lineChart>
      <c:catAx>
        <c:axId val="2133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18252"/>
        <c:crossesAt val="1E-08"/>
        <c:auto val="1"/>
        <c:lblOffset val="100"/>
        <c:noMultiLvlLbl val="0"/>
      </c:catAx>
      <c:valAx>
        <c:axId val="57818252"/>
        <c:scaling>
          <c:logBase val="10"/>
          <c:orientation val="minMax"/>
          <c:max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of Illness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337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31"/>
          <c:w val="0.90925"/>
          <c:h val="0.85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SensResults!$H$19:$H$25</c:f>
              <c:strCache>
                <c:ptCount val="7"/>
                <c:pt idx="0">
                  <c:v>Yolk growth e and f</c:v>
                </c:pt>
                <c:pt idx="1">
                  <c:v>Yolk growth b</c:v>
                </c:pt>
                <c:pt idx="2">
                  <c:v>YMB d</c:v>
                </c:pt>
                <c:pt idx="3">
                  <c:v>YMB Omega</c:v>
                </c:pt>
                <c:pt idx="4">
                  <c:v>YMB f, g, and k</c:v>
                </c:pt>
                <c:pt idx="5">
                  <c:v>Growth SD</c:v>
                </c:pt>
                <c:pt idx="6">
                  <c:v>Lag/Growth</c:v>
                </c:pt>
              </c:strCache>
            </c:strRef>
          </c:cat>
          <c:val>
            <c:numRef>
              <c:f>SensResults!$B$19:$B$25</c:f>
              <c:numCache>
                <c:ptCount val="7"/>
                <c:pt idx="0">
                  <c:v>5.7847741149289546E-06</c:v>
                </c:pt>
                <c:pt idx="1">
                  <c:v>4.12932452153397E-07</c:v>
                </c:pt>
                <c:pt idx="2">
                  <c:v>1.443181040644948E-05</c:v>
                </c:pt>
                <c:pt idx="3">
                  <c:v>1.182452202613146E-05</c:v>
                </c:pt>
                <c:pt idx="4">
                  <c:v>1.1958386118200784E-05</c:v>
                </c:pt>
                <c:pt idx="5">
                  <c:v>1.1474724842793467E-05</c:v>
                </c:pt>
                <c:pt idx="6">
                  <c:v>1.3784339015304631E-05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SensResults!$H$19:$H$25</c:f>
              <c:strCache>
                <c:ptCount val="7"/>
                <c:pt idx="0">
                  <c:v>Yolk growth e and f</c:v>
                </c:pt>
                <c:pt idx="1">
                  <c:v>Yolk growth b</c:v>
                </c:pt>
                <c:pt idx="2">
                  <c:v>YMB d</c:v>
                </c:pt>
                <c:pt idx="3">
                  <c:v>YMB Omega</c:v>
                </c:pt>
                <c:pt idx="4">
                  <c:v>YMB f, g, and k</c:v>
                </c:pt>
                <c:pt idx="5">
                  <c:v>Growth SD</c:v>
                </c:pt>
                <c:pt idx="6">
                  <c:v>Lag/Growth</c:v>
                </c:pt>
              </c:strCache>
            </c:strRef>
          </c:cat>
          <c:val>
            <c:numRef>
              <c:f>SensResults!$C$19:$C$25</c:f>
              <c:numCache>
                <c:ptCount val="7"/>
                <c:pt idx="0">
                  <c:v>2.315370626711675E-05</c:v>
                </c:pt>
                <c:pt idx="1">
                  <c:v>1.1857035976632494E-05</c:v>
                </c:pt>
                <c:pt idx="2">
                  <c:v>9.87678485377542E-06</c:v>
                </c:pt>
                <c:pt idx="3">
                  <c:v>1.5250426394359396E-05</c:v>
                </c:pt>
                <c:pt idx="4">
                  <c:v>0.00010910203388262762</c:v>
                </c:pt>
                <c:pt idx="5">
                  <c:v>1.1984022836347684E-05</c:v>
                </c:pt>
                <c:pt idx="6">
                  <c:v>8.104405968423E-06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SensResults!$H$19:$H$25</c:f>
              <c:strCache>
                <c:ptCount val="7"/>
                <c:pt idx="0">
                  <c:v>Yolk growth e and f</c:v>
                </c:pt>
                <c:pt idx="1">
                  <c:v>Yolk growth b</c:v>
                </c:pt>
                <c:pt idx="2">
                  <c:v>YMB d</c:v>
                </c:pt>
                <c:pt idx="3">
                  <c:v>YMB Omega</c:v>
                </c:pt>
                <c:pt idx="4">
                  <c:v>YMB f, g, and k</c:v>
                </c:pt>
                <c:pt idx="5">
                  <c:v>Growth SD</c:v>
                </c:pt>
                <c:pt idx="6">
                  <c:v>Lag/Growth</c:v>
                </c:pt>
              </c:strCache>
            </c:strRef>
          </c:cat>
          <c:val>
            <c:numRef>
              <c:f>SensResults!$F$19:$F$25</c:f>
              <c:numCache>
                <c:ptCount val="7"/>
                <c:pt idx="0">
                  <c:v>1.1824522026131448E-05</c:v>
                </c:pt>
                <c:pt idx="1">
                  <c:v>1.1824522026131448E-05</c:v>
                </c:pt>
                <c:pt idx="2">
                  <c:v>1.1824522026131448E-05</c:v>
                </c:pt>
                <c:pt idx="3">
                  <c:v>1.1824522026131448E-05</c:v>
                </c:pt>
                <c:pt idx="4">
                  <c:v>1.1824522026131448E-05</c:v>
                </c:pt>
                <c:pt idx="5">
                  <c:v>1.1824522026131448E-05</c:v>
                </c:pt>
                <c:pt idx="6">
                  <c:v>1.1824522026131448E-05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50602221"/>
        <c:axId val="52766806"/>
      </c:lineChart>
      <c:catAx>
        <c:axId val="5060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66806"/>
        <c:crossesAt val="1E-08"/>
        <c:auto val="1"/>
        <c:lblOffset val="100"/>
        <c:noMultiLvlLbl val="0"/>
      </c:catAx>
      <c:valAx>
        <c:axId val="52766806"/>
        <c:scaling>
          <c:logBase val="10"/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of Illness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602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3125"/>
          <c:w val="0.9115"/>
          <c:h val="0.856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SensResults!$H$26:$H$45</c:f>
              <c:strCache>
                <c:ptCount val="20"/>
                <c:pt idx="0">
                  <c:v>TempLHMean</c:v>
                </c:pt>
                <c:pt idx="1">
                  <c:v>TempLHSD</c:v>
                </c:pt>
                <c:pt idx="2">
                  <c:v>TempFarmMean</c:v>
                </c:pt>
                <c:pt idx="3">
                  <c:v>TempFarmSD</c:v>
                </c:pt>
                <c:pt idx="4">
                  <c:v>TempFTMean</c:v>
                </c:pt>
                <c:pt idx="5">
                  <c:v>TempFTSD</c:v>
                </c:pt>
                <c:pt idx="6">
                  <c:v>TempPreOMean</c:v>
                </c:pt>
                <c:pt idx="7">
                  <c:v>TempPreOSD</c:v>
                </c:pt>
                <c:pt idx="8">
                  <c:v>TempPreIMean</c:v>
                </c:pt>
                <c:pt idx="9">
                  <c:v>TempPreISD</c:v>
                </c:pt>
                <c:pt idx="10">
                  <c:v>TempPostMean</c:v>
                </c:pt>
                <c:pt idx="11">
                  <c:v>TempPostSD</c:v>
                </c:pt>
                <c:pt idx="12">
                  <c:v>TempRTMean</c:v>
                </c:pt>
                <c:pt idx="13">
                  <c:v>TempRTSD</c:v>
                </c:pt>
                <c:pt idx="14">
                  <c:v>TempRetMean</c:v>
                </c:pt>
                <c:pt idx="15">
                  <c:v>TempRetSD</c:v>
                </c:pt>
                <c:pt idx="16">
                  <c:v>TempHTMean</c:v>
                </c:pt>
                <c:pt idx="17">
                  <c:v>TempHTSD</c:v>
                </c:pt>
                <c:pt idx="18">
                  <c:v>TempHomeMean</c:v>
                </c:pt>
                <c:pt idx="19">
                  <c:v>TempHomeSD</c:v>
                </c:pt>
              </c:strCache>
            </c:strRef>
          </c:cat>
          <c:val>
            <c:numRef>
              <c:f>SensResults!$B$26:$B$45</c:f>
              <c:numCache>
                <c:ptCount val="20"/>
                <c:pt idx="0">
                  <c:v>9.109192709178964E-06</c:v>
                </c:pt>
                <c:pt idx="1">
                  <c:v>1.1488380410013812E-05</c:v>
                </c:pt>
                <c:pt idx="2">
                  <c:v>7.70013477745425E-06</c:v>
                </c:pt>
                <c:pt idx="3">
                  <c:v>1.001304251141864E-05</c:v>
                </c:pt>
                <c:pt idx="4">
                  <c:v>1.1650226563257616E-05</c:v>
                </c:pt>
                <c:pt idx="5">
                  <c:v>1.1735195495979633E-05</c:v>
                </c:pt>
                <c:pt idx="6">
                  <c:v>1.1520499242203669E-05</c:v>
                </c:pt>
                <c:pt idx="7">
                  <c:v>1.136553309222417E-05</c:v>
                </c:pt>
                <c:pt idx="8">
                  <c:v>1.1392850624356656E-05</c:v>
                </c:pt>
                <c:pt idx="9">
                  <c:v>1.1706804863661268E-05</c:v>
                </c:pt>
                <c:pt idx="10">
                  <c:v>1.1382280537223304E-05</c:v>
                </c:pt>
                <c:pt idx="11">
                  <c:v>1.117420089808865E-05</c:v>
                </c:pt>
                <c:pt idx="12">
                  <c:v>1.1577974234951336E-05</c:v>
                </c:pt>
                <c:pt idx="13">
                  <c:v>1.173217851550593E-05</c:v>
                </c:pt>
                <c:pt idx="14">
                  <c:v>1.4400372326511044E-05</c:v>
                </c:pt>
                <c:pt idx="15">
                  <c:v>1.0840483333211288E-05</c:v>
                </c:pt>
                <c:pt idx="16">
                  <c:v>1.1540071471821172E-05</c:v>
                </c:pt>
                <c:pt idx="17">
                  <c:v>1.1782269750282012E-05</c:v>
                </c:pt>
                <c:pt idx="18">
                  <c:v>1.3816058562287184E-05</c:v>
                </c:pt>
                <c:pt idx="19">
                  <c:v>1.130637922283438E-05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SensResults!$H$26:$H$45</c:f>
              <c:strCache>
                <c:ptCount val="20"/>
                <c:pt idx="0">
                  <c:v>TempLHMean</c:v>
                </c:pt>
                <c:pt idx="1">
                  <c:v>TempLHSD</c:v>
                </c:pt>
                <c:pt idx="2">
                  <c:v>TempFarmMean</c:v>
                </c:pt>
                <c:pt idx="3">
                  <c:v>TempFarmSD</c:v>
                </c:pt>
                <c:pt idx="4">
                  <c:v>TempFTMean</c:v>
                </c:pt>
                <c:pt idx="5">
                  <c:v>TempFTSD</c:v>
                </c:pt>
                <c:pt idx="6">
                  <c:v>TempPreOMean</c:v>
                </c:pt>
                <c:pt idx="7">
                  <c:v>TempPreOSD</c:v>
                </c:pt>
                <c:pt idx="8">
                  <c:v>TempPreIMean</c:v>
                </c:pt>
                <c:pt idx="9">
                  <c:v>TempPreISD</c:v>
                </c:pt>
                <c:pt idx="10">
                  <c:v>TempPostMean</c:v>
                </c:pt>
                <c:pt idx="11">
                  <c:v>TempPostSD</c:v>
                </c:pt>
                <c:pt idx="12">
                  <c:v>TempRTMean</c:v>
                </c:pt>
                <c:pt idx="13">
                  <c:v>TempRTSD</c:v>
                </c:pt>
                <c:pt idx="14">
                  <c:v>TempRetMean</c:v>
                </c:pt>
                <c:pt idx="15">
                  <c:v>TempRetSD</c:v>
                </c:pt>
                <c:pt idx="16">
                  <c:v>TempHTMean</c:v>
                </c:pt>
                <c:pt idx="17">
                  <c:v>TempHTSD</c:v>
                </c:pt>
                <c:pt idx="18">
                  <c:v>TempHomeMean</c:v>
                </c:pt>
                <c:pt idx="19">
                  <c:v>TempHomeSD</c:v>
                </c:pt>
              </c:strCache>
            </c:strRef>
          </c:cat>
          <c:val>
            <c:numRef>
              <c:f>SensResults!$C$26:$C$45</c:f>
              <c:numCache>
                <c:ptCount val="20"/>
                <c:pt idx="0">
                  <c:v>1.3905130654950063E-05</c:v>
                </c:pt>
                <c:pt idx="1">
                  <c:v>3.719938375835771E-05</c:v>
                </c:pt>
                <c:pt idx="2">
                  <c:v>4.106783501941536E-05</c:v>
                </c:pt>
                <c:pt idx="3">
                  <c:v>2.1619913247641488E-05</c:v>
                </c:pt>
                <c:pt idx="4">
                  <c:v>1.549225085744656E-05</c:v>
                </c:pt>
                <c:pt idx="5">
                  <c:v>1.5829756499416726E-05</c:v>
                </c:pt>
                <c:pt idx="6">
                  <c:v>3.936142013434408E-05</c:v>
                </c:pt>
                <c:pt idx="7">
                  <c:v>2.7470435508541623E-05</c:v>
                </c:pt>
                <c:pt idx="8">
                  <c:v>1.6414611840531516E-05</c:v>
                </c:pt>
                <c:pt idx="9">
                  <c:v>1.3283133299107654E-05</c:v>
                </c:pt>
                <c:pt idx="10">
                  <c:v>2.869839098096878E-05</c:v>
                </c:pt>
                <c:pt idx="11">
                  <c:v>1.7582219813235538E-05</c:v>
                </c:pt>
                <c:pt idx="12">
                  <c:v>1.6117022702634994E-05</c:v>
                </c:pt>
                <c:pt idx="13">
                  <c:v>1.3591195669188333E-05</c:v>
                </c:pt>
                <c:pt idx="14">
                  <c:v>9.407851297277831E-05</c:v>
                </c:pt>
                <c:pt idx="15">
                  <c:v>3.250880277588097E-05</c:v>
                </c:pt>
                <c:pt idx="16">
                  <c:v>1.1917494479890947E-05</c:v>
                </c:pt>
                <c:pt idx="17">
                  <c:v>1.202802223349066E-05</c:v>
                </c:pt>
                <c:pt idx="18">
                  <c:v>6.189829488124729E-05</c:v>
                </c:pt>
                <c:pt idx="19">
                  <c:v>2.5340573266422374E-05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SensResults!$H$26:$H$45</c:f>
              <c:strCache>
                <c:ptCount val="20"/>
                <c:pt idx="0">
                  <c:v>TempLHMean</c:v>
                </c:pt>
                <c:pt idx="1">
                  <c:v>TempLHSD</c:v>
                </c:pt>
                <c:pt idx="2">
                  <c:v>TempFarmMean</c:v>
                </c:pt>
                <c:pt idx="3">
                  <c:v>TempFarmSD</c:v>
                </c:pt>
                <c:pt idx="4">
                  <c:v>TempFTMean</c:v>
                </c:pt>
                <c:pt idx="5">
                  <c:v>TempFTSD</c:v>
                </c:pt>
                <c:pt idx="6">
                  <c:v>TempPreOMean</c:v>
                </c:pt>
                <c:pt idx="7">
                  <c:v>TempPreOSD</c:v>
                </c:pt>
                <c:pt idx="8">
                  <c:v>TempPreIMean</c:v>
                </c:pt>
                <c:pt idx="9">
                  <c:v>TempPreISD</c:v>
                </c:pt>
                <c:pt idx="10">
                  <c:v>TempPostMean</c:v>
                </c:pt>
                <c:pt idx="11">
                  <c:v>TempPostSD</c:v>
                </c:pt>
                <c:pt idx="12">
                  <c:v>TempRTMean</c:v>
                </c:pt>
                <c:pt idx="13">
                  <c:v>TempRTSD</c:v>
                </c:pt>
                <c:pt idx="14">
                  <c:v>TempRetMean</c:v>
                </c:pt>
                <c:pt idx="15">
                  <c:v>TempRetSD</c:v>
                </c:pt>
                <c:pt idx="16">
                  <c:v>TempHTMean</c:v>
                </c:pt>
                <c:pt idx="17">
                  <c:v>TempHTSD</c:v>
                </c:pt>
                <c:pt idx="18">
                  <c:v>TempHomeMean</c:v>
                </c:pt>
                <c:pt idx="19">
                  <c:v>TempHomeSD</c:v>
                </c:pt>
              </c:strCache>
            </c:strRef>
          </c:cat>
          <c:val>
            <c:numRef>
              <c:f>SensResults!$F$26:$F$45</c:f>
              <c:numCache>
                <c:ptCount val="20"/>
                <c:pt idx="0">
                  <c:v>1.1824522026131448E-05</c:v>
                </c:pt>
                <c:pt idx="1">
                  <c:v>1.1824522026131448E-05</c:v>
                </c:pt>
                <c:pt idx="2">
                  <c:v>1.1824522026131448E-05</c:v>
                </c:pt>
                <c:pt idx="3">
                  <c:v>1.1824522026131448E-05</c:v>
                </c:pt>
                <c:pt idx="4">
                  <c:v>1.1824522026131448E-05</c:v>
                </c:pt>
                <c:pt idx="5">
                  <c:v>1.1824522026131448E-05</c:v>
                </c:pt>
                <c:pt idx="6">
                  <c:v>1.1824522026131448E-05</c:v>
                </c:pt>
                <c:pt idx="7">
                  <c:v>1.1824522026131448E-05</c:v>
                </c:pt>
                <c:pt idx="8">
                  <c:v>1.1824522026131448E-05</c:v>
                </c:pt>
                <c:pt idx="9">
                  <c:v>1.1824522026131448E-05</c:v>
                </c:pt>
                <c:pt idx="10">
                  <c:v>1.1824522026131448E-05</c:v>
                </c:pt>
                <c:pt idx="11">
                  <c:v>1.1824522026131448E-05</c:v>
                </c:pt>
                <c:pt idx="12">
                  <c:v>1.1824522026131448E-05</c:v>
                </c:pt>
                <c:pt idx="13">
                  <c:v>1.1824522026131448E-05</c:v>
                </c:pt>
                <c:pt idx="14">
                  <c:v>1.1824522026131448E-05</c:v>
                </c:pt>
                <c:pt idx="15">
                  <c:v>1.1824522026131448E-05</c:v>
                </c:pt>
                <c:pt idx="16">
                  <c:v>1.1824522026131448E-05</c:v>
                </c:pt>
                <c:pt idx="17">
                  <c:v>1.1824522026131448E-05</c:v>
                </c:pt>
                <c:pt idx="18">
                  <c:v>1.1824522026131448E-05</c:v>
                </c:pt>
                <c:pt idx="19">
                  <c:v>1.1824522026131448E-05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5139207"/>
        <c:axId val="46252864"/>
      </c:lineChart>
      <c:catAx>
        <c:axId val="513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252864"/>
        <c:crossesAt val="1E-08"/>
        <c:auto val="1"/>
        <c:lblOffset val="100"/>
        <c:noMultiLvlLbl val="0"/>
      </c:catAx>
      <c:valAx>
        <c:axId val="46252864"/>
        <c:scaling>
          <c:logBase val="10"/>
          <c:orientation val="minMax"/>
          <c:max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Probability of Illness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39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1"/>
          <c:w val="0.9115"/>
          <c:h val="0.856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SensResults!$H$46:$H$65</c:f>
              <c:strCache>
                <c:ptCount val="20"/>
                <c:pt idx="0">
                  <c:v>TimeLHMean</c:v>
                </c:pt>
                <c:pt idx="1">
                  <c:v>TimeLHSD</c:v>
                </c:pt>
                <c:pt idx="2">
                  <c:v>TimeFarmMean</c:v>
                </c:pt>
                <c:pt idx="3">
                  <c:v>TimeFarmSD</c:v>
                </c:pt>
                <c:pt idx="4">
                  <c:v>TimeFTMean</c:v>
                </c:pt>
                <c:pt idx="5">
                  <c:v>TimeFTSD</c:v>
                </c:pt>
                <c:pt idx="6">
                  <c:v>TimePreOMean</c:v>
                </c:pt>
                <c:pt idx="7">
                  <c:v>TimePreOSD</c:v>
                </c:pt>
                <c:pt idx="8">
                  <c:v>TimePreIMean</c:v>
                </c:pt>
                <c:pt idx="9">
                  <c:v>TimePreISD</c:v>
                </c:pt>
                <c:pt idx="10">
                  <c:v>TimePostMean</c:v>
                </c:pt>
                <c:pt idx="11">
                  <c:v>TimePostSD</c:v>
                </c:pt>
                <c:pt idx="12">
                  <c:v>TimeRTMean</c:v>
                </c:pt>
                <c:pt idx="13">
                  <c:v>TimeRTSD</c:v>
                </c:pt>
                <c:pt idx="14">
                  <c:v>TimeRetMean</c:v>
                </c:pt>
                <c:pt idx="15">
                  <c:v>TimeRetSD</c:v>
                </c:pt>
                <c:pt idx="16">
                  <c:v>TimeHTMean</c:v>
                </c:pt>
                <c:pt idx="17">
                  <c:v>TimeHTSD</c:v>
                </c:pt>
                <c:pt idx="18">
                  <c:v>TimeHomeMean</c:v>
                </c:pt>
                <c:pt idx="19">
                  <c:v>TimeHomeSD</c:v>
                </c:pt>
              </c:strCache>
            </c:strRef>
          </c:cat>
          <c:val>
            <c:numRef>
              <c:f>SensResults!$B$46:$B$65</c:f>
              <c:numCache>
                <c:ptCount val="20"/>
                <c:pt idx="0">
                  <c:v>1.0475308141154303E-05</c:v>
                </c:pt>
                <c:pt idx="1">
                  <c:v>1.1126964276353103E-05</c:v>
                </c:pt>
                <c:pt idx="2">
                  <c:v>9.124046571279044E-06</c:v>
                </c:pt>
                <c:pt idx="3">
                  <c:v>1.0514334708606916E-05</c:v>
                </c:pt>
                <c:pt idx="4">
                  <c:v>1.169337778057345E-05</c:v>
                </c:pt>
                <c:pt idx="5">
                  <c:v>1.1731830865907022E-05</c:v>
                </c:pt>
                <c:pt idx="6">
                  <c:v>1.1477463178878871E-05</c:v>
                </c:pt>
                <c:pt idx="7">
                  <c:v>1.130234219023529E-05</c:v>
                </c:pt>
                <c:pt idx="8">
                  <c:v>1.1524047214853675E-05</c:v>
                </c:pt>
                <c:pt idx="9">
                  <c:v>1.1706812791854447E-05</c:v>
                </c:pt>
                <c:pt idx="10">
                  <c:v>1.1219485591260116E-05</c:v>
                </c:pt>
                <c:pt idx="11">
                  <c:v>1.0994640265192586E-05</c:v>
                </c:pt>
                <c:pt idx="12">
                  <c:v>1.15854873945763E-05</c:v>
                </c:pt>
                <c:pt idx="13">
                  <c:v>1.1714712597905839E-05</c:v>
                </c:pt>
                <c:pt idx="14">
                  <c:v>1.1115240467406461E-05</c:v>
                </c:pt>
                <c:pt idx="15">
                  <c:v>1.1363305395020122E-05</c:v>
                </c:pt>
                <c:pt idx="16">
                  <c:v>1.1666771604555946E-05</c:v>
                </c:pt>
                <c:pt idx="17">
                  <c:v>1.1731462674168018E-05</c:v>
                </c:pt>
                <c:pt idx="18">
                  <c:v>1.1617233928306533E-05</c:v>
                </c:pt>
                <c:pt idx="19">
                  <c:v>1.163446973895179E-05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SensResults!$H$46:$H$65</c:f>
              <c:strCache>
                <c:ptCount val="20"/>
                <c:pt idx="0">
                  <c:v>TimeLHMean</c:v>
                </c:pt>
                <c:pt idx="1">
                  <c:v>TimeLHSD</c:v>
                </c:pt>
                <c:pt idx="2">
                  <c:v>TimeFarmMean</c:v>
                </c:pt>
                <c:pt idx="3">
                  <c:v>TimeFarmSD</c:v>
                </c:pt>
                <c:pt idx="4">
                  <c:v>TimeFTMean</c:v>
                </c:pt>
                <c:pt idx="5">
                  <c:v>TimeFTSD</c:v>
                </c:pt>
                <c:pt idx="6">
                  <c:v>TimePreOMean</c:v>
                </c:pt>
                <c:pt idx="7">
                  <c:v>TimePreOSD</c:v>
                </c:pt>
                <c:pt idx="8">
                  <c:v>TimePreIMean</c:v>
                </c:pt>
                <c:pt idx="9">
                  <c:v>TimePreISD</c:v>
                </c:pt>
                <c:pt idx="10">
                  <c:v>TimePostMean</c:v>
                </c:pt>
                <c:pt idx="11">
                  <c:v>TimePostSD</c:v>
                </c:pt>
                <c:pt idx="12">
                  <c:v>TimeRTMean</c:v>
                </c:pt>
                <c:pt idx="13">
                  <c:v>TimeRTSD</c:v>
                </c:pt>
                <c:pt idx="14">
                  <c:v>TimeRetMean</c:v>
                </c:pt>
                <c:pt idx="15">
                  <c:v>TimeRetSD</c:v>
                </c:pt>
                <c:pt idx="16">
                  <c:v>TimeHTMean</c:v>
                </c:pt>
                <c:pt idx="17">
                  <c:v>TimeHTSD</c:v>
                </c:pt>
                <c:pt idx="18">
                  <c:v>TimeHomeMean</c:v>
                </c:pt>
                <c:pt idx="19">
                  <c:v>TimeHomeSD</c:v>
                </c:pt>
              </c:strCache>
            </c:strRef>
          </c:cat>
          <c:val>
            <c:numRef>
              <c:f>SensResults!$C$46:$C$65</c:f>
              <c:numCache>
                <c:ptCount val="20"/>
                <c:pt idx="0">
                  <c:v>1.4265050256259149E-05</c:v>
                </c:pt>
                <c:pt idx="1">
                  <c:v>1.2771381401116204E-05</c:v>
                </c:pt>
                <c:pt idx="2">
                  <c:v>1.4403472897986004E-05</c:v>
                </c:pt>
                <c:pt idx="3">
                  <c:v>1.3841777432259521E-05</c:v>
                </c:pt>
                <c:pt idx="4">
                  <c:v>1.2049537917296858E-05</c:v>
                </c:pt>
                <c:pt idx="5">
                  <c:v>1.2126285042418792E-05</c:v>
                </c:pt>
                <c:pt idx="6">
                  <c:v>1.2471116467490986E-05</c:v>
                </c:pt>
                <c:pt idx="7">
                  <c:v>1.5104220861057494E-05</c:v>
                </c:pt>
                <c:pt idx="8">
                  <c:v>1.2220386764455914E-05</c:v>
                </c:pt>
                <c:pt idx="9">
                  <c:v>1.2548294287271576E-05</c:v>
                </c:pt>
                <c:pt idx="10">
                  <c:v>1.256772274751436E-05</c:v>
                </c:pt>
                <c:pt idx="11">
                  <c:v>1.21429229454829E-05</c:v>
                </c:pt>
                <c:pt idx="12">
                  <c:v>1.2326294012661221E-05</c:v>
                </c:pt>
                <c:pt idx="13">
                  <c:v>1.2169448078740862E-05</c:v>
                </c:pt>
                <c:pt idx="14">
                  <c:v>1.2341407360335413E-05</c:v>
                </c:pt>
                <c:pt idx="15">
                  <c:v>1.3084480507957561E-05</c:v>
                </c:pt>
                <c:pt idx="16">
                  <c:v>1.2222028252965401E-05</c:v>
                </c:pt>
                <c:pt idx="17">
                  <c:v>1.2289054160462269E-05</c:v>
                </c:pt>
                <c:pt idx="18">
                  <c:v>1.20404429670995E-05</c:v>
                </c:pt>
                <c:pt idx="19">
                  <c:v>1.2161722021285417E-05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SensResults!$H$46:$H$65</c:f>
              <c:strCache>
                <c:ptCount val="20"/>
                <c:pt idx="0">
                  <c:v>TimeLHMean</c:v>
                </c:pt>
                <c:pt idx="1">
                  <c:v>TimeLHSD</c:v>
                </c:pt>
                <c:pt idx="2">
                  <c:v>TimeFarmMean</c:v>
                </c:pt>
                <c:pt idx="3">
                  <c:v>TimeFarmSD</c:v>
                </c:pt>
                <c:pt idx="4">
                  <c:v>TimeFTMean</c:v>
                </c:pt>
                <c:pt idx="5">
                  <c:v>TimeFTSD</c:v>
                </c:pt>
                <c:pt idx="6">
                  <c:v>TimePreOMean</c:v>
                </c:pt>
                <c:pt idx="7">
                  <c:v>TimePreOSD</c:v>
                </c:pt>
                <c:pt idx="8">
                  <c:v>TimePreIMean</c:v>
                </c:pt>
                <c:pt idx="9">
                  <c:v>TimePreISD</c:v>
                </c:pt>
                <c:pt idx="10">
                  <c:v>TimePostMean</c:v>
                </c:pt>
                <c:pt idx="11">
                  <c:v>TimePostSD</c:v>
                </c:pt>
                <c:pt idx="12">
                  <c:v>TimeRTMean</c:v>
                </c:pt>
                <c:pt idx="13">
                  <c:v>TimeRTSD</c:v>
                </c:pt>
                <c:pt idx="14">
                  <c:v>TimeRetMean</c:v>
                </c:pt>
                <c:pt idx="15">
                  <c:v>TimeRetSD</c:v>
                </c:pt>
                <c:pt idx="16">
                  <c:v>TimeHTMean</c:v>
                </c:pt>
                <c:pt idx="17">
                  <c:v>TimeHTSD</c:v>
                </c:pt>
                <c:pt idx="18">
                  <c:v>TimeHomeMean</c:v>
                </c:pt>
                <c:pt idx="19">
                  <c:v>TimeHomeSD</c:v>
                </c:pt>
              </c:strCache>
            </c:strRef>
          </c:cat>
          <c:val>
            <c:numRef>
              <c:f>SensResults!$F$46:$F$65</c:f>
              <c:numCache>
                <c:ptCount val="20"/>
                <c:pt idx="0">
                  <c:v>1.1824522026131448E-05</c:v>
                </c:pt>
                <c:pt idx="1">
                  <c:v>1.1824522026131448E-05</c:v>
                </c:pt>
                <c:pt idx="2">
                  <c:v>1.1824522026131448E-05</c:v>
                </c:pt>
                <c:pt idx="3">
                  <c:v>1.1824522026131448E-05</c:v>
                </c:pt>
                <c:pt idx="4">
                  <c:v>1.1824522026131448E-05</c:v>
                </c:pt>
                <c:pt idx="5">
                  <c:v>1.1824522026131448E-05</c:v>
                </c:pt>
                <c:pt idx="6">
                  <c:v>1.1824522026131448E-05</c:v>
                </c:pt>
                <c:pt idx="7">
                  <c:v>1.1824522026131448E-05</c:v>
                </c:pt>
                <c:pt idx="8">
                  <c:v>1.1824522026131448E-05</c:v>
                </c:pt>
                <c:pt idx="9">
                  <c:v>1.1824522026131448E-05</c:v>
                </c:pt>
                <c:pt idx="10">
                  <c:v>1.1824522026131448E-05</c:v>
                </c:pt>
                <c:pt idx="11">
                  <c:v>1.1824522026131448E-05</c:v>
                </c:pt>
                <c:pt idx="12">
                  <c:v>1.1824522026131448E-05</c:v>
                </c:pt>
                <c:pt idx="13">
                  <c:v>1.1824522026131448E-05</c:v>
                </c:pt>
                <c:pt idx="14">
                  <c:v>1.1824522026131448E-05</c:v>
                </c:pt>
                <c:pt idx="15">
                  <c:v>1.1824522026131448E-05</c:v>
                </c:pt>
                <c:pt idx="16">
                  <c:v>1.1824522026131448E-05</c:v>
                </c:pt>
                <c:pt idx="17">
                  <c:v>1.1824522026131448E-05</c:v>
                </c:pt>
                <c:pt idx="18">
                  <c:v>1.1824522026131448E-05</c:v>
                </c:pt>
                <c:pt idx="19">
                  <c:v>1.1824522026131448E-05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13622593"/>
        <c:axId val="55494474"/>
      </c:lineChart>
      <c:catAx>
        <c:axId val="13622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94474"/>
        <c:crossesAt val="1E-08"/>
        <c:auto val="1"/>
        <c:lblOffset val="100"/>
        <c:noMultiLvlLbl val="0"/>
      </c:catAx>
      <c:valAx>
        <c:axId val="55494474"/>
        <c:scaling>
          <c:logBase val="10"/>
          <c:orientation val="minMax"/>
          <c:max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Probability of Illness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622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1"/>
          <c:w val="0.91175"/>
          <c:h val="0.85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SensResults!$H$66:$H$76</c:f>
              <c:strCache/>
            </c:strRef>
          </c:cat>
          <c:val>
            <c:numRef>
              <c:f>SensResults!$B$66:$B$76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SensResults!$H$66:$H$76</c:f>
              <c:strCache/>
            </c:strRef>
          </c:cat>
          <c:val>
            <c:numRef>
              <c:f>SensResults!$C$66:$C$76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SensResults!$H$66:$H$76</c:f>
              <c:strCache/>
            </c:strRef>
          </c:cat>
          <c:val>
            <c:numRef>
              <c:f>SensResults!$F$66:$F$76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29688219"/>
        <c:axId val="65867380"/>
      </c:lineChart>
      <c:catAx>
        <c:axId val="29688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67380"/>
        <c:crossesAt val="1E-08"/>
        <c:auto val="1"/>
        <c:lblOffset val="100"/>
        <c:noMultiLvlLbl val="0"/>
      </c:catAx>
      <c:valAx>
        <c:axId val="65867380"/>
        <c:scaling>
          <c:logBase val="10"/>
          <c:orientation val="minMax"/>
          <c:max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Probability of Illness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688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3075"/>
          <c:w val="0.90975"/>
          <c:h val="0.860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SensResults!$H$77:$H$97</c:f>
              <c:strCache/>
            </c:strRef>
          </c:cat>
          <c:val>
            <c:numRef>
              <c:f>SensResults!$B$77:$B$97</c:f>
              <c:numCache>
                <c:ptCount val="21"/>
                <c:pt idx="0">
                  <c:v>3.2447412819373866E-07</c:v>
                </c:pt>
                <c:pt idx="1">
                  <c:v>8.467451709400931E-06</c:v>
                </c:pt>
                <c:pt idx="2">
                  <c:v>1.5817864584900114E-06</c:v>
                </c:pt>
                <c:pt idx="3">
                  <c:v>7.773996054006362E-07</c:v>
                </c:pt>
                <c:pt idx="4">
                  <c:v>3.282845830684841E-07</c:v>
                </c:pt>
                <c:pt idx="5">
                  <c:v>6.979300856745556E-07</c:v>
                </c:pt>
                <c:pt idx="6">
                  <c:v>3.3099432456413955E-07</c:v>
                </c:pt>
                <c:pt idx="7">
                  <c:v>3.2809220263117694E-07</c:v>
                </c:pt>
                <c:pt idx="8">
                  <c:v>3.2809217666472486E-07</c:v>
                </c:pt>
                <c:pt idx="9">
                  <c:v>3.30412735140393E-07</c:v>
                </c:pt>
                <c:pt idx="10">
                  <c:v>2.7238466633830543E-07</c:v>
                </c:pt>
                <c:pt idx="11">
                  <c:v>2.9051291645092753E-07</c:v>
                </c:pt>
                <c:pt idx="12">
                  <c:v>2.95173495244631E-07</c:v>
                </c:pt>
                <c:pt idx="13">
                  <c:v>2.9520402392672194E-07</c:v>
                </c:pt>
                <c:pt idx="14">
                  <c:v>3.2871391339154335E-07</c:v>
                </c:pt>
                <c:pt idx="15">
                  <c:v>3.290263806141475E-07</c:v>
                </c:pt>
                <c:pt idx="16">
                  <c:v>3.280921119697753E-07</c:v>
                </c:pt>
                <c:pt idx="17">
                  <c:v>3.2809217666472486E-07</c:v>
                </c:pt>
                <c:pt idx="18">
                  <c:v>3.2760685713674636E-07</c:v>
                </c:pt>
                <c:pt idx="19">
                  <c:v>3.2722788927315216E-07</c:v>
                </c:pt>
                <c:pt idx="20">
                  <c:v>2.50050975674219E-07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SensResults!$H$77:$H$97</c:f>
              <c:strCache/>
            </c:strRef>
          </c:cat>
          <c:val>
            <c:numRef>
              <c:f>SensResults!$C$77:$C$97</c:f>
              <c:numCache>
                <c:ptCount val="21"/>
                <c:pt idx="0">
                  <c:v>3.280921766647245E-07</c:v>
                </c:pt>
                <c:pt idx="1">
                  <c:v>2.881623822907826E-07</c:v>
                </c:pt>
                <c:pt idx="2">
                  <c:v>1.6400242098384505E-07</c:v>
                </c:pt>
                <c:pt idx="3">
                  <c:v>2.7912169280851944E-07</c:v>
                </c:pt>
                <c:pt idx="4">
                  <c:v>3.2807293380803174E-07</c:v>
                </c:pt>
                <c:pt idx="5">
                  <c:v>2.510334318710764E-07</c:v>
                </c:pt>
                <c:pt idx="6">
                  <c:v>3.278018433870618E-07</c:v>
                </c:pt>
                <c:pt idx="7">
                  <c:v>3.2809217406807923E-07</c:v>
                </c:pt>
                <c:pt idx="8">
                  <c:v>3.2483626906321016E-07</c:v>
                </c:pt>
                <c:pt idx="9">
                  <c:v>3.278597066358775E-07</c:v>
                </c:pt>
                <c:pt idx="10">
                  <c:v>4.259772335391141E-07</c:v>
                </c:pt>
                <c:pt idx="11">
                  <c:v>3.1356840337852123E-07</c:v>
                </c:pt>
                <c:pt idx="12">
                  <c:v>2.7506972273240195E-07</c:v>
                </c:pt>
                <c:pt idx="13">
                  <c:v>2.726813141861278E-07</c:v>
                </c:pt>
                <c:pt idx="14">
                  <c:v>2.3935924467641627E-07</c:v>
                </c:pt>
                <c:pt idx="15">
                  <c:v>2.390434603598908E-07</c:v>
                </c:pt>
                <c:pt idx="16">
                  <c:v>3.8298163943395607E-07</c:v>
                </c:pt>
                <c:pt idx="17">
                  <c:v>3.2809217666472486E-07</c:v>
                </c:pt>
                <c:pt idx="18">
                  <c:v>3.2922321021658487E-07</c:v>
                </c:pt>
                <c:pt idx="19">
                  <c:v>3.2860307601383137E-07</c:v>
                </c:pt>
                <c:pt idx="20">
                  <c:v>5.009064786077233E-07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SensResults!$H$77:$H$97</c:f>
              <c:strCache/>
            </c:strRef>
          </c:cat>
          <c:val>
            <c:numRef>
              <c:f>SensResults!$F$77:$F$97</c:f>
              <c:numCache>
                <c:ptCount val="21"/>
                <c:pt idx="0">
                  <c:v>3.2809218186967455E-07</c:v>
                </c:pt>
                <c:pt idx="1">
                  <c:v>3.2809218186967455E-07</c:v>
                </c:pt>
                <c:pt idx="2">
                  <c:v>3.2809218186967455E-07</c:v>
                </c:pt>
                <c:pt idx="3">
                  <c:v>3.2809218186967455E-07</c:v>
                </c:pt>
                <c:pt idx="4">
                  <c:v>3.2809218186967455E-07</c:v>
                </c:pt>
                <c:pt idx="5">
                  <c:v>3.2809218186967455E-07</c:v>
                </c:pt>
                <c:pt idx="6">
                  <c:v>3.2809218186967455E-07</c:v>
                </c:pt>
                <c:pt idx="7">
                  <c:v>3.2809218186967455E-07</c:v>
                </c:pt>
                <c:pt idx="8">
                  <c:v>3.2809218186967455E-07</c:v>
                </c:pt>
                <c:pt idx="9">
                  <c:v>3.2809218186967455E-07</c:v>
                </c:pt>
                <c:pt idx="10">
                  <c:v>3.2809218186967455E-07</c:v>
                </c:pt>
                <c:pt idx="11">
                  <c:v>3.2809218186967455E-07</c:v>
                </c:pt>
                <c:pt idx="12">
                  <c:v>3.2809218186967455E-07</c:v>
                </c:pt>
                <c:pt idx="13">
                  <c:v>3.2809218186967455E-07</c:v>
                </c:pt>
                <c:pt idx="14">
                  <c:v>3.2809218186967455E-07</c:v>
                </c:pt>
                <c:pt idx="15">
                  <c:v>3.2809218186967455E-07</c:v>
                </c:pt>
                <c:pt idx="16">
                  <c:v>3.2809218186967455E-07</c:v>
                </c:pt>
                <c:pt idx="17">
                  <c:v>3.2809218186967455E-07</c:v>
                </c:pt>
                <c:pt idx="18">
                  <c:v>3.2809218186967455E-07</c:v>
                </c:pt>
                <c:pt idx="19">
                  <c:v>3.2809218186967455E-07</c:v>
                </c:pt>
                <c:pt idx="20">
                  <c:v>3.2809218186967455E-07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55935509"/>
        <c:axId val="33657534"/>
      </c:lineChart>
      <c:catAx>
        <c:axId val="55935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657534"/>
        <c:crossesAt val="1E-08"/>
        <c:auto val="1"/>
        <c:lblOffset val="100"/>
        <c:noMultiLvlLbl val="0"/>
      </c:catAx>
      <c:valAx>
        <c:axId val="33657534"/>
        <c:scaling>
          <c:logBase val="10"/>
          <c:orientation val="minMax"/>
          <c:max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of Illness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935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275"/>
          <c:w val="0.908"/>
          <c:h val="0.872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SensResults!$H$108:$H$125</c:f>
              <c:strCache/>
            </c:strRef>
          </c:cat>
          <c:val>
            <c:numRef>
              <c:f>SensResults!$B$108:$B$125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SensResults!$H$108:$H$125</c:f>
              <c:strCache/>
            </c:strRef>
          </c:cat>
          <c:val>
            <c:numRef>
              <c:f>SensResults!$C$108:$C$125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SensResults!$H$108:$H$125</c:f>
              <c:strCache/>
            </c:strRef>
          </c:cat>
          <c:val>
            <c:numRef>
              <c:f>SensResults!$F$108:$F$125</c:f>
              <c:numCache>
                <c:ptCount val="18"/>
                <c:pt idx="0">
                  <c:v>3.2809218186967455E-07</c:v>
                </c:pt>
                <c:pt idx="1">
                  <c:v>3.2809218186967455E-07</c:v>
                </c:pt>
                <c:pt idx="2">
                  <c:v>3.2809218186967455E-07</c:v>
                </c:pt>
                <c:pt idx="3">
                  <c:v>3.2809218186967455E-07</c:v>
                </c:pt>
                <c:pt idx="4">
                  <c:v>3.2809218186967455E-07</c:v>
                </c:pt>
                <c:pt idx="5">
                  <c:v>3.2809218186967455E-07</c:v>
                </c:pt>
                <c:pt idx="6">
                  <c:v>3.2809218186967455E-07</c:v>
                </c:pt>
                <c:pt idx="7">
                  <c:v>3.2809218186967455E-07</c:v>
                </c:pt>
                <c:pt idx="8">
                  <c:v>3.2809218186967455E-07</c:v>
                </c:pt>
                <c:pt idx="9">
                  <c:v>3.2809218186967455E-07</c:v>
                </c:pt>
                <c:pt idx="10">
                  <c:v>3.2809218186967455E-07</c:v>
                </c:pt>
                <c:pt idx="11">
                  <c:v>3.2809218186967455E-07</c:v>
                </c:pt>
                <c:pt idx="12">
                  <c:v>3.2809218186967455E-07</c:v>
                </c:pt>
                <c:pt idx="13">
                  <c:v>3.2809218186967455E-07</c:v>
                </c:pt>
                <c:pt idx="14">
                  <c:v>3.2809218186967455E-07</c:v>
                </c:pt>
                <c:pt idx="15">
                  <c:v>3.2809218186967455E-07</c:v>
                </c:pt>
                <c:pt idx="16">
                  <c:v>3.2809218186967455E-07</c:v>
                </c:pt>
                <c:pt idx="17">
                  <c:v>3.2809218186967455E-07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34482351"/>
        <c:axId val="41905704"/>
      </c:lineChart>
      <c:catAx>
        <c:axId val="34482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Input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905704"/>
        <c:crossesAt val="1E-08"/>
        <c:auto val="1"/>
        <c:lblOffset val="100"/>
        <c:noMultiLvlLbl val="0"/>
      </c:catAx>
      <c:valAx>
        <c:axId val="41905704"/>
        <c:scaling>
          <c:logBase val="10"/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Probability of Illness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482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2725"/>
          <c:w val="0.908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SensResults!$H$108:$H$125</c:f>
              <c:strCache/>
            </c:strRef>
          </c:cat>
          <c:val>
            <c:numRef>
              <c:f>SensResults!$J$108:$J$125</c:f>
              <c:numCache>
                <c:ptCount val="18"/>
                <c:pt idx="0">
                  <c:v>-0.024491010780248956</c:v>
                </c:pt>
                <c:pt idx="1">
                  <c:v>-9.988680583106202E-06</c:v>
                </c:pt>
                <c:pt idx="2">
                  <c:v>0.10468900012143045</c:v>
                </c:pt>
                <c:pt idx="3">
                  <c:v>-0.2734683573505663</c:v>
                </c:pt>
                <c:pt idx="4">
                  <c:v>-0.012491767793767039</c:v>
                </c:pt>
                <c:pt idx="5">
                  <c:v>-0.23752060214855675</c:v>
                </c:pt>
                <c:pt idx="6">
                  <c:v>-0.0010163619011542835</c:v>
                </c:pt>
                <c:pt idx="7">
                  <c:v>-0.029990558430073477</c:v>
                </c:pt>
                <c:pt idx="8">
                  <c:v>-0.0018231750499975163</c:v>
                </c:pt>
                <c:pt idx="9">
                  <c:v>-0.004059363390499726</c:v>
                </c:pt>
                <c:pt idx="10">
                  <c:v>-0.0009837051168890554</c:v>
                </c:pt>
                <c:pt idx="11">
                  <c:v>-0.003405622572625333</c:v>
                </c:pt>
                <c:pt idx="12">
                  <c:v>-0.31043015176554967</c:v>
                </c:pt>
                <c:pt idx="13">
                  <c:v>-0.3040136936645297</c:v>
                </c:pt>
                <c:pt idx="14">
                  <c:v>3.250698410448541</c:v>
                </c:pt>
                <c:pt idx="15">
                  <c:v>-0.18834766005677928</c:v>
                </c:pt>
                <c:pt idx="16">
                  <c:v>-0.7594984074491666</c:v>
                </c:pt>
                <c:pt idx="17">
                  <c:v>1.5730168030268459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SensResults!$H$108:$H$125</c:f>
              <c:strCache/>
            </c:strRef>
          </c:cat>
          <c:val>
            <c:numRef>
              <c:f>SensResults!$K$108:$K$125</c:f>
              <c:numCache>
                <c:ptCount val="18"/>
                <c:pt idx="0">
                  <c:v>6.289387446545744</c:v>
                </c:pt>
                <c:pt idx="1">
                  <c:v>6.207882611283441</c:v>
                </c:pt>
                <c:pt idx="2">
                  <c:v>5.202943145104191</c:v>
                </c:pt>
                <c:pt idx="3">
                  <c:v>5.107442119751983</c:v>
                </c:pt>
                <c:pt idx="4">
                  <c:v>4.956493913862042</c:v>
                </c:pt>
                <c:pt idx="5">
                  <c:v>4.537592102018957</c:v>
                </c:pt>
                <c:pt idx="6">
                  <c:v>4.216268481253241</c:v>
                </c:pt>
                <c:pt idx="7">
                  <c:v>4.036453452264176</c:v>
                </c:pt>
                <c:pt idx="8">
                  <c:v>3.743574440267425</c:v>
                </c:pt>
                <c:pt idx="9">
                  <c:v>3.71443049115825</c:v>
                </c:pt>
                <c:pt idx="10">
                  <c:v>3.7142554994983463</c:v>
                </c:pt>
                <c:pt idx="11">
                  <c:v>3.664336381825038</c:v>
                </c:pt>
                <c:pt idx="12">
                  <c:v>3.5945084487900107</c:v>
                </c:pt>
                <c:pt idx="13">
                  <c:v>3.273649012130207</c:v>
                </c:pt>
                <c:pt idx="14">
                  <c:v>-0.12977048440844996</c:v>
                </c:pt>
                <c:pt idx="15">
                  <c:v>3.193983239277305</c:v>
                </c:pt>
                <c:pt idx="16">
                  <c:v>2.1840860678933556</c:v>
                </c:pt>
                <c:pt idx="17">
                  <c:v>-0.6934135537256623</c:v>
                </c:pt>
              </c:numCache>
            </c:numRef>
          </c:val>
        </c:ser>
        <c:overlap val="100"/>
        <c:gapWidth val="60"/>
        <c:axId val="41607017"/>
        <c:axId val="38918834"/>
      </c:barChart>
      <c:catAx>
        <c:axId val="4160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Input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18834"/>
        <c:crossesAt val="1E-08"/>
        <c:auto val="1"/>
        <c:lblOffset val="100"/>
        <c:noMultiLvlLbl val="0"/>
      </c:catAx>
      <c:valAx>
        <c:axId val="38918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Log-odds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07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PasteurizationSims!$X$3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PasteurizationSims!$Z$2:$AI$2</c:f>
              <c:strCache/>
            </c:strRef>
          </c:cat>
          <c:val>
            <c:numRef>
              <c:f>PasteurizationSims!$Z$3:$AI$3</c:f>
              <c:numCache>
                <c:ptCount val="10"/>
                <c:pt idx="0">
                  <c:v>3999248.6687441734</c:v>
                </c:pt>
                <c:pt idx="1">
                  <c:v>131792213.17167525</c:v>
                </c:pt>
                <c:pt idx="2">
                  <c:v>141941495.37494102</c:v>
                </c:pt>
                <c:pt idx="3">
                  <c:v>269226227.17789674</c:v>
                </c:pt>
                <c:pt idx="4">
                  <c:v>269226227.17789674</c:v>
                </c:pt>
                <c:pt idx="5">
                  <c:v>380977560.77342767</c:v>
                </c:pt>
                <c:pt idx="6">
                  <c:v>411279028.6120244</c:v>
                </c:pt>
                <c:pt idx="7">
                  <c:v>438127068.13682204</c:v>
                </c:pt>
                <c:pt idx="8">
                  <c:v>451081240.4427343</c:v>
                </c:pt>
                <c:pt idx="9">
                  <c:v>473230036.5684496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PasteurizationSims!$X$4</c:f>
              <c:strCache>
                <c:ptCount val="1"/>
                <c:pt idx="0">
                  <c:v>3 logs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PasteurizationSims!$Z$4:$AI$4</c:f>
              <c:numCache>
                <c:ptCount val="10"/>
                <c:pt idx="0">
                  <c:v>3999248.6687441734</c:v>
                </c:pt>
                <c:pt idx="1">
                  <c:v>131792213.17167525</c:v>
                </c:pt>
                <c:pt idx="2">
                  <c:v>141941495.37494102</c:v>
                </c:pt>
                <c:pt idx="3">
                  <c:v>269226227.17789674</c:v>
                </c:pt>
                <c:pt idx="4">
                  <c:v>256358.43294</c:v>
                </c:pt>
                <c:pt idx="5">
                  <c:v>160010237.04518968</c:v>
                </c:pt>
                <c:pt idx="6">
                  <c:v>207284026.69857785</c:v>
                </c:pt>
                <c:pt idx="7">
                  <c:v>249116567.88376406</c:v>
                </c:pt>
                <c:pt idx="8">
                  <c:v>262897341.72209078</c:v>
                </c:pt>
                <c:pt idx="9">
                  <c:v>290845347.7917784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PasteurizationSims!$X$5</c:f>
              <c:strCache>
                <c:ptCount val="1"/>
                <c:pt idx="0">
                  <c:v>5 logs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PasteurizationSims!$Z$5:$AI$5</c:f>
              <c:numCache>
                <c:ptCount val="10"/>
                <c:pt idx="0">
                  <c:v>3999248.6687441734</c:v>
                </c:pt>
                <c:pt idx="1">
                  <c:v>131792213.17167525</c:v>
                </c:pt>
                <c:pt idx="2">
                  <c:v>141941495.37494102</c:v>
                </c:pt>
                <c:pt idx="3">
                  <c:v>269226227.17789674</c:v>
                </c:pt>
                <c:pt idx="4">
                  <c:v>2550.88422</c:v>
                </c:pt>
                <c:pt idx="5">
                  <c:v>73842316.00792171</c:v>
                </c:pt>
                <c:pt idx="6">
                  <c:v>93435205.13890156</c:v>
                </c:pt>
                <c:pt idx="7">
                  <c:v>112113003.18639031</c:v>
                </c:pt>
                <c:pt idx="8">
                  <c:v>116429392.26364185</c:v>
                </c:pt>
                <c:pt idx="9">
                  <c:v>129942864.60558641</c:v>
                </c:pt>
              </c:numCache>
            </c:numRef>
          </c:val>
          <c:smooth val="0"/>
        </c:ser>
        <c:marker val="1"/>
        <c:axId val="14725187"/>
        <c:axId val="65417820"/>
      </c:lineChart>
      <c:catAx>
        <c:axId val="147251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417820"/>
        <c:crosses val="autoZero"/>
        <c:auto val="1"/>
        <c:lblOffset val="100"/>
        <c:noMultiLvlLbl val="0"/>
      </c:catAx>
      <c:valAx>
        <c:axId val="6541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number of 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4725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PasteurizationSims!$X$3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PasteurizationSims!$Z$2:$AI$2</c:f>
              <c:strCache/>
            </c:strRef>
          </c:cat>
          <c:val>
            <c:numRef>
              <c:f>PasteurizationSims!$Z$3:$AI$3</c:f>
              <c:numCache>
                <c:ptCount val="10"/>
                <c:pt idx="0">
                  <c:v>3999248.6687441734</c:v>
                </c:pt>
                <c:pt idx="1">
                  <c:v>131792213.17167525</c:v>
                </c:pt>
                <c:pt idx="2">
                  <c:v>141941495.37494102</c:v>
                </c:pt>
                <c:pt idx="3">
                  <c:v>269226227.17789674</c:v>
                </c:pt>
                <c:pt idx="4">
                  <c:v>269226227.17789674</c:v>
                </c:pt>
                <c:pt idx="5">
                  <c:v>380977560.77342767</c:v>
                </c:pt>
                <c:pt idx="6">
                  <c:v>411279028.6120244</c:v>
                </c:pt>
                <c:pt idx="7">
                  <c:v>438127068.13682204</c:v>
                </c:pt>
                <c:pt idx="8">
                  <c:v>451081240.4427343</c:v>
                </c:pt>
                <c:pt idx="9">
                  <c:v>473230036.5684496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PasteurizationSims!$X$4</c:f>
              <c:strCache>
                <c:ptCount val="1"/>
                <c:pt idx="0">
                  <c:v>3 logs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PasteurizationSims!$Z$4:$AI$4</c:f>
              <c:numCache>
                <c:ptCount val="10"/>
                <c:pt idx="0">
                  <c:v>3999248.6687441734</c:v>
                </c:pt>
                <c:pt idx="1">
                  <c:v>131792213.17167525</c:v>
                </c:pt>
                <c:pt idx="2">
                  <c:v>141941495.37494102</c:v>
                </c:pt>
                <c:pt idx="3">
                  <c:v>269226227.17789674</c:v>
                </c:pt>
                <c:pt idx="4">
                  <c:v>256358.43294</c:v>
                </c:pt>
                <c:pt idx="5">
                  <c:v>160010237.04518968</c:v>
                </c:pt>
                <c:pt idx="6">
                  <c:v>207284026.69857785</c:v>
                </c:pt>
                <c:pt idx="7">
                  <c:v>249116567.88376406</c:v>
                </c:pt>
                <c:pt idx="8">
                  <c:v>262897341.72209078</c:v>
                </c:pt>
                <c:pt idx="9">
                  <c:v>290845347.7917784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PasteurizationSims!$X$5</c:f>
              <c:strCache>
                <c:ptCount val="1"/>
                <c:pt idx="0">
                  <c:v>5 logs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PasteurizationSims!$Z$5:$AI$5</c:f>
              <c:numCache>
                <c:ptCount val="10"/>
                <c:pt idx="0">
                  <c:v>3999248.6687441734</c:v>
                </c:pt>
                <c:pt idx="1">
                  <c:v>131792213.17167525</c:v>
                </c:pt>
                <c:pt idx="2">
                  <c:v>141941495.37494102</c:v>
                </c:pt>
                <c:pt idx="3">
                  <c:v>269226227.17789674</c:v>
                </c:pt>
                <c:pt idx="4">
                  <c:v>2550.88422</c:v>
                </c:pt>
                <c:pt idx="5">
                  <c:v>73842316.00792171</c:v>
                </c:pt>
                <c:pt idx="6">
                  <c:v>93435205.13890156</c:v>
                </c:pt>
                <c:pt idx="7">
                  <c:v>112113003.18639031</c:v>
                </c:pt>
                <c:pt idx="8">
                  <c:v>116429392.26364185</c:v>
                </c:pt>
                <c:pt idx="9">
                  <c:v>129942864.60558641</c:v>
                </c:pt>
              </c:numCache>
            </c:numRef>
          </c:val>
          <c:smooth val="0"/>
        </c:ser>
        <c:marker val="1"/>
        <c:axId val="51889469"/>
        <c:axId val="64352038"/>
      </c:lineChart>
      <c:catAx>
        <c:axId val="518894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52038"/>
        <c:crosses val="autoZero"/>
        <c:auto val="1"/>
        <c:lblOffset val="100"/>
        <c:noMultiLvlLbl val="0"/>
      </c:catAx>
      <c:valAx>
        <c:axId val="6435203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number of 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1889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75"/>
          <c:y val="0.036"/>
          <c:w val="0.81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Sens1D!$O$31:$O$33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0248185"/>
        <c:axId val="5362754"/>
      </c:barChart>
      <c:catAx>
        <c:axId val="602481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12700">
            <a:solidFill/>
          </a:ln>
        </c:spPr>
        <c:crossAx val="5362754"/>
        <c:crossesAt val="0"/>
        <c:auto val="1"/>
        <c:lblOffset val="100"/>
        <c:noMultiLvlLbl val="0"/>
      </c:catAx>
      <c:valAx>
        <c:axId val="5362754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48185"/>
        <c:crossesAt val="1"/>
        <c:crossBetween val="between"/>
        <c:dispUnits/>
        <c:majorUnit val="0.1"/>
        <c:minorUnit val="0.00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PasteurizationSims!$X$6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PasteurizationSims!$Z$2:$AI$2</c:f>
              <c:strCache/>
            </c:strRef>
          </c:cat>
          <c:val>
            <c:numRef>
              <c:f>PasteurizationSims!$Z$6:$AI$6</c:f>
              <c:numCache>
                <c:ptCount val="10"/>
                <c:pt idx="0">
                  <c:v>0.06968815639314722</c:v>
                </c:pt>
                <c:pt idx="1">
                  <c:v>0.07386891142122308</c:v>
                </c:pt>
                <c:pt idx="2">
                  <c:v>0.07438092664570475</c:v>
                </c:pt>
                <c:pt idx="3">
                  <c:v>0.07931563888206904</c:v>
                </c:pt>
                <c:pt idx="4">
                  <c:v>0.07931563888206904</c:v>
                </c:pt>
                <c:pt idx="5">
                  <c:v>0.0830384624569347</c:v>
                </c:pt>
                <c:pt idx="6">
                  <c:v>0.08411368850097484</c:v>
                </c:pt>
                <c:pt idx="7">
                  <c:v>0.09862122106595397</c:v>
                </c:pt>
                <c:pt idx="8">
                  <c:v>0.09929495426741373</c:v>
                </c:pt>
                <c:pt idx="9">
                  <c:v>0.1117305454334173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PasteurizationSims!$X$7</c:f>
              <c:strCache>
                <c:ptCount val="1"/>
                <c:pt idx="0">
                  <c:v>3 logs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PasteurizationSims!$Z$7:$AI$7</c:f>
              <c:numCache>
                <c:ptCount val="10"/>
                <c:pt idx="0">
                  <c:v>0.06968815639314722</c:v>
                </c:pt>
                <c:pt idx="1">
                  <c:v>0.07386891142122308</c:v>
                </c:pt>
                <c:pt idx="2">
                  <c:v>0.07438092664570475</c:v>
                </c:pt>
                <c:pt idx="3">
                  <c:v>0.07931563888206904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PasteurizationSims!$X$8</c:f>
              <c:strCache>
                <c:ptCount val="1"/>
                <c:pt idx="0">
                  <c:v>5 logs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PasteurizationSims!$Z$8:$AI$8</c:f>
              <c:numCache>
                <c:ptCount val="10"/>
                <c:pt idx="0">
                  <c:v>0.06968815639314722</c:v>
                </c:pt>
                <c:pt idx="1">
                  <c:v>0.07386891142122308</c:v>
                </c:pt>
                <c:pt idx="2">
                  <c:v>0.07438092664570475</c:v>
                </c:pt>
                <c:pt idx="3">
                  <c:v>0.07931563888206904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42297431"/>
        <c:axId val="45132560"/>
      </c:lineChart>
      <c:catAx>
        <c:axId val="4229743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32560"/>
        <c:crosses val="autoZero"/>
        <c:auto val="1"/>
        <c:lblOffset val="100"/>
        <c:noMultiLvlLbl val="0"/>
      </c:catAx>
      <c:valAx>
        <c:axId val="4513256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number of 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2297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PasteurizationSims!$BG$38:$BG$40</c:f>
              <c:strCache/>
            </c:strRef>
          </c:cat>
          <c:val>
            <c:numRef>
              <c:f>PasteurizationSims!$BH$38:$BH$40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60"/>
        <c:axId val="3539857"/>
        <c:axId val="31858714"/>
      </c:barChart>
      <c:catAx>
        <c:axId val="353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Pasteurization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1858714"/>
        <c:crosses val="autoZero"/>
        <c:auto val="1"/>
        <c:lblOffset val="100"/>
        <c:noMultiLvlLbl val="0"/>
      </c:catAx>
      <c:valAx>
        <c:axId val="3185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number of illnesses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3539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PasteurizationSims!$BC$44</c:f>
              <c:strCache>
                <c:ptCount val="1"/>
                <c:pt idx="0">
                  <c:v>3 logs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PasteurizationSims!$BB$45:$BB$62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PasteurizationSims!$BC$45:$BC$62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PasteurizationSims!$BD$44</c:f>
              <c:strCache>
                <c:ptCount val="1"/>
                <c:pt idx="0">
                  <c:v>5 logs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PasteurizationSims!$BB$45:$BB$62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PasteurizationSims!$BD$45:$BD$62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18292971"/>
        <c:axId val="30419012"/>
      </c:scatterChart>
      <c:valAx>
        <c:axId val="1829297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Proportion of eggs pasteurized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0419012"/>
        <c:crosses val="autoZero"/>
        <c:crossBetween val="midCat"/>
        <c:dispUnits/>
      </c:valAx>
      <c:valAx>
        <c:axId val="3041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number of illnesses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82929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PostPastG2!$D$29</c:f>
              <c:strCache>
                <c:ptCount val="1"/>
                <c:pt idx="0">
                  <c:v>Normal growth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PostPastG2!$C$30:$C$41</c:f>
              <c:strCache>
                <c:ptCount val="12"/>
                <c:pt idx="0">
                  <c:v>Initial</c:v>
                </c:pt>
                <c:pt idx="1">
                  <c:v>Layer house</c:v>
                </c:pt>
                <c:pt idx="2">
                  <c:v>On Farm Storage</c:v>
                </c:pt>
                <c:pt idx="3">
                  <c:v>Transportation</c:v>
                </c:pt>
                <c:pt idx="4">
                  <c:v>Preprocessing Storage</c:v>
                </c:pt>
                <c:pt idx="5">
                  <c:v>Pasteurization</c:v>
                </c:pt>
                <c:pt idx="6">
                  <c:v>Postprocessing Storage</c:v>
                </c:pt>
                <c:pt idx="7">
                  <c:v>Retail Transportation</c:v>
                </c:pt>
                <c:pt idx="8">
                  <c:v>Retail Storage</c:v>
                </c:pt>
                <c:pt idx="9">
                  <c:v>Home Transportation</c:v>
                </c:pt>
                <c:pt idx="10">
                  <c:v>Home Store</c:v>
                </c:pt>
                <c:pt idx="11">
                  <c:v>After Cooking</c:v>
                </c:pt>
              </c:strCache>
            </c:strRef>
          </c:cat>
          <c:val>
            <c:numRef>
              <c:f>PostPastG2!$D$30:$D$41</c:f>
              <c:numCache>
                <c:ptCount val="12"/>
                <c:pt idx="0">
                  <c:v>26.05557462616903</c:v>
                </c:pt>
                <c:pt idx="1">
                  <c:v>9099774.0477306</c:v>
                </c:pt>
                <c:pt idx="2">
                  <c:v>103745042.42954834</c:v>
                </c:pt>
                <c:pt idx="3">
                  <c:v>108564206.96797352</c:v>
                </c:pt>
                <c:pt idx="4">
                  <c:v>203808851.94649473</c:v>
                </c:pt>
                <c:pt idx="5">
                  <c:v>19726497.094665043</c:v>
                </c:pt>
                <c:pt idx="6">
                  <c:v>233091639.65636733</c:v>
                </c:pt>
                <c:pt idx="7">
                  <c:v>264397808.65928254</c:v>
                </c:pt>
                <c:pt idx="8">
                  <c:v>308237678.9259406</c:v>
                </c:pt>
                <c:pt idx="9">
                  <c:v>316383209.71543306</c:v>
                </c:pt>
                <c:pt idx="10">
                  <c:v>338596606.8881119</c:v>
                </c:pt>
                <c:pt idx="11">
                  <c:v>2633010.4036821914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PostPastG2!$E$29</c:f>
              <c:strCache>
                <c:ptCount val="1"/>
                <c:pt idx="0">
                  <c:v>50% growth rate post-past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PostPastG2!$C$30:$C$41</c:f>
              <c:strCache>
                <c:ptCount val="12"/>
                <c:pt idx="0">
                  <c:v>Initial</c:v>
                </c:pt>
                <c:pt idx="1">
                  <c:v>Layer house</c:v>
                </c:pt>
                <c:pt idx="2">
                  <c:v>On Farm Storage</c:v>
                </c:pt>
                <c:pt idx="3">
                  <c:v>Transportation</c:v>
                </c:pt>
                <c:pt idx="4">
                  <c:v>Preprocessing Storage</c:v>
                </c:pt>
                <c:pt idx="5">
                  <c:v>Pasteurization</c:v>
                </c:pt>
                <c:pt idx="6">
                  <c:v>Postprocessing Storage</c:v>
                </c:pt>
                <c:pt idx="7">
                  <c:v>Retail Transportation</c:v>
                </c:pt>
                <c:pt idx="8">
                  <c:v>Retail Storage</c:v>
                </c:pt>
                <c:pt idx="9">
                  <c:v>Home Transportation</c:v>
                </c:pt>
                <c:pt idx="10">
                  <c:v>Home Store</c:v>
                </c:pt>
                <c:pt idx="11">
                  <c:v>After Cooking</c:v>
                </c:pt>
              </c:strCache>
            </c:strRef>
          </c:cat>
          <c:val>
            <c:numRef>
              <c:f>PostPastG2!$E$30:$E$41</c:f>
              <c:numCache>
                <c:ptCount val="12"/>
                <c:pt idx="0">
                  <c:v>26.05557462616903</c:v>
                </c:pt>
                <c:pt idx="1">
                  <c:v>9099774.0477306</c:v>
                </c:pt>
                <c:pt idx="2">
                  <c:v>103745042.42954834</c:v>
                </c:pt>
                <c:pt idx="3">
                  <c:v>108564206.96797352</c:v>
                </c:pt>
                <c:pt idx="4">
                  <c:v>203808851.94649473</c:v>
                </c:pt>
                <c:pt idx="5">
                  <c:v>19726497.094665043</c:v>
                </c:pt>
                <c:pt idx="6">
                  <c:v>58642822.98998487</c:v>
                </c:pt>
                <c:pt idx="7">
                  <c:v>64291056.694057845</c:v>
                </c:pt>
                <c:pt idx="8">
                  <c:v>69667391.09772113</c:v>
                </c:pt>
                <c:pt idx="9">
                  <c:v>71218418.67159955</c:v>
                </c:pt>
                <c:pt idx="10">
                  <c:v>75195542.4996123</c:v>
                </c:pt>
                <c:pt idx="11">
                  <c:v>265142.7223457099</c:v>
                </c:pt>
              </c:numCache>
            </c:numRef>
          </c:val>
          <c:smooth val="0"/>
        </c:ser>
        <c:marker val="1"/>
        <c:axId val="5335653"/>
        <c:axId val="48020878"/>
      </c:lineChart>
      <c:catAx>
        <c:axId val="533565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number of bacteria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3356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ResultsCharts!$J$27</c:f>
              <c:strCache>
                <c:ptCount val="1"/>
                <c:pt idx="0">
                  <c:v>5th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ResultsCharts!$B$29:$B$38</c:f>
              <c:strCache/>
            </c:strRef>
          </c:cat>
          <c:val>
            <c:numRef>
              <c:f>ResultsCharts!$J$29:$J$38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ResultsCharts!$F$27</c:f>
              <c:strCache>
                <c:ptCount val="1"/>
                <c:pt idx="0">
                  <c:v>Median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ResultsCharts!$B$29:$B$38</c:f>
              <c:strCache/>
            </c:strRef>
          </c:cat>
          <c:val>
            <c:numRef>
              <c:f>ResultsCharts!$F$29:$F$38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ResultsCharts!$N$27</c:f>
              <c:strCache>
                <c:ptCount val="1"/>
                <c:pt idx="0">
                  <c:v>95th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ResultsCharts!$B$29:$B$38</c:f>
              <c:strCache/>
            </c:strRef>
          </c:cat>
          <c:val>
            <c:numRef>
              <c:f>ResultsCharts!$N$29:$N$38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534719"/>
        <c:axId val="64485880"/>
      </c:lineChart>
      <c:catAx>
        <c:axId val="2953471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85880"/>
        <c:crosses val="autoZero"/>
        <c:auto val="1"/>
        <c:lblOffset val="100"/>
        <c:noMultiLvlLbl val="0"/>
      </c:catAx>
      <c:valAx>
        <c:axId val="64485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 of egg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crossAx val="295347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ResultsCharts!$J$27</c:f>
              <c:strCache>
                <c:ptCount val="1"/>
                <c:pt idx="0">
                  <c:v>5th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ResultsCharts!$B$29:$B$38</c:f>
              <c:strCache/>
            </c:strRef>
          </c:cat>
          <c:val>
            <c:numRef>
              <c:f>ResultsCharts!$K$29:$K$38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ResultsCharts!$F$27</c:f>
              <c:strCache>
                <c:ptCount val="1"/>
                <c:pt idx="0">
                  <c:v>Median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ResultsCharts!$B$29:$B$38</c:f>
              <c:strCache/>
            </c:strRef>
          </c:cat>
          <c:val>
            <c:numRef>
              <c:f>ResultsCharts!$G$29:$G$38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ResultsCharts!$N$27</c:f>
              <c:strCache>
                <c:ptCount val="1"/>
                <c:pt idx="0">
                  <c:v>95th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ResultsCharts!$B$29:$B$38</c:f>
              <c:strCache/>
            </c:strRef>
          </c:cat>
          <c:val>
            <c:numRef>
              <c:f>ResultsCharts!$O$29:$O$38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502009"/>
        <c:axId val="55973762"/>
      </c:lineChart>
      <c:catAx>
        <c:axId val="4350200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73762"/>
        <c:crosses val="autoZero"/>
        <c:auto val="1"/>
        <c:lblOffset val="100"/>
        <c:noMultiLvlLbl val="0"/>
      </c:catAx>
      <c:valAx>
        <c:axId val="5597376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Yolk membrane breakdown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35020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ResultsCharts!$J$27</c:f>
              <c:strCache>
                <c:ptCount val="1"/>
                <c:pt idx="0">
                  <c:v>5th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ResultsCharts!$B$29:$B$38</c:f>
              <c:strCache/>
            </c:strRef>
          </c:cat>
          <c:val>
            <c:numRef>
              <c:f>ResultsCharts!$L$29:$L$38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ResultsCharts!$F$27</c:f>
              <c:strCache>
                <c:ptCount val="1"/>
                <c:pt idx="0">
                  <c:v>Median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ResultsCharts!$B$29:$B$38</c:f>
              <c:strCache/>
            </c:strRef>
          </c:cat>
          <c:val>
            <c:numRef>
              <c:f>ResultsCharts!$H$29:$H$38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ResultsCharts!$N$27</c:f>
              <c:strCache>
                <c:ptCount val="1"/>
                <c:pt idx="0">
                  <c:v>95th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ResultsCharts!$B$29:$B$38</c:f>
              <c:strCache/>
            </c:strRef>
          </c:cat>
          <c:val>
            <c:numRef>
              <c:f>ResultsCharts!$P$29:$P$38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80844"/>
        <c:crosses val="autoZero"/>
        <c:auto val="1"/>
        <c:lblOffset val="100"/>
        <c:noMultiLvlLbl val="0"/>
      </c:catAx>
      <c:valAx>
        <c:axId val="37580844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Bacteria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0018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ResultsCharts!$J$27</c:f>
              <c:strCache>
                <c:ptCount val="1"/>
                <c:pt idx="0">
                  <c:v>5th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ResultsCharts!$B$29:$B$38</c:f>
              <c:strCache/>
            </c:strRef>
          </c:cat>
          <c:val>
            <c:numRef>
              <c:f>ResultsCharts!$M$29:$M$38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ResultsCharts!$F$27</c:f>
              <c:strCache>
                <c:ptCount val="1"/>
                <c:pt idx="0">
                  <c:v>Median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ResultsCharts!$B$29:$B$38</c:f>
              <c:strCache/>
            </c:strRef>
          </c:cat>
          <c:val>
            <c:numRef>
              <c:f>ResultsCharts!$I$29:$I$38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ResultsCharts!$N$27</c:f>
              <c:strCache>
                <c:ptCount val="1"/>
                <c:pt idx="0">
                  <c:v>95th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ResultsCharts!$B$29:$B$38</c:f>
              <c:strCache/>
            </c:strRef>
          </c:cat>
          <c:val>
            <c:numRef>
              <c:f>ResultsCharts!$Q$29:$Q$38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83277"/>
        <c:axId val="24149494"/>
      </c:lineChart>
      <c:catAx>
        <c:axId val="26832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49494"/>
        <c:crosses val="autoZero"/>
        <c:auto val="1"/>
        <c:lblOffset val="100"/>
        <c:noMultiLvlLbl val="0"/>
      </c:catAx>
      <c:valAx>
        <c:axId val="24149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Egg 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6832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36"/>
          <c:w val="0.94525"/>
          <c:h val="0.801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Sens1D!$N$31:$N$33</c:f>
              <c:strCache/>
            </c:strRef>
          </c:cat>
          <c:val>
            <c:numRef>
              <c:f>Sens1D!$P$31:$P$33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8264787"/>
        <c:axId val="31729900"/>
      </c:barChart>
      <c:catAx>
        <c:axId val="482647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29900"/>
        <c:crosses val="autoZero"/>
        <c:auto val="1"/>
        <c:lblOffset val="100"/>
        <c:noMultiLvlLbl val="0"/>
      </c:catAx>
      <c:valAx>
        <c:axId val="31729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264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675"/>
          <c:y val="0.036"/>
          <c:w val="0.634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Sens1D!$N$18:$N$26</c:f>
              <c:strCache/>
            </c:strRef>
          </c:cat>
          <c:val>
            <c:numRef>
              <c:f>Sens1D!$O$18:$O$26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7133645"/>
        <c:axId val="19985078"/>
      </c:barChart>
      <c:catAx>
        <c:axId val="171336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12700">
            <a:solidFill/>
          </a:ln>
        </c:spPr>
        <c:crossAx val="19985078"/>
        <c:crossesAt val="0"/>
        <c:auto val="1"/>
        <c:lblOffset val="100"/>
        <c:noMultiLvlLbl val="0"/>
      </c:catAx>
      <c:valAx>
        <c:axId val="19985078"/>
        <c:scaling>
          <c:orientation val="minMax"/>
          <c:max val="0.1"/>
          <c:min val="-0.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33645"/>
        <c:crossesAt val="1"/>
        <c:crossBetween val="between"/>
        <c:dispUnits/>
        <c:majorUnit val="0.01"/>
        <c:minorUnit val="0.00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36"/>
          <c:w val="0.94525"/>
          <c:h val="0.801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Sens1D!$N$18:$N$26</c:f>
              <c:strCache/>
            </c:strRef>
          </c:cat>
          <c:val>
            <c:numRef>
              <c:f>Sens1D!$R$18:$R$26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5647975"/>
        <c:axId val="8178592"/>
      </c:barChart>
      <c:catAx>
        <c:axId val="45647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178592"/>
        <c:crosses val="autoZero"/>
        <c:auto val="1"/>
        <c:lblOffset val="100"/>
        <c:noMultiLvlLbl val="0"/>
      </c:catAx>
      <c:valAx>
        <c:axId val="8178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647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675"/>
          <c:y val="0.036"/>
          <c:w val="0.634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Sens1D!$N$18:$N$26</c:f>
              <c:strCache/>
            </c:strRef>
          </c:cat>
          <c:val>
            <c:numRef>
              <c:f>Sens1D!$P$18:$P$26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498465"/>
        <c:axId val="58486186"/>
      </c:barChart>
      <c:catAx>
        <c:axId val="64984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12700">
            <a:solidFill/>
          </a:ln>
        </c:spPr>
        <c:crossAx val="58486186"/>
        <c:crossesAt val="0"/>
        <c:auto val="1"/>
        <c:lblOffset val="100"/>
        <c:noMultiLvlLbl val="0"/>
      </c:catAx>
      <c:valAx>
        <c:axId val="58486186"/>
        <c:scaling>
          <c:orientation val="minMax"/>
          <c:max val="0.1"/>
          <c:min val="-0.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8465"/>
        <c:crossesAt val="1"/>
        <c:crossBetween val="between"/>
        <c:dispUnits/>
        <c:majorUnit val="0.01"/>
        <c:minorUnit val="0.00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36"/>
          <c:w val="0.94525"/>
          <c:h val="0.801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Sens1D!$N$18:$N$26</c:f>
              <c:strCache/>
            </c:strRef>
          </c:cat>
          <c:val>
            <c:numRef>
              <c:f>Sens1D!$R$18:$R$26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6613627"/>
        <c:axId val="39760596"/>
      </c:barChart>
      <c:catAx>
        <c:axId val="566136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760596"/>
        <c:crosses val="autoZero"/>
        <c:auto val="1"/>
        <c:lblOffset val="100"/>
        <c:noMultiLvlLbl val="0"/>
      </c:catAx>
      <c:valAx>
        <c:axId val="39760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613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675"/>
          <c:y val="0.036"/>
          <c:w val="0.634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Sens1D!$N$18:$N$26</c:f>
              <c:strCache/>
            </c:strRef>
          </c:cat>
          <c:val>
            <c:numRef>
              <c:f>Sens1D!$Q$18:$Q$26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2301045"/>
        <c:axId val="66491678"/>
      </c:barChart>
      <c:catAx>
        <c:axId val="223010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12700">
            <a:solidFill/>
          </a:ln>
        </c:spPr>
        <c:crossAx val="66491678"/>
        <c:crossesAt val="0"/>
        <c:auto val="1"/>
        <c:lblOffset val="100"/>
        <c:noMultiLvlLbl val="0"/>
      </c:catAx>
      <c:valAx>
        <c:axId val="66491678"/>
        <c:scaling>
          <c:orientation val="minMax"/>
          <c:max val="0.1"/>
          <c:min val="-0.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01045"/>
        <c:crossesAt val="1"/>
        <c:crossBetween val="between"/>
        <c:dispUnits/>
        <c:majorUnit val="0.01"/>
        <c:minorUnit val="0.00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20</xdr:row>
      <xdr:rowOff>9525</xdr:rowOff>
    </xdr:from>
    <xdr:to>
      <xdr:col>11</xdr:col>
      <xdr:colOff>590550</xdr:colOff>
      <xdr:row>23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305425" y="3248025"/>
          <a:ext cx="4057650" cy="514350"/>
        </a:xfrm>
        <a:prstGeom prst="wedgeRectCallout">
          <a:avLst>
            <a:gd name="adj1" fmla="val -76995"/>
            <a:gd name="adj2" fmla="val 8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 is assumed that at lay, the level, k, of SE cells in Ea contamination eggs is distributed such that ln(k-1) is a normal distribution with mean, ω, equal to 2.6022 and standard deviation, ς, equal to 1.2953.</a:t>
          </a:r>
        </a:p>
      </xdr:txBody>
    </xdr:sp>
    <xdr:clientData/>
  </xdr:twoCellAnchor>
  <xdr:twoCellAnchor>
    <xdr:from>
      <xdr:col>5</xdr:col>
      <xdr:colOff>333375</xdr:colOff>
      <xdr:row>23</xdr:row>
      <xdr:rowOff>152400</xdr:rowOff>
    </xdr:from>
    <xdr:to>
      <xdr:col>11</xdr:col>
      <xdr:colOff>9525</xdr:colOff>
      <xdr:row>27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267325" y="3876675"/>
          <a:ext cx="3514725" cy="514350"/>
        </a:xfrm>
        <a:prstGeom prst="wedgeRectCallout">
          <a:avLst>
            <a:gd name="adj1" fmla="val -58129"/>
            <a:gd name="adj2" fmla="val 29629"/>
            <a:gd name="adj3" fmla="val -54421"/>
            <a:gd name="adj4" fmla="val -40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the low value population, it is assumed that the number of cells at the beginning of a contamination is distributed as a Poisson, without zeros, with parameter, ρ, equal to 1.39. </a:t>
          </a:r>
        </a:p>
      </xdr:txBody>
    </xdr:sp>
    <xdr:clientData/>
  </xdr:twoCellAnchor>
  <xdr:twoCellAnchor>
    <xdr:from>
      <xdr:col>8</xdr:col>
      <xdr:colOff>504825</xdr:colOff>
      <xdr:row>68</xdr:row>
      <xdr:rowOff>47625</xdr:rowOff>
    </xdr:from>
    <xdr:to>
      <xdr:col>12</xdr:col>
      <xdr:colOff>685800</xdr:colOff>
      <xdr:row>72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7448550" y="11058525"/>
          <a:ext cx="2743200" cy="666750"/>
        </a:xfrm>
        <a:prstGeom prst="wedgeRectCallout">
          <a:avLst>
            <a:gd name="adj1" fmla="val -67453"/>
            <a:gd name="adj2" fmla="val -20000"/>
            <a:gd name="adj3" fmla="val 52018"/>
            <a:gd name="adj4" fmla="val -26000"/>
            <a:gd name="adj5" fmla="val -10101"/>
            <a:gd name="adj6" fmla="val -76000"/>
            <a:gd name="adj7" fmla="val -10101"/>
            <a:gd name="adj8" fmla="val -7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Time for Retail Storage refers to the time from processing THROUGH Retail Storage.  The Time for Post-processing storage is modified based on this value in the code.</a:t>
          </a:r>
        </a:p>
      </xdr:txBody>
    </xdr:sp>
    <xdr:clientData/>
  </xdr:twoCellAnchor>
  <xdr:twoCellAnchor>
    <xdr:from>
      <xdr:col>5</xdr:col>
      <xdr:colOff>295275</xdr:colOff>
      <xdr:row>6</xdr:row>
      <xdr:rowOff>104775</xdr:rowOff>
    </xdr:from>
    <xdr:to>
      <xdr:col>12</xdr:col>
      <xdr:colOff>142875</xdr:colOff>
      <xdr:row>19</xdr:row>
      <xdr:rowOff>57150</xdr:rowOff>
    </xdr:to>
    <xdr:sp>
      <xdr:nvSpPr>
        <xdr:cNvPr id="4" name="TextBox 41"/>
        <xdr:cNvSpPr txBox="1">
          <a:spLocks noChangeArrowheads="1"/>
        </xdr:cNvSpPr>
      </xdr:nvSpPr>
      <xdr:spPr>
        <a:xfrm>
          <a:off x="5229225" y="1076325"/>
          <a:ext cx="44196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Changes from 15 to 18
1.  Code changed for albumen contaminated eggs to be the return from the log normal + 1
2.  Time in the layer house changed from a log normal to a uniform(0,12)
3.  For yolk high contaminated eggs allows 0-24 hours of growth at 104F
4.  Corrects problem in underestimating growth from yolk high contaminated eggs
5.  Corrects a problem after pasteurization when using stochastic growth modeling.  The previous version did not reset the stochastic growth array after pasteurization.  This resulted in an overestimate of growth after pasteurization.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28</xdr:row>
      <xdr:rowOff>85725</xdr:rowOff>
    </xdr:from>
    <xdr:to>
      <xdr:col>16</xdr:col>
      <xdr:colOff>523875</xdr:colOff>
      <xdr:row>46</xdr:row>
      <xdr:rowOff>28575</xdr:rowOff>
    </xdr:to>
    <xdr:graphicFrame>
      <xdr:nvGraphicFramePr>
        <xdr:cNvPr id="1" name="Chart 101"/>
        <xdr:cNvGraphicFramePr/>
      </xdr:nvGraphicFramePr>
      <xdr:xfrm>
        <a:off x="6400800" y="4619625"/>
        <a:ext cx="52768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39</xdr:row>
      <xdr:rowOff>9525</xdr:rowOff>
    </xdr:from>
    <xdr:to>
      <xdr:col>7</xdr:col>
      <xdr:colOff>438150</xdr:colOff>
      <xdr:row>61</xdr:row>
      <xdr:rowOff>47625</xdr:rowOff>
    </xdr:to>
    <xdr:graphicFrame>
      <xdr:nvGraphicFramePr>
        <xdr:cNvPr id="1" name="Chart 2"/>
        <xdr:cNvGraphicFramePr/>
      </xdr:nvGraphicFramePr>
      <xdr:xfrm>
        <a:off x="352425" y="6324600"/>
        <a:ext cx="50101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809625</xdr:colOff>
      <xdr:row>39</xdr:row>
      <xdr:rowOff>0</xdr:rowOff>
    </xdr:from>
    <xdr:to>
      <xdr:col>14</xdr:col>
      <xdr:colOff>419100</xdr:colOff>
      <xdr:row>61</xdr:row>
      <xdr:rowOff>47625</xdr:rowOff>
    </xdr:to>
    <xdr:graphicFrame>
      <xdr:nvGraphicFramePr>
        <xdr:cNvPr id="2" name="Chart 3"/>
        <xdr:cNvGraphicFramePr/>
      </xdr:nvGraphicFramePr>
      <xdr:xfrm>
        <a:off x="5734050" y="6315075"/>
        <a:ext cx="49434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39</xdr:row>
      <xdr:rowOff>0</xdr:rowOff>
    </xdr:from>
    <xdr:to>
      <xdr:col>22</xdr:col>
      <xdr:colOff>19050</xdr:colOff>
      <xdr:row>61</xdr:row>
      <xdr:rowOff>57150</xdr:rowOff>
    </xdr:to>
    <xdr:graphicFrame>
      <xdr:nvGraphicFramePr>
        <xdr:cNvPr id="3" name="Chart 4"/>
        <xdr:cNvGraphicFramePr/>
      </xdr:nvGraphicFramePr>
      <xdr:xfrm>
        <a:off x="10868025" y="6315075"/>
        <a:ext cx="516255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285750</xdr:colOff>
      <xdr:row>38</xdr:row>
      <xdr:rowOff>152400</xdr:rowOff>
    </xdr:from>
    <xdr:to>
      <xdr:col>28</xdr:col>
      <xdr:colOff>685800</xdr:colOff>
      <xdr:row>61</xdr:row>
      <xdr:rowOff>57150</xdr:rowOff>
    </xdr:to>
    <xdr:graphicFrame>
      <xdr:nvGraphicFramePr>
        <xdr:cNvPr id="4" name="Chart 5"/>
        <xdr:cNvGraphicFramePr/>
      </xdr:nvGraphicFramePr>
      <xdr:xfrm>
        <a:off x="16297275" y="6305550"/>
        <a:ext cx="4962525" cy="3629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24</xdr:row>
      <xdr:rowOff>76200</xdr:rowOff>
    </xdr:from>
    <xdr:to>
      <xdr:col>60</xdr:col>
      <xdr:colOff>0</xdr:colOff>
      <xdr:row>41</xdr:row>
      <xdr:rowOff>66675</xdr:rowOff>
    </xdr:to>
    <xdr:graphicFrame>
      <xdr:nvGraphicFramePr>
        <xdr:cNvPr id="1" name="Chart 110"/>
        <xdr:cNvGraphicFramePr/>
      </xdr:nvGraphicFramePr>
      <xdr:xfrm>
        <a:off x="45100875" y="3962400"/>
        <a:ext cx="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628650</xdr:colOff>
      <xdr:row>21</xdr:row>
      <xdr:rowOff>95250</xdr:rowOff>
    </xdr:from>
    <xdr:to>
      <xdr:col>60</xdr:col>
      <xdr:colOff>371475</xdr:colOff>
      <xdr:row>39</xdr:row>
      <xdr:rowOff>38100</xdr:rowOff>
    </xdr:to>
    <xdr:graphicFrame>
      <xdr:nvGraphicFramePr>
        <xdr:cNvPr id="1" name="Chart 2"/>
        <xdr:cNvGraphicFramePr/>
      </xdr:nvGraphicFramePr>
      <xdr:xfrm>
        <a:off x="32327850" y="3495675"/>
        <a:ext cx="52768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295275</xdr:colOff>
      <xdr:row>33</xdr:row>
      <xdr:rowOff>9525</xdr:rowOff>
    </xdr:from>
    <xdr:to>
      <xdr:col>26</xdr:col>
      <xdr:colOff>85725</xdr:colOff>
      <xdr:row>49</xdr:row>
      <xdr:rowOff>152400</xdr:rowOff>
    </xdr:to>
    <xdr:grpSp>
      <xdr:nvGrpSpPr>
        <xdr:cNvPr id="1" name="Group 61"/>
        <xdr:cNvGrpSpPr>
          <a:grpSpLocks/>
        </xdr:cNvGrpSpPr>
      </xdr:nvGrpSpPr>
      <xdr:grpSpPr>
        <a:xfrm>
          <a:off x="12468225" y="5353050"/>
          <a:ext cx="5276850" cy="2733675"/>
          <a:chOff x="1314" y="561"/>
          <a:chExt cx="554" cy="287"/>
        </a:xfrm>
        <a:solidFill>
          <a:srgbClr val="FFFFFF"/>
        </a:solidFill>
      </xdr:grpSpPr>
      <xdr:graphicFrame>
        <xdr:nvGraphicFramePr>
          <xdr:cNvPr id="2" name="Chart 58"/>
          <xdr:cNvGraphicFramePr/>
        </xdr:nvGraphicFramePr>
        <xdr:xfrm>
          <a:off x="1314" y="561"/>
          <a:ext cx="554" cy="28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59"/>
          <xdr:cNvGraphicFramePr/>
        </xdr:nvGraphicFramePr>
        <xdr:xfrm>
          <a:off x="1314" y="562"/>
          <a:ext cx="554" cy="28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17</xdr:col>
      <xdr:colOff>485775</xdr:colOff>
      <xdr:row>13</xdr:row>
      <xdr:rowOff>114300</xdr:rowOff>
    </xdr:from>
    <xdr:to>
      <xdr:col>26</xdr:col>
      <xdr:colOff>276225</xdr:colOff>
      <xdr:row>30</xdr:row>
      <xdr:rowOff>95250</xdr:rowOff>
    </xdr:to>
    <xdr:grpSp>
      <xdr:nvGrpSpPr>
        <xdr:cNvPr id="4" name="Group 17"/>
        <xdr:cNvGrpSpPr>
          <a:grpSpLocks/>
        </xdr:cNvGrpSpPr>
      </xdr:nvGrpSpPr>
      <xdr:grpSpPr>
        <a:xfrm>
          <a:off x="12658725" y="2219325"/>
          <a:ext cx="5276850" cy="2733675"/>
          <a:chOff x="1329" y="233"/>
          <a:chExt cx="554" cy="287"/>
        </a:xfrm>
        <a:solidFill>
          <a:srgbClr val="FFFFFF"/>
        </a:solidFill>
      </xdr:grpSpPr>
      <xdr:grpSp>
        <xdr:nvGrpSpPr>
          <xdr:cNvPr id="5" name="Group 4"/>
          <xdr:cNvGrpSpPr>
            <a:grpSpLocks/>
          </xdr:cNvGrpSpPr>
        </xdr:nvGrpSpPr>
        <xdr:grpSpPr>
          <a:xfrm>
            <a:off x="1329" y="233"/>
            <a:ext cx="554" cy="287"/>
            <a:chOff x="1329" y="233"/>
            <a:chExt cx="554" cy="287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1329" y="233"/>
            <a:ext cx="554" cy="286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1329" y="234"/>
            <a:ext cx="554" cy="286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</xdr:grpSp>
      <xdr:sp>
        <xdr:nvSpPr>
          <xdr:cNvPr id="8" name="TextBox 11"/>
          <xdr:cNvSpPr txBox="1">
            <a:spLocks noChangeArrowheads="1"/>
          </xdr:cNvSpPr>
        </xdr:nvSpPr>
        <xdr:spPr>
          <a:xfrm>
            <a:off x="1732" y="258"/>
            <a:ext cx="93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Correlation with Time</a:t>
            </a:r>
          </a:p>
        </xdr:txBody>
      </xdr:sp>
    </xdr:grpSp>
    <xdr:clientData/>
  </xdr:twoCellAnchor>
  <xdr:twoCellAnchor>
    <xdr:from>
      <xdr:col>26</xdr:col>
      <xdr:colOff>428625</xdr:colOff>
      <xdr:row>13</xdr:row>
      <xdr:rowOff>114300</xdr:rowOff>
    </xdr:from>
    <xdr:to>
      <xdr:col>35</xdr:col>
      <xdr:colOff>219075</xdr:colOff>
      <xdr:row>30</xdr:row>
      <xdr:rowOff>95250</xdr:rowOff>
    </xdr:to>
    <xdr:grpSp>
      <xdr:nvGrpSpPr>
        <xdr:cNvPr id="9" name="Group 19"/>
        <xdr:cNvGrpSpPr>
          <a:grpSpLocks/>
        </xdr:cNvGrpSpPr>
      </xdr:nvGrpSpPr>
      <xdr:grpSpPr>
        <a:xfrm>
          <a:off x="18087975" y="2219325"/>
          <a:ext cx="5276850" cy="2733675"/>
          <a:chOff x="1899" y="233"/>
          <a:chExt cx="554" cy="287"/>
        </a:xfrm>
        <a:solidFill>
          <a:srgbClr val="FFFFFF"/>
        </a:solidFill>
      </xdr:grpSpPr>
      <xdr:grpSp>
        <xdr:nvGrpSpPr>
          <xdr:cNvPr id="10" name="Group 18"/>
          <xdr:cNvGrpSpPr>
            <a:grpSpLocks/>
          </xdr:cNvGrpSpPr>
        </xdr:nvGrpSpPr>
        <xdr:grpSpPr>
          <a:xfrm>
            <a:off x="1899" y="233"/>
            <a:ext cx="554" cy="287"/>
            <a:chOff x="1899" y="233"/>
            <a:chExt cx="554" cy="287"/>
          </a:xfrm>
          <a:solidFill>
            <a:srgbClr val="FFFFFF"/>
          </a:solidFill>
        </xdr:grpSpPr>
        <xdr:graphicFrame>
          <xdr:nvGraphicFramePr>
            <xdr:cNvPr id="11" name="Chart 6"/>
            <xdr:cNvGraphicFramePr/>
          </xdr:nvGraphicFramePr>
          <xdr:xfrm>
            <a:off x="1899" y="233"/>
            <a:ext cx="554" cy="286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aphicFrame>
          <xdr:nvGraphicFramePr>
            <xdr:cNvPr id="12" name="Chart 7"/>
            <xdr:cNvGraphicFramePr/>
          </xdr:nvGraphicFramePr>
          <xdr:xfrm>
            <a:off x="1899" y="234"/>
            <a:ext cx="554" cy="286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</xdr:grpSp>
      <xdr:sp>
        <xdr:nvSpPr>
          <xdr:cNvPr id="13" name="TextBox 14"/>
          <xdr:cNvSpPr txBox="1">
            <a:spLocks noChangeArrowheads="1"/>
          </xdr:cNvSpPr>
        </xdr:nvSpPr>
        <xdr:spPr>
          <a:xfrm>
            <a:off x="2308" y="259"/>
            <a:ext cx="133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Correlation with Temperature</a:t>
            </a:r>
          </a:p>
        </xdr:txBody>
      </xdr:sp>
    </xdr:grpSp>
    <xdr:clientData/>
  </xdr:twoCellAnchor>
  <xdr:twoCellAnchor>
    <xdr:from>
      <xdr:col>35</xdr:col>
      <xdr:colOff>342900</xdr:colOff>
      <xdr:row>13</xdr:row>
      <xdr:rowOff>152400</xdr:rowOff>
    </xdr:from>
    <xdr:to>
      <xdr:col>44</xdr:col>
      <xdr:colOff>133350</xdr:colOff>
      <xdr:row>30</xdr:row>
      <xdr:rowOff>133350</xdr:rowOff>
    </xdr:to>
    <xdr:grpSp>
      <xdr:nvGrpSpPr>
        <xdr:cNvPr id="14" name="Group 21"/>
        <xdr:cNvGrpSpPr>
          <a:grpSpLocks/>
        </xdr:cNvGrpSpPr>
      </xdr:nvGrpSpPr>
      <xdr:grpSpPr>
        <a:xfrm>
          <a:off x="23488650" y="2257425"/>
          <a:ext cx="5276850" cy="2733675"/>
          <a:chOff x="2466" y="237"/>
          <a:chExt cx="554" cy="287"/>
        </a:xfrm>
        <a:solidFill>
          <a:srgbClr val="FFFFFF"/>
        </a:solidFill>
      </xdr:grpSpPr>
      <xdr:grpSp>
        <xdr:nvGrpSpPr>
          <xdr:cNvPr id="15" name="Group 20"/>
          <xdr:cNvGrpSpPr>
            <a:grpSpLocks/>
          </xdr:cNvGrpSpPr>
        </xdr:nvGrpSpPr>
        <xdr:grpSpPr>
          <a:xfrm>
            <a:off x="2466" y="237"/>
            <a:ext cx="554" cy="287"/>
            <a:chOff x="2466" y="237"/>
            <a:chExt cx="554" cy="287"/>
          </a:xfrm>
          <a:solidFill>
            <a:srgbClr val="FFFFFF"/>
          </a:solidFill>
        </xdr:grpSpPr>
        <xdr:graphicFrame>
          <xdr:nvGraphicFramePr>
            <xdr:cNvPr id="16" name="Chart 9"/>
            <xdr:cNvGraphicFramePr/>
          </xdr:nvGraphicFramePr>
          <xdr:xfrm>
            <a:off x="2466" y="237"/>
            <a:ext cx="554" cy="286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  <xdr:graphicFrame>
          <xdr:nvGraphicFramePr>
            <xdr:cNvPr id="17" name="Chart 10"/>
            <xdr:cNvGraphicFramePr/>
          </xdr:nvGraphicFramePr>
          <xdr:xfrm>
            <a:off x="2466" y="238"/>
            <a:ext cx="554" cy="286"/>
          </xdr:xfrm>
          <a:graphic>
            <a:graphicData uri="http://schemas.openxmlformats.org/drawingml/2006/chart">
              <c:chart xmlns:c="http://schemas.openxmlformats.org/drawingml/2006/chart" r:id="rId8"/>
            </a:graphicData>
          </a:graphic>
        </xdr:graphicFrame>
      </xdr:grpSp>
      <xdr:sp>
        <xdr:nvSpPr>
          <xdr:cNvPr id="18" name="TextBox 16"/>
          <xdr:cNvSpPr txBox="1">
            <a:spLocks noChangeArrowheads="1"/>
          </xdr:cNvSpPr>
        </xdr:nvSpPr>
        <xdr:spPr>
          <a:xfrm>
            <a:off x="2839" y="256"/>
            <a:ext cx="175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Correlation with Cooling Constants</a:t>
            </a:r>
          </a:p>
        </xdr:txBody>
      </xdr:sp>
    </xdr:grpSp>
    <xdr:clientData/>
  </xdr:twoCellAnchor>
  <xdr:twoCellAnchor>
    <xdr:from>
      <xdr:col>38</xdr:col>
      <xdr:colOff>171450</xdr:colOff>
      <xdr:row>0</xdr:row>
      <xdr:rowOff>0</xdr:rowOff>
    </xdr:from>
    <xdr:to>
      <xdr:col>46</xdr:col>
      <xdr:colOff>571500</xdr:colOff>
      <xdr:row>16</xdr:row>
      <xdr:rowOff>142875</xdr:rowOff>
    </xdr:to>
    <xdr:grpSp>
      <xdr:nvGrpSpPr>
        <xdr:cNvPr id="19" name="Group 55"/>
        <xdr:cNvGrpSpPr>
          <a:grpSpLocks/>
        </xdr:cNvGrpSpPr>
      </xdr:nvGrpSpPr>
      <xdr:grpSpPr>
        <a:xfrm>
          <a:off x="25146000" y="0"/>
          <a:ext cx="5276850" cy="2733675"/>
          <a:chOff x="2640" y="0"/>
          <a:chExt cx="554" cy="287"/>
        </a:xfrm>
        <a:solidFill>
          <a:srgbClr val="FFFFFF"/>
        </a:solidFill>
      </xdr:grpSpPr>
      <xdr:grpSp>
        <xdr:nvGrpSpPr>
          <xdr:cNvPr id="20" name="Group 54"/>
          <xdr:cNvGrpSpPr>
            <a:grpSpLocks/>
          </xdr:cNvGrpSpPr>
        </xdr:nvGrpSpPr>
        <xdr:grpSpPr>
          <a:xfrm>
            <a:off x="2640" y="0"/>
            <a:ext cx="554" cy="287"/>
            <a:chOff x="2640" y="0"/>
            <a:chExt cx="554" cy="287"/>
          </a:xfrm>
          <a:solidFill>
            <a:srgbClr val="FFFFFF"/>
          </a:solidFill>
        </xdr:grpSpPr>
        <xdr:graphicFrame>
          <xdr:nvGraphicFramePr>
            <xdr:cNvPr id="21" name="Chart 34"/>
            <xdr:cNvGraphicFramePr/>
          </xdr:nvGraphicFramePr>
          <xdr:xfrm>
            <a:off x="2640" y="0"/>
            <a:ext cx="554" cy="286"/>
          </xdr:xfrm>
          <a:graphic>
            <a:graphicData uri="http://schemas.openxmlformats.org/drawingml/2006/chart">
              <c:chart xmlns:c="http://schemas.openxmlformats.org/drawingml/2006/chart" r:id="rId9"/>
            </a:graphicData>
          </a:graphic>
        </xdr:graphicFrame>
        <xdr:graphicFrame>
          <xdr:nvGraphicFramePr>
            <xdr:cNvPr id="22" name="Chart 35"/>
            <xdr:cNvGraphicFramePr/>
          </xdr:nvGraphicFramePr>
          <xdr:xfrm>
            <a:off x="2640" y="1"/>
            <a:ext cx="554" cy="286"/>
          </xdr:xfrm>
          <a:graphic>
            <a:graphicData uri="http://schemas.openxmlformats.org/drawingml/2006/chart">
              <c:chart xmlns:c="http://schemas.openxmlformats.org/drawingml/2006/chart" r:id="rId10"/>
            </a:graphicData>
          </a:graphic>
        </xdr:graphicFrame>
      </xdr:grpSp>
      <xdr:sp>
        <xdr:nvSpPr>
          <xdr:cNvPr id="23" name="TextBox 36"/>
          <xdr:cNvSpPr txBox="1">
            <a:spLocks noChangeArrowheads="1"/>
          </xdr:cNvSpPr>
        </xdr:nvSpPr>
        <xdr:spPr>
          <a:xfrm>
            <a:off x="3043" y="25"/>
            <a:ext cx="93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Correlation with YMB</a:t>
            </a:r>
          </a:p>
        </xdr:txBody>
      </xdr:sp>
    </xdr:grpSp>
    <xdr:clientData/>
  </xdr:twoCellAnchor>
  <xdr:twoCellAnchor>
    <xdr:from>
      <xdr:col>47</xdr:col>
      <xdr:colOff>342900</xdr:colOff>
      <xdr:row>0</xdr:row>
      <xdr:rowOff>0</xdr:rowOff>
    </xdr:from>
    <xdr:to>
      <xdr:col>56</xdr:col>
      <xdr:colOff>133350</xdr:colOff>
      <xdr:row>16</xdr:row>
      <xdr:rowOff>142875</xdr:rowOff>
    </xdr:to>
    <xdr:grpSp>
      <xdr:nvGrpSpPr>
        <xdr:cNvPr id="24" name="Group 53"/>
        <xdr:cNvGrpSpPr>
          <a:grpSpLocks/>
        </xdr:cNvGrpSpPr>
      </xdr:nvGrpSpPr>
      <xdr:grpSpPr>
        <a:xfrm>
          <a:off x="30803850" y="0"/>
          <a:ext cx="5276850" cy="2733675"/>
          <a:chOff x="3234" y="0"/>
          <a:chExt cx="554" cy="287"/>
        </a:xfrm>
        <a:solidFill>
          <a:srgbClr val="FFFFFF"/>
        </a:solidFill>
      </xdr:grpSpPr>
      <xdr:grpSp>
        <xdr:nvGrpSpPr>
          <xdr:cNvPr id="25" name="Group 52"/>
          <xdr:cNvGrpSpPr>
            <a:grpSpLocks/>
          </xdr:cNvGrpSpPr>
        </xdr:nvGrpSpPr>
        <xdr:grpSpPr>
          <a:xfrm>
            <a:off x="3234" y="0"/>
            <a:ext cx="554" cy="287"/>
            <a:chOff x="3234" y="0"/>
            <a:chExt cx="554" cy="287"/>
          </a:xfrm>
          <a:solidFill>
            <a:srgbClr val="FFFFFF"/>
          </a:solidFill>
        </xdr:grpSpPr>
        <xdr:graphicFrame>
          <xdr:nvGraphicFramePr>
            <xdr:cNvPr id="26" name="Chart 39"/>
            <xdr:cNvGraphicFramePr/>
          </xdr:nvGraphicFramePr>
          <xdr:xfrm>
            <a:off x="3234" y="0"/>
            <a:ext cx="554" cy="286"/>
          </xdr:xfrm>
          <a:graphic>
            <a:graphicData uri="http://schemas.openxmlformats.org/drawingml/2006/chart">
              <c:chart xmlns:c="http://schemas.openxmlformats.org/drawingml/2006/chart" r:id="rId11"/>
            </a:graphicData>
          </a:graphic>
        </xdr:graphicFrame>
        <xdr:graphicFrame>
          <xdr:nvGraphicFramePr>
            <xdr:cNvPr id="27" name="Chart 40"/>
            <xdr:cNvGraphicFramePr/>
          </xdr:nvGraphicFramePr>
          <xdr:xfrm>
            <a:off x="3234" y="1"/>
            <a:ext cx="554" cy="286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</xdr:grpSp>
      <xdr:sp>
        <xdr:nvSpPr>
          <xdr:cNvPr id="28" name="TextBox 41"/>
          <xdr:cNvSpPr txBox="1">
            <a:spLocks noChangeArrowheads="1"/>
          </xdr:cNvSpPr>
        </xdr:nvSpPr>
        <xdr:spPr>
          <a:xfrm>
            <a:off x="3459" y="32"/>
            <a:ext cx="122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Correlation with Bacteria</a:t>
            </a:r>
          </a:p>
        </xdr:txBody>
      </xdr:sp>
    </xdr:grpSp>
    <xdr:clientData/>
  </xdr:twoCellAnchor>
  <xdr:twoCellAnchor>
    <xdr:from>
      <xdr:col>19</xdr:col>
      <xdr:colOff>228600</xdr:colOff>
      <xdr:row>0</xdr:row>
      <xdr:rowOff>0</xdr:rowOff>
    </xdr:from>
    <xdr:to>
      <xdr:col>28</xdr:col>
      <xdr:colOff>19050</xdr:colOff>
      <xdr:row>16</xdr:row>
      <xdr:rowOff>142875</xdr:rowOff>
    </xdr:to>
    <xdr:grpSp>
      <xdr:nvGrpSpPr>
        <xdr:cNvPr id="29" name="Group 46"/>
        <xdr:cNvGrpSpPr>
          <a:grpSpLocks/>
        </xdr:cNvGrpSpPr>
      </xdr:nvGrpSpPr>
      <xdr:grpSpPr>
        <a:xfrm>
          <a:off x="13620750" y="0"/>
          <a:ext cx="5276850" cy="2733675"/>
          <a:chOff x="1430" y="0"/>
          <a:chExt cx="554" cy="287"/>
        </a:xfrm>
        <a:solidFill>
          <a:srgbClr val="FFFFFF"/>
        </a:solidFill>
      </xdr:grpSpPr>
      <xdr:grpSp>
        <xdr:nvGrpSpPr>
          <xdr:cNvPr id="30" name="Group 43"/>
          <xdr:cNvGrpSpPr>
            <a:grpSpLocks/>
          </xdr:cNvGrpSpPr>
        </xdr:nvGrpSpPr>
        <xdr:grpSpPr>
          <a:xfrm>
            <a:off x="1430" y="0"/>
            <a:ext cx="554" cy="287"/>
            <a:chOff x="1430" y="0"/>
            <a:chExt cx="554" cy="287"/>
          </a:xfrm>
          <a:solidFill>
            <a:srgbClr val="FFFFFF"/>
          </a:solidFill>
        </xdr:grpSpPr>
        <xdr:graphicFrame>
          <xdr:nvGraphicFramePr>
            <xdr:cNvPr id="31" name="Chart 24"/>
            <xdr:cNvGraphicFramePr/>
          </xdr:nvGraphicFramePr>
          <xdr:xfrm>
            <a:off x="1430" y="0"/>
            <a:ext cx="554" cy="286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graphicFrame>
          <xdr:nvGraphicFramePr>
            <xdr:cNvPr id="32" name="Chart 25"/>
            <xdr:cNvGraphicFramePr/>
          </xdr:nvGraphicFramePr>
          <xdr:xfrm>
            <a:off x="1430" y="1"/>
            <a:ext cx="554" cy="286"/>
          </xdr:xfrm>
          <a:graphic>
            <a:graphicData uri="http://schemas.openxmlformats.org/drawingml/2006/chart">
              <c:chart xmlns:c="http://schemas.openxmlformats.org/drawingml/2006/chart" r:id="rId14"/>
            </a:graphicData>
          </a:graphic>
        </xdr:graphicFrame>
      </xdr:grpSp>
      <xdr:sp>
        <xdr:nvSpPr>
          <xdr:cNvPr id="33" name="TextBox 26"/>
          <xdr:cNvSpPr txBox="1">
            <a:spLocks noChangeArrowheads="1"/>
          </xdr:cNvSpPr>
        </xdr:nvSpPr>
        <xdr:spPr>
          <a:xfrm>
            <a:off x="1643" y="37"/>
            <a:ext cx="127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Correlation with Egg Age</a:t>
            </a:r>
          </a:p>
        </xdr:txBody>
      </xdr:sp>
    </xdr:grpSp>
    <xdr:clientData/>
  </xdr:twoCellAnchor>
  <xdr:twoCellAnchor>
    <xdr:from>
      <xdr:col>29</xdr:col>
      <xdr:colOff>66675</xdr:colOff>
      <xdr:row>0</xdr:row>
      <xdr:rowOff>19050</xdr:rowOff>
    </xdr:from>
    <xdr:to>
      <xdr:col>37</xdr:col>
      <xdr:colOff>466725</xdr:colOff>
      <xdr:row>17</xdr:row>
      <xdr:rowOff>0</xdr:rowOff>
    </xdr:to>
    <xdr:grpSp>
      <xdr:nvGrpSpPr>
        <xdr:cNvPr id="34" name="Group 49"/>
        <xdr:cNvGrpSpPr>
          <a:grpSpLocks/>
        </xdr:cNvGrpSpPr>
      </xdr:nvGrpSpPr>
      <xdr:grpSpPr>
        <a:xfrm>
          <a:off x="19554825" y="19050"/>
          <a:ext cx="5276850" cy="2733675"/>
          <a:chOff x="2053" y="2"/>
          <a:chExt cx="554" cy="287"/>
        </a:xfrm>
        <a:solidFill>
          <a:srgbClr val="FFFFFF"/>
        </a:solidFill>
      </xdr:grpSpPr>
      <xdr:grpSp>
        <xdr:nvGrpSpPr>
          <xdr:cNvPr id="35" name="Group 47"/>
          <xdr:cNvGrpSpPr>
            <a:grpSpLocks/>
          </xdr:cNvGrpSpPr>
        </xdr:nvGrpSpPr>
        <xdr:grpSpPr>
          <a:xfrm>
            <a:off x="2053" y="2"/>
            <a:ext cx="554" cy="287"/>
            <a:chOff x="2053" y="2"/>
            <a:chExt cx="554" cy="287"/>
          </a:xfrm>
          <a:solidFill>
            <a:srgbClr val="FFFFFF"/>
          </a:solidFill>
        </xdr:grpSpPr>
        <xdr:graphicFrame>
          <xdr:nvGraphicFramePr>
            <xdr:cNvPr id="36" name="Chart 29"/>
            <xdr:cNvGraphicFramePr/>
          </xdr:nvGraphicFramePr>
          <xdr:xfrm>
            <a:off x="2053" y="2"/>
            <a:ext cx="554" cy="286"/>
          </xdr:xfrm>
          <a:graphic>
            <a:graphicData uri="http://schemas.openxmlformats.org/drawingml/2006/chart">
              <c:chart xmlns:c="http://schemas.openxmlformats.org/drawingml/2006/chart" r:id="rId15"/>
            </a:graphicData>
          </a:graphic>
        </xdr:graphicFrame>
        <xdr:graphicFrame>
          <xdr:nvGraphicFramePr>
            <xdr:cNvPr id="37" name="Chart 30"/>
            <xdr:cNvGraphicFramePr/>
          </xdr:nvGraphicFramePr>
          <xdr:xfrm>
            <a:off x="2053" y="3"/>
            <a:ext cx="554" cy="286"/>
          </xdr:xfrm>
          <a:graphic>
            <a:graphicData uri="http://schemas.openxmlformats.org/drawingml/2006/chart">
              <c:chart xmlns:c="http://schemas.openxmlformats.org/drawingml/2006/chart" r:id="rId16"/>
            </a:graphicData>
          </a:graphic>
        </xdr:graphicFrame>
      </xdr:grpSp>
      <xdr:sp>
        <xdr:nvSpPr>
          <xdr:cNvPr id="38" name="TextBox 31"/>
          <xdr:cNvSpPr txBox="1">
            <a:spLocks noChangeArrowheads="1"/>
          </xdr:cNvSpPr>
        </xdr:nvSpPr>
        <xdr:spPr>
          <a:xfrm>
            <a:off x="2258" y="44"/>
            <a:ext cx="137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Correlation with Egg Temp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104775</xdr:rowOff>
    </xdr:from>
    <xdr:to>
      <xdr:col>17</xdr:col>
      <xdr:colOff>152400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8277225" y="104775"/>
        <a:ext cx="49149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285750</xdr:colOff>
      <xdr:row>0</xdr:row>
      <xdr:rowOff>0</xdr:rowOff>
    </xdr:from>
    <xdr:to>
      <xdr:col>25</xdr:col>
      <xdr:colOff>104775</xdr:colOff>
      <xdr:row>19</xdr:row>
      <xdr:rowOff>57150</xdr:rowOff>
    </xdr:to>
    <xdr:graphicFrame>
      <xdr:nvGraphicFramePr>
        <xdr:cNvPr id="2" name="Chart 2"/>
        <xdr:cNvGraphicFramePr/>
      </xdr:nvGraphicFramePr>
      <xdr:xfrm>
        <a:off x="13325475" y="0"/>
        <a:ext cx="4695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266700</xdr:colOff>
      <xdr:row>20</xdr:row>
      <xdr:rowOff>133350</xdr:rowOff>
    </xdr:from>
    <xdr:to>
      <xdr:col>25</xdr:col>
      <xdr:colOff>95250</xdr:colOff>
      <xdr:row>40</xdr:row>
      <xdr:rowOff>38100</xdr:rowOff>
    </xdr:to>
    <xdr:graphicFrame>
      <xdr:nvGraphicFramePr>
        <xdr:cNvPr id="3" name="Chart 3"/>
        <xdr:cNvGraphicFramePr/>
      </xdr:nvGraphicFramePr>
      <xdr:xfrm>
        <a:off x="13306425" y="3371850"/>
        <a:ext cx="470535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304800</xdr:colOff>
      <xdr:row>20</xdr:row>
      <xdr:rowOff>114300</xdr:rowOff>
    </xdr:from>
    <xdr:to>
      <xdr:col>17</xdr:col>
      <xdr:colOff>133350</xdr:colOff>
      <xdr:row>40</xdr:row>
      <xdr:rowOff>19050</xdr:rowOff>
    </xdr:to>
    <xdr:graphicFrame>
      <xdr:nvGraphicFramePr>
        <xdr:cNvPr id="4" name="Chart 4"/>
        <xdr:cNvGraphicFramePr/>
      </xdr:nvGraphicFramePr>
      <xdr:xfrm>
        <a:off x="8248650" y="3352800"/>
        <a:ext cx="49244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333375</xdr:colOff>
      <xdr:row>43</xdr:row>
      <xdr:rowOff>114300</xdr:rowOff>
    </xdr:from>
    <xdr:to>
      <xdr:col>17</xdr:col>
      <xdr:colOff>171450</xdr:colOff>
      <xdr:row>63</xdr:row>
      <xdr:rowOff>28575</xdr:rowOff>
    </xdr:to>
    <xdr:graphicFrame>
      <xdr:nvGraphicFramePr>
        <xdr:cNvPr id="5" name="Chart 5"/>
        <xdr:cNvGraphicFramePr/>
      </xdr:nvGraphicFramePr>
      <xdr:xfrm>
        <a:off x="8277225" y="7077075"/>
        <a:ext cx="493395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438150</xdr:colOff>
      <xdr:row>64</xdr:row>
      <xdr:rowOff>38100</xdr:rowOff>
    </xdr:from>
    <xdr:to>
      <xdr:col>17</xdr:col>
      <xdr:colOff>285750</xdr:colOff>
      <xdr:row>83</xdr:row>
      <xdr:rowOff>123825</xdr:rowOff>
    </xdr:to>
    <xdr:graphicFrame>
      <xdr:nvGraphicFramePr>
        <xdr:cNvPr id="6" name="Chart 6"/>
        <xdr:cNvGraphicFramePr/>
      </xdr:nvGraphicFramePr>
      <xdr:xfrm>
        <a:off x="8382000" y="10401300"/>
        <a:ext cx="4943475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85</xdr:row>
      <xdr:rowOff>0</xdr:rowOff>
    </xdr:from>
    <xdr:to>
      <xdr:col>17</xdr:col>
      <xdr:colOff>466725</xdr:colOff>
      <xdr:row>104</xdr:row>
      <xdr:rowOff>95250</xdr:rowOff>
    </xdr:to>
    <xdr:graphicFrame>
      <xdr:nvGraphicFramePr>
        <xdr:cNvPr id="7" name="Chart 7"/>
        <xdr:cNvGraphicFramePr/>
      </xdr:nvGraphicFramePr>
      <xdr:xfrm>
        <a:off x="8772525" y="13763625"/>
        <a:ext cx="473392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333375</xdr:colOff>
      <xdr:row>106</xdr:row>
      <xdr:rowOff>152400</xdr:rowOff>
    </xdr:from>
    <xdr:to>
      <xdr:col>20</xdr:col>
      <xdr:colOff>200025</xdr:colOff>
      <xdr:row>128</xdr:row>
      <xdr:rowOff>142875</xdr:rowOff>
    </xdr:to>
    <xdr:graphicFrame>
      <xdr:nvGraphicFramePr>
        <xdr:cNvPr id="8" name="Chart 8"/>
        <xdr:cNvGraphicFramePr/>
      </xdr:nvGraphicFramePr>
      <xdr:xfrm>
        <a:off x="10325100" y="17316450"/>
        <a:ext cx="4743450" cy="3552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131</xdr:row>
      <xdr:rowOff>0</xdr:rowOff>
    </xdr:from>
    <xdr:to>
      <xdr:col>20</xdr:col>
      <xdr:colOff>485775</xdr:colOff>
      <xdr:row>153</xdr:row>
      <xdr:rowOff>0</xdr:rowOff>
    </xdr:to>
    <xdr:graphicFrame>
      <xdr:nvGraphicFramePr>
        <xdr:cNvPr id="9" name="Chart 9"/>
        <xdr:cNvGraphicFramePr/>
      </xdr:nvGraphicFramePr>
      <xdr:xfrm>
        <a:off x="10601325" y="21212175"/>
        <a:ext cx="4752975" cy="3562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20</xdr:row>
      <xdr:rowOff>9525</xdr:rowOff>
    </xdr:from>
    <xdr:to>
      <xdr:col>11</xdr:col>
      <xdr:colOff>590550</xdr:colOff>
      <xdr:row>23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438775" y="3248025"/>
          <a:ext cx="4057650" cy="514350"/>
        </a:xfrm>
        <a:prstGeom prst="wedgeRectCallout">
          <a:avLst>
            <a:gd name="adj1" fmla="val -76995"/>
            <a:gd name="adj2" fmla="val 8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 is assumed that at lay, the level, k, of SE cells in Ea contamination eggs is distributed such that ln(k-1) is a normal distribution with mean, ω, equal to 2.6022 and standard deviation, ς, equal to 1.2953.</a:t>
          </a:r>
        </a:p>
      </xdr:txBody>
    </xdr:sp>
    <xdr:clientData/>
  </xdr:twoCellAnchor>
  <xdr:twoCellAnchor>
    <xdr:from>
      <xdr:col>5</xdr:col>
      <xdr:colOff>333375</xdr:colOff>
      <xdr:row>23</xdr:row>
      <xdr:rowOff>152400</xdr:rowOff>
    </xdr:from>
    <xdr:to>
      <xdr:col>11</xdr:col>
      <xdr:colOff>9525</xdr:colOff>
      <xdr:row>27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400675" y="3876675"/>
          <a:ext cx="3514725" cy="514350"/>
        </a:xfrm>
        <a:prstGeom prst="wedgeRectCallout">
          <a:avLst>
            <a:gd name="adj1" fmla="val -58129"/>
            <a:gd name="adj2" fmla="val 29629"/>
            <a:gd name="adj3" fmla="val -54421"/>
            <a:gd name="adj4" fmla="val -40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the low value population, it is assumed that the number of cells at the beginning of a contamination is distributed as a Poisson, without zeros, with parameter, ρ, equal to 1.39. </a:t>
          </a:r>
        </a:p>
      </xdr:txBody>
    </xdr:sp>
    <xdr:clientData/>
  </xdr:twoCellAnchor>
  <xdr:twoCellAnchor>
    <xdr:from>
      <xdr:col>8</xdr:col>
      <xdr:colOff>504825</xdr:colOff>
      <xdr:row>68</xdr:row>
      <xdr:rowOff>47625</xdr:rowOff>
    </xdr:from>
    <xdr:to>
      <xdr:col>12</xdr:col>
      <xdr:colOff>685800</xdr:colOff>
      <xdr:row>72</xdr:row>
      <xdr:rowOff>66675</xdr:rowOff>
    </xdr:to>
    <xdr:sp>
      <xdr:nvSpPr>
        <xdr:cNvPr id="3" name="AutoShape 14"/>
        <xdr:cNvSpPr>
          <a:spLocks/>
        </xdr:cNvSpPr>
      </xdr:nvSpPr>
      <xdr:spPr>
        <a:xfrm>
          <a:off x="7581900" y="11058525"/>
          <a:ext cx="2743200" cy="666750"/>
        </a:xfrm>
        <a:prstGeom prst="wedgeRectCallout">
          <a:avLst>
            <a:gd name="adj1" fmla="val -67453"/>
            <a:gd name="adj2" fmla="val -20000"/>
            <a:gd name="adj3" fmla="val 52018"/>
            <a:gd name="adj4" fmla="val -26000"/>
            <a:gd name="adj5" fmla="val -10101"/>
            <a:gd name="adj6" fmla="val -76000"/>
            <a:gd name="adj7" fmla="val -10101"/>
            <a:gd name="adj8" fmla="val -7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Time for Retail Storage refers to the time from processing THROUGH Retail Storage.  The Time for Post-processing storage is modified based on this value in the code.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20</xdr:row>
      <xdr:rowOff>9525</xdr:rowOff>
    </xdr:from>
    <xdr:to>
      <xdr:col>11</xdr:col>
      <xdr:colOff>590550</xdr:colOff>
      <xdr:row>23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438775" y="3248025"/>
          <a:ext cx="4057650" cy="514350"/>
        </a:xfrm>
        <a:prstGeom prst="wedgeRectCallout">
          <a:avLst>
            <a:gd name="adj1" fmla="val -76995"/>
            <a:gd name="adj2" fmla="val 8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 is assumed that at lay, the level, k, of SE cells in Ea contamination eggs is distributed such that ln(k-1) is a normal distribution with mean, ω, equal to 2.6022 and standard deviation, ς, equal to 1.2953.</a:t>
          </a:r>
        </a:p>
      </xdr:txBody>
    </xdr:sp>
    <xdr:clientData/>
  </xdr:twoCellAnchor>
  <xdr:twoCellAnchor>
    <xdr:from>
      <xdr:col>5</xdr:col>
      <xdr:colOff>333375</xdr:colOff>
      <xdr:row>23</xdr:row>
      <xdr:rowOff>152400</xdr:rowOff>
    </xdr:from>
    <xdr:to>
      <xdr:col>11</xdr:col>
      <xdr:colOff>9525</xdr:colOff>
      <xdr:row>27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400675" y="3876675"/>
          <a:ext cx="3514725" cy="514350"/>
        </a:xfrm>
        <a:prstGeom prst="wedgeRectCallout">
          <a:avLst>
            <a:gd name="adj1" fmla="val -58129"/>
            <a:gd name="adj2" fmla="val 29629"/>
            <a:gd name="adj3" fmla="val -54421"/>
            <a:gd name="adj4" fmla="val -40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the low value population, it is assumed that the number of cells at the beginning of a contamination is distributed as a Poisson, without zeros, with parameter, ρ, equal to 1.39. </a:t>
          </a:r>
        </a:p>
      </xdr:txBody>
    </xdr:sp>
    <xdr:clientData/>
  </xdr:twoCellAnchor>
  <xdr:twoCellAnchor>
    <xdr:from>
      <xdr:col>9</xdr:col>
      <xdr:colOff>152400</xdr:colOff>
      <xdr:row>67</xdr:row>
      <xdr:rowOff>104775</xdr:rowOff>
    </xdr:from>
    <xdr:to>
      <xdr:col>13</xdr:col>
      <xdr:colOff>238125</xdr:colOff>
      <xdr:row>71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7839075" y="10953750"/>
          <a:ext cx="2743200" cy="666750"/>
        </a:xfrm>
        <a:prstGeom prst="wedgeRectCallout">
          <a:avLst>
            <a:gd name="adj1" fmla="val -76736"/>
            <a:gd name="adj2" fmla="val -4287"/>
            <a:gd name="adj3" fmla="val 52018"/>
            <a:gd name="adj4" fmla="val -26000"/>
            <a:gd name="adj5" fmla="val -10101"/>
            <a:gd name="adj6" fmla="val -76000"/>
            <a:gd name="adj7" fmla="val -10101"/>
            <a:gd name="adj8" fmla="val -7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Time for Retail Storage refers to the time from processing THROUGH Retail Storage.  The Time for Post-processing storage is modified based on this value in the code.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20</xdr:row>
      <xdr:rowOff>9525</xdr:rowOff>
    </xdr:from>
    <xdr:to>
      <xdr:col>11</xdr:col>
      <xdr:colOff>590550</xdr:colOff>
      <xdr:row>23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562600" y="3248025"/>
          <a:ext cx="4057650" cy="514350"/>
        </a:xfrm>
        <a:prstGeom prst="wedgeRectCallout">
          <a:avLst>
            <a:gd name="adj1" fmla="val -76995"/>
            <a:gd name="adj2" fmla="val 8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 is assumed that at lay, the level, k, of SE cells in Ea contamination eggs is distributed such that ln(k-1) is a normal distribution with mean, ω, equal to 2.6022 and standard deviation, ς, equal to 1.2953.</a:t>
          </a:r>
        </a:p>
      </xdr:txBody>
    </xdr:sp>
    <xdr:clientData/>
  </xdr:twoCellAnchor>
  <xdr:twoCellAnchor>
    <xdr:from>
      <xdr:col>5</xdr:col>
      <xdr:colOff>333375</xdr:colOff>
      <xdr:row>23</xdr:row>
      <xdr:rowOff>152400</xdr:rowOff>
    </xdr:from>
    <xdr:to>
      <xdr:col>11</xdr:col>
      <xdr:colOff>9525</xdr:colOff>
      <xdr:row>27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524500" y="3876675"/>
          <a:ext cx="3514725" cy="514350"/>
        </a:xfrm>
        <a:prstGeom prst="wedgeRectCallout">
          <a:avLst>
            <a:gd name="adj1" fmla="val -58129"/>
            <a:gd name="adj2" fmla="val 29629"/>
            <a:gd name="adj3" fmla="val -54421"/>
            <a:gd name="adj4" fmla="val -40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the low value population, it is assumed that the number of cells at the beginning of a contamination is distributed as a Poisson, without zeros, with parameter, ρ, equal to 1.39. </a:t>
          </a:r>
        </a:p>
      </xdr:txBody>
    </xdr:sp>
    <xdr:clientData/>
  </xdr:twoCellAnchor>
  <xdr:twoCellAnchor>
    <xdr:from>
      <xdr:col>9</xdr:col>
      <xdr:colOff>0</xdr:colOff>
      <xdr:row>67</xdr:row>
      <xdr:rowOff>133350</xdr:rowOff>
    </xdr:from>
    <xdr:to>
      <xdr:col>13</xdr:col>
      <xdr:colOff>85725</xdr:colOff>
      <xdr:row>71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7810500" y="10982325"/>
          <a:ext cx="2743200" cy="666750"/>
        </a:xfrm>
        <a:prstGeom prst="wedgeRectCallout">
          <a:avLst>
            <a:gd name="adj1" fmla="val -71180"/>
            <a:gd name="adj2" fmla="val -8569"/>
            <a:gd name="adj3" fmla="val 52018"/>
            <a:gd name="adj4" fmla="val -26000"/>
            <a:gd name="adj5" fmla="val -10101"/>
            <a:gd name="adj6" fmla="val -76000"/>
            <a:gd name="adj7" fmla="val -10101"/>
            <a:gd name="adj8" fmla="val -7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Time for Retail Storage refers to the time from processing THROUGH Retail Storage.  The Time for Post-processing storage is modified based on this value in the code.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342900</xdr:colOff>
      <xdr:row>1</xdr:row>
      <xdr:rowOff>114300</xdr:rowOff>
    </xdr:from>
    <xdr:to>
      <xdr:col>49</xdr:col>
      <xdr:colOff>400050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33061275" y="2762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590550</xdr:colOff>
      <xdr:row>1</xdr:row>
      <xdr:rowOff>104775</xdr:rowOff>
    </xdr:from>
    <xdr:to>
      <xdr:col>42</xdr:col>
      <xdr:colOff>123825</xdr:colOff>
      <xdr:row>18</xdr:row>
      <xdr:rowOff>104775</xdr:rowOff>
    </xdr:to>
    <xdr:graphicFrame>
      <xdr:nvGraphicFramePr>
        <xdr:cNvPr id="2" name="Chart 2"/>
        <xdr:cNvGraphicFramePr/>
      </xdr:nvGraphicFramePr>
      <xdr:xfrm>
        <a:off x="28155900" y="266700"/>
        <a:ext cx="4686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9525</xdr:colOff>
      <xdr:row>20</xdr:row>
      <xdr:rowOff>28575</xdr:rowOff>
    </xdr:from>
    <xdr:to>
      <xdr:col>42</xdr:col>
      <xdr:colOff>161925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28184475" y="3267075"/>
        <a:ext cx="46958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61</xdr:col>
      <xdr:colOff>47625</xdr:colOff>
      <xdr:row>33</xdr:row>
      <xdr:rowOff>0</xdr:rowOff>
    </xdr:from>
    <xdr:to>
      <xdr:col>69</xdr:col>
      <xdr:colOff>9525</xdr:colOff>
      <xdr:row>49</xdr:row>
      <xdr:rowOff>133350</xdr:rowOff>
    </xdr:to>
    <xdr:graphicFrame>
      <xdr:nvGraphicFramePr>
        <xdr:cNvPr id="4" name="Chart 4"/>
        <xdr:cNvGraphicFramePr/>
      </xdr:nvGraphicFramePr>
      <xdr:xfrm>
        <a:off x="47577375" y="5343525"/>
        <a:ext cx="527685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53</xdr:col>
      <xdr:colOff>38100</xdr:colOff>
      <xdr:row>62</xdr:row>
      <xdr:rowOff>76200</xdr:rowOff>
    </xdr:from>
    <xdr:to>
      <xdr:col>60</xdr:col>
      <xdr:colOff>400050</xdr:colOff>
      <xdr:row>79</xdr:row>
      <xdr:rowOff>47625</xdr:rowOff>
    </xdr:to>
    <xdr:graphicFrame>
      <xdr:nvGraphicFramePr>
        <xdr:cNvPr id="5" name="Chart 5"/>
        <xdr:cNvGraphicFramePr/>
      </xdr:nvGraphicFramePr>
      <xdr:xfrm>
        <a:off x="41910000" y="10115550"/>
        <a:ext cx="5410200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B1:AD108"/>
  <sheetViews>
    <sheetView tabSelected="1" workbookViewId="0" topLeftCell="D1">
      <selection activeCell="F3" sqref="F3"/>
    </sheetView>
  </sheetViews>
  <sheetFormatPr defaultColWidth="9.140625" defaultRowHeight="12.75"/>
  <cols>
    <col min="2" max="2" width="10.28125" style="0" customWidth="1"/>
    <col min="3" max="3" width="29.57421875" style="0" customWidth="1"/>
    <col min="4" max="4" width="14.140625" style="0" customWidth="1"/>
    <col min="5" max="5" width="10.8515625" style="0" customWidth="1"/>
    <col min="6" max="6" width="10.00390625" style="0" customWidth="1"/>
    <col min="7" max="7" width="11.00390625" style="0" customWidth="1"/>
    <col min="12" max="12" width="11.00390625" style="0" customWidth="1"/>
    <col min="13" max="13" width="10.57421875" style="0" customWidth="1"/>
    <col min="15" max="15" width="12.28125" style="0" customWidth="1"/>
    <col min="16" max="16" width="11.140625" style="0" customWidth="1"/>
    <col min="18" max="19" width="9.00390625" style="0" customWidth="1"/>
    <col min="28" max="29" width="10.8515625" style="0" customWidth="1"/>
    <col min="30" max="30" width="14.8515625" style="0" customWidth="1"/>
    <col min="31" max="31" width="11.28125" style="0" customWidth="1"/>
    <col min="32" max="32" width="12.421875" style="0" customWidth="1"/>
    <col min="33" max="33" width="10.57421875" style="0" bestFit="1" customWidth="1"/>
    <col min="34" max="34" width="11.28125" style="0" customWidth="1"/>
    <col min="35" max="35" width="13.421875" style="0" customWidth="1"/>
    <col min="36" max="36" width="9.00390625" style="0" customWidth="1"/>
    <col min="37" max="37" width="11.57421875" style="0" customWidth="1"/>
    <col min="38" max="38" width="10.28125" style="0" customWidth="1"/>
    <col min="41" max="41" width="10.28125" style="0" bestFit="1" customWidth="1"/>
    <col min="45" max="45" width="10.00390625" style="0" customWidth="1"/>
    <col min="48" max="48" width="11.00390625" style="0" customWidth="1"/>
    <col min="49" max="49" width="9.57421875" style="0" bestFit="1" customWidth="1"/>
  </cols>
  <sheetData>
    <row r="1" ht="12.75">
      <c r="B1" s="4"/>
    </row>
    <row r="2" spans="2:12" ht="12.75">
      <c r="B2" s="295" t="s">
        <v>76</v>
      </c>
      <c r="C2" s="296"/>
      <c r="D2" s="63">
        <v>0.13346064814814815</v>
      </c>
      <c r="H2" t="s">
        <v>93</v>
      </c>
      <c r="L2" s="65"/>
    </row>
    <row r="3" spans="2:9" ht="12.75">
      <c r="B3" s="295" t="s">
        <v>75</v>
      </c>
      <c r="C3" s="296"/>
      <c r="D3" s="63">
        <v>0.9756365740740741</v>
      </c>
      <c r="H3" s="73" t="s">
        <v>79</v>
      </c>
      <c r="I3" s="74"/>
    </row>
    <row r="4" spans="2:9" ht="12.75">
      <c r="B4" s="295" t="s">
        <v>77</v>
      </c>
      <c r="C4" s="296"/>
      <c r="D4" s="64">
        <f>D2-D3</f>
        <v>-0.8421759259259259</v>
      </c>
      <c r="F4" s="215"/>
      <c r="H4" s="73" t="s">
        <v>80</v>
      </c>
      <c r="I4" s="74"/>
    </row>
    <row r="5" spans="6:9" ht="12.75">
      <c r="F5" s="215"/>
      <c r="H5" s="74" t="b">
        <v>1</v>
      </c>
      <c r="I5" s="74"/>
    </row>
    <row r="6" spans="8:9" ht="12.75">
      <c r="H6" s="74" t="b">
        <v>0</v>
      </c>
      <c r="I6" s="74"/>
    </row>
    <row r="7" spans="2:4" ht="12.75">
      <c r="B7" s="298" t="s">
        <v>27</v>
      </c>
      <c r="C7" s="299"/>
      <c r="D7" s="300"/>
    </row>
    <row r="8" spans="2:4" ht="12.75">
      <c r="B8" s="295" t="s">
        <v>28</v>
      </c>
      <c r="C8" s="296"/>
      <c r="D8" s="164">
        <v>50000</v>
      </c>
    </row>
    <row r="9" spans="2:4" ht="12.75">
      <c r="B9" s="295" t="s">
        <v>60</v>
      </c>
      <c r="C9" s="296"/>
      <c r="D9" s="165">
        <v>7</v>
      </c>
    </row>
    <row r="10" spans="2:4" ht="12.75">
      <c r="B10" s="295" t="s">
        <v>26</v>
      </c>
      <c r="C10" s="296"/>
      <c r="D10" s="166">
        <f>1/24</f>
        <v>0.041666666666666664</v>
      </c>
    </row>
    <row r="11" spans="2:4" ht="12.75" customHeight="1">
      <c r="B11" s="295" t="s">
        <v>81</v>
      </c>
      <c r="C11" s="296"/>
      <c r="D11" s="167">
        <v>104</v>
      </c>
    </row>
    <row r="12" spans="2:4" ht="12.75">
      <c r="B12" s="295" t="s">
        <v>78</v>
      </c>
      <c r="C12" s="296"/>
      <c r="D12" s="168" t="s">
        <v>80</v>
      </c>
    </row>
    <row r="13" spans="2:4" ht="12.75">
      <c r="B13" s="295" t="s">
        <v>92</v>
      </c>
      <c r="C13" s="296"/>
      <c r="D13" s="168" t="b">
        <v>1</v>
      </c>
    </row>
    <row r="14" spans="2:4" ht="12.75">
      <c r="B14" s="297" t="s">
        <v>175</v>
      </c>
      <c r="C14" s="297"/>
      <c r="D14" s="297"/>
    </row>
    <row r="15" spans="2:4" ht="12.75">
      <c r="B15" s="54" t="s">
        <v>167</v>
      </c>
      <c r="C15" s="54"/>
      <c r="D15" s="196">
        <f>0.096*2.065</f>
        <v>0.19824</v>
      </c>
    </row>
    <row r="16" spans="2:4" ht="12.75">
      <c r="B16" s="54" t="s">
        <v>168</v>
      </c>
      <c r="C16" s="54"/>
      <c r="D16" s="197">
        <v>0.0148381200925418</v>
      </c>
    </row>
    <row r="17" spans="2:4" ht="12.75">
      <c r="B17" s="54" t="s">
        <v>170</v>
      </c>
      <c r="C17" s="54"/>
      <c r="D17" s="196">
        <v>0.08615</v>
      </c>
    </row>
    <row r="18" spans="2:4" ht="12.75">
      <c r="B18" s="54" t="s">
        <v>171</v>
      </c>
      <c r="C18" s="54"/>
      <c r="D18" s="196">
        <v>0.094</v>
      </c>
    </row>
    <row r="19" spans="2:4" ht="12.75">
      <c r="B19" s="156" t="s">
        <v>173</v>
      </c>
      <c r="C19" s="54"/>
      <c r="D19" s="198">
        <v>2.86</v>
      </c>
    </row>
    <row r="20" spans="2:4" ht="12.75">
      <c r="B20" s="54" t="s">
        <v>169</v>
      </c>
      <c r="C20" s="54"/>
      <c r="D20" s="157">
        <f>1-D18</f>
        <v>0.906</v>
      </c>
    </row>
    <row r="21" spans="2:4" ht="12.75">
      <c r="B21" s="156" t="s">
        <v>170</v>
      </c>
      <c r="C21" s="54"/>
      <c r="D21" s="158">
        <f>D15*D16*D20*D17</f>
        <v>0.0002295903606306668</v>
      </c>
    </row>
    <row r="22" spans="2:4" ht="12.75">
      <c r="B22" s="156" t="s">
        <v>172</v>
      </c>
      <c r="C22" s="54"/>
      <c r="D22" s="158">
        <f>D15*D16*D17*D18*D19</f>
        <v>6.812701164674224E-05</v>
      </c>
    </row>
    <row r="23" spans="2:4" ht="12.75">
      <c r="B23" s="54" t="s">
        <v>174</v>
      </c>
      <c r="C23" s="54"/>
      <c r="D23" s="158">
        <f>D21+D22</f>
        <v>0.00029771737227740906</v>
      </c>
    </row>
    <row r="24" spans="2:5" ht="12.75" customHeight="1">
      <c r="B24" s="297" t="s">
        <v>23</v>
      </c>
      <c r="C24" s="297"/>
      <c r="D24" s="297"/>
      <c r="E24" s="297"/>
    </row>
    <row r="25" spans="2:5" ht="12.75">
      <c r="B25" s="302" t="s">
        <v>31</v>
      </c>
      <c r="C25" s="57" t="s">
        <v>143</v>
      </c>
      <c r="D25" s="57" t="s">
        <v>65</v>
      </c>
      <c r="E25" s="57" t="s">
        <v>114</v>
      </c>
    </row>
    <row r="26" spans="2:5" ht="12.75">
      <c r="B26" s="302"/>
      <c r="C26" s="54" t="s">
        <v>144</v>
      </c>
      <c r="D26" s="169">
        <v>2.6022</v>
      </c>
      <c r="E26" s="169">
        <v>1.2953</v>
      </c>
    </row>
    <row r="27" spans="2:5" ht="12.75">
      <c r="B27" s="301" t="s">
        <v>115</v>
      </c>
      <c r="C27" s="57" t="s">
        <v>143</v>
      </c>
      <c r="D27" s="57" t="s">
        <v>65</v>
      </c>
      <c r="E27" s="57" t="s">
        <v>165</v>
      </c>
    </row>
    <row r="28" spans="2:5" ht="12.75">
      <c r="B28" s="301"/>
      <c r="C28" s="54" t="s">
        <v>166</v>
      </c>
      <c r="D28" s="169">
        <v>1.39</v>
      </c>
      <c r="E28" s="170">
        <f>POISSON(0,D28,0)</f>
        <v>0.24907530463166822</v>
      </c>
    </row>
    <row r="29" spans="2:13" ht="12.75">
      <c r="B29" s="56" t="s">
        <v>112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</row>
    <row r="30" spans="2:13" ht="12.75" customHeight="1">
      <c r="B30" s="59" t="s">
        <v>110</v>
      </c>
      <c r="C30" s="59" t="s">
        <v>17</v>
      </c>
      <c r="D30" s="99" t="s">
        <v>110</v>
      </c>
      <c r="E30" s="99" t="s">
        <v>17</v>
      </c>
      <c r="F30" s="99" t="s">
        <v>110</v>
      </c>
      <c r="G30" s="99" t="s">
        <v>17</v>
      </c>
      <c r="H30" s="99" t="s">
        <v>110</v>
      </c>
      <c r="I30" s="99" t="s">
        <v>17</v>
      </c>
      <c r="J30" s="103" t="s">
        <v>111</v>
      </c>
      <c r="K30" s="59" t="s">
        <v>17</v>
      </c>
      <c r="L30" s="59" t="s">
        <v>61</v>
      </c>
      <c r="M30" s="59" t="s">
        <v>113</v>
      </c>
    </row>
    <row r="31" spans="2:13" ht="12.75">
      <c r="B31" s="53" t="s">
        <v>97</v>
      </c>
      <c r="C31" s="68">
        <f>10/54</f>
        <v>0.18518518518518517</v>
      </c>
      <c r="D31" s="100"/>
      <c r="E31" s="101"/>
      <c r="F31" s="101"/>
      <c r="G31" s="101"/>
      <c r="H31" s="101"/>
      <c r="I31" s="102"/>
      <c r="J31" s="200" t="s">
        <v>97</v>
      </c>
      <c r="K31" s="171">
        <f>C31</f>
        <v>0.18518518518518517</v>
      </c>
      <c r="L31" s="104">
        <f>K31/K40</f>
        <v>0.18518518518518517</v>
      </c>
      <c r="M31" s="142">
        <v>1</v>
      </c>
    </row>
    <row r="32" spans="2:13" ht="12.75" customHeight="1">
      <c r="B32" s="53" t="s">
        <v>98</v>
      </c>
      <c r="C32" s="67">
        <f>1-C31</f>
        <v>0.8148148148148149</v>
      </c>
      <c r="D32" s="53" t="s">
        <v>31</v>
      </c>
      <c r="E32" s="48">
        <v>0.75</v>
      </c>
      <c r="F32" s="53" t="s">
        <v>32</v>
      </c>
      <c r="G32" s="49">
        <f>(0.5-0.2)/2</f>
        <v>0.15</v>
      </c>
      <c r="H32" s="53" t="s">
        <v>99</v>
      </c>
      <c r="I32" s="105">
        <v>0.7887</v>
      </c>
      <c r="J32" s="200" t="s">
        <v>34</v>
      </c>
      <c r="K32" s="171">
        <f>C32*E32*G32*I32</f>
        <v>0.0722975</v>
      </c>
      <c r="L32" s="104">
        <f aca="true" t="shared" si="0" ref="L32:L39">K32/$K$40+L31</f>
        <v>0.2574826851851852</v>
      </c>
      <c r="M32" s="142">
        <v>2</v>
      </c>
    </row>
    <row r="33" spans="2:13" ht="12.75">
      <c r="B33" s="69"/>
      <c r="C33" s="9"/>
      <c r="D33" s="9"/>
      <c r="E33" s="9"/>
      <c r="F33" s="9"/>
      <c r="G33" s="9"/>
      <c r="H33" s="53" t="s">
        <v>100</v>
      </c>
      <c r="I33" s="51">
        <f>1-I32</f>
        <v>0.21130000000000004</v>
      </c>
      <c r="J33" s="200" t="s">
        <v>104</v>
      </c>
      <c r="K33" s="171">
        <f>C32*E32*G32*I33</f>
        <v>0.019369166666666673</v>
      </c>
      <c r="L33" s="104">
        <f t="shared" si="0"/>
        <v>0.27685185185185185</v>
      </c>
      <c r="M33" s="142">
        <v>3</v>
      </c>
    </row>
    <row r="34" spans="2:13" ht="12.75" customHeight="1">
      <c r="B34" s="69"/>
      <c r="C34" s="9"/>
      <c r="D34" s="9"/>
      <c r="E34" s="9"/>
      <c r="F34" s="53" t="s">
        <v>33</v>
      </c>
      <c r="G34" s="55">
        <f>1-G32</f>
        <v>0.85</v>
      </c>
      <c r="H34" s="53" t="s">
        <v>99</v>
      </c>
      <c r="I34" s="51">
        <f>I32/2</f>
        <v>0.39435</v>
      </c>
      <c r="J34" s="200" t="s">
        <v>35</v>
      </c>
      <c r="K34" s="171">
        <f>C32*E32*G34*I34</f>
        <v>0.20484291666666668</v>
      </c>
      <c r="L34" s="104">
        <f t="shared" si="0"/>
        <v>0.48169476851851856</v>
      </c>
      <c r="M34" s="142">
        <v>4</v>
      </c>
    </row>
    <row r="35" spans="2:13" ht="12.75">
      <c r="B35" s="69"/>
      <c r="C35" s="9"/>
      <c r="D35" s="9"/>
      <c r="E35" s="9"/>
      <c r="F35" s="9"/>
      <c r="G35" s="9"/>
      <c r="H35" s="53" t="s">
        <v>100</v>
      </c>
      <c r="I35" s="51">
        <f>1-I34</f>
        <v>0.60565</v>
      </c>
      <c r="J35" s="200" t="s">
        <v>105</v>
      </c>
      <c r="K35" s="171">
        <f>C32*E32*G34*I35</f>
        <v>0.31460152777777783</v>
      </c>
      <c r="L35" s="104">
        <f t="shared" si="0"/>
        <v>0.7962962962962964</v>
      </c>
      <c r="M35" s="142">
        <v>5</v>
      </c>
    </row>
    <row r="36" spans="2:13" ht="12.75">
      <c r="B36" s="69"/>
      <c r="C36" s="9"/>
      <c r="D36" s="53" t="s">
        <v>103</v>
      </c>
      <c r="E36" s="52">
        <f>1-E32</f>
        <v>0.25</v>
      </c>
      <c r="F36" s="53" t="s">
        <v>30</v>
      </c>
      <c r="G36" s="68">
        <f>1-G38</f>
        <v>0.896551724137931</v>
      </c>
      <c r="H36" s="53" t="s">
        <v>101</v>
      </c>
      <c r="I36" s="51">
        <f>1-I37</f>
        <v>0.9327929212128054</v>
      </c>
      <c r="J36" s="200" t="s">
        <v>106</v>
      </c>
      <c r="K36" s="171">
        <f>C32*E36*G36*I36</f>
        <v>0.17035681702864774</v>
      </c>
      <c r="L36" s="104">
        <f t="shared" si="0"/>
        <v>0.9666531133249441</v>
      </c>
      <c r="M36" s="142">
        <v>6</v>
      </c>
    </row>
    <row r="37" spans="2:13" ht="12.75" customHeight="1">
      <c r="B37" s="69"/>
      <c r="C37" s="9"/>
      <c r="D37" s="9"/>
      <c r="E37" s="9"/>
      <c r="F37" s="9"/>
      <c r="G37" s="9"/>
      <c r="H37" s="53" t="s">
        <v>102</v>
      </c>
      <c r="I37" s="51">
        <f>I39</f>
        <v>0.06720707878719459</v>
      </c>
      <c r="J37" s="200" t="s">
        <v>107</v>
      </c>
      <c r="K37" s="171">
        <f>C32*E36*G36*I37</f>
        <v>0.012274089740190073</v>
      </c>
      <c r="L37" s="104">
        <f t="shared" si="0"/>
        <v>0.9789272030651341</v>
      </c>
      <c r="M37" s="142">
        <v>7</v>
      </c>
    </row>
    <row r="38" spans="2:13" ht="12.75">
      <c r="B38" s="69"/>
      <c r="C38" s="9"/>
      <c r="D38" s="9"/>
      <c r="E38" s="9"/>
      <c r="F38" s="53" t="s">
        <v>29</v>
      </c>
      <c r="G38" s="106">
        <f>3/29</f>
        <v>0.10344827586206896</v>
      </c>
      <c r="H38" s="53" t="s">
        <v>101</v>
      </c>
      <c r="I38" s="51">
        <f>1-I39</f>
        <v>0.9327929212128054</v>
      </c>
      <c r="J38" s="200" t="s">
        <v>108</v>
      </c>
      <c r="K38" s="171">
        <f>C32*E36*G38*I38</f>
        <v>0.019656555810997817</v>
      </c>
      <c r="L38" s="104">
        <f t="shared" si="0"/>
        <v>0.9985837588761319</v>
      </c>
      <c r="M38" s="142">
        <v>8</v>
      </c>
    </row>
    <row r="39" spans="2:13" ht="12.75">
      <c r="B39" s="46"/>
      <c r="C39" s="31"/>
      <c r="D39" s="31"/>
      <c r="E39" s="31"/>
      <c r="F39" s="31"/>
      <c r="G39" s="31"/>
      <c r="H39" s="53" t="s">
        <v>102</v>
      </c>
      <c r="I39" s="50">
        <f>4/(((2*(1-0.96813))*871)+4)</f>
        <v>0.06720707878719459</v>
      </c>
      <c r="J39" s="200" t="s">
        <v>109</v>
      </c>
      <c r="K39" s="171">
        <f>C32*E36*G38*I39</f>
        <v>0.0014162411238680852</v>
      </c>
      <c r="L39" s="104">
        <f t="shared" si="0"/>
        <v>1</v>
      </c>
      <c r="M39" s="142">
        <v>9</v>
      </c>
    </row>
    <row r="40" spans="2:30" ht="12.75">
      <c r="B40" s="298" t="s">
        <v>43</v>
      </c>
      <c r="C40" s="299"/>
      <c r="D40" s="299"/>
      <c r="E40" s="299"/>
      <c r="F40" s="299"/>
      <c r="G40" s="299"/>
      <c r="H40" s="299"/>
      <c r="I40" s="299"/>
      <c r="J40" s="300"/>
      <c r="K40" s="51">
        <f>SUM(K31:K39)</f>
        <v>1</v>
      </c>
      <c r="AD40" s="43"/>
    </row>
    <row r="41" spans="2:30" ht="12.75" customHeight="1">
      <c r="B41" s="59" t="s">
        <v>38</v>
      </c>
      <c r="C41" s="59" t="s">
        <v>39</v>
      </c>
      <c r="D41" s="59" t="s">
        <v>42</v>
      </c>
      <c r="E41" s="248" t="s">
        <v>41</v>
      </c>
      <c r="F41" s="69"/>
      <c r="G41" s="9"/>
      <c r="H41" s="10"/>
      <c r="I41" s="284" t="s">
        <v>448</v>
      </c>
      <c r="J41" s="318"/>
      <c r="AD41" s="43"/>
    </row>
    <row r="42" spans="2:10" ht="12.75" customHeight="1">
      <c r="B42" s="48">
        <v>67.225</v>
      </c>
      <c r="C42" s="48">
        <v>-1.1969</v>
      </c>
      <c r="D42" s="52">
        <f>4.18+E42</f>
        <v>1.9847999999999857</v>
      </c>
      <c r="E42" s="55">
        <f>B42+C42*D44</f>
        <v>-2.195200000000014</v>
      </c>
      <c r="F42" s="46"/>
      <c r="G42" s="31"/>
      <c r="H42" s="11"/>
      <c r="I42" s="319"/>
      <c r="J42" s="320"/>
    </row>
    <row r="43" spans="2:17" ht="12.75">
      <c r="B43" s="57" t="s">
        <v>36</v>
      </c>
      <c r="C43" s="57" t="s">
        <v>18</v>
      </c>
      <c r="D43" s="57" t="s">
        <v>40</v>
      </c>
      <c r="E43" s="57" t="s">
        <v>44</v>
      </c>
      <c r="F43" s="59" t="s">
        <v>8</v>
      </c>
      <c r="G43" s="59" t="s">
        <v>45</v>
      </c>
      <c r="H43" s="59" t="s">
        <v>47</v>
      </c>
      <c r="I43" s="321"/>
      <c r="J43" s="322"/>
      <c r="M43" s="288" t="s">
        <v>178</v>
      </c>
      <c r="N43" s="289"/>
      <c r="O43" s="289"/>
      <c r="P43" s="289"/>
      <c r="Q43" s="290"/>
    </row>
    <row r="44" spans="2:17" ht="12.75">
      <c r="B44" s="205">
        <f>-EXP(D42)</f>
        <v>-7.27759172154746</v>
      </c>
      <c r="C44" s="205">
        <f>EXP(E42)</f>
        <v>0.11133629201963281</v>
      </c>
      <c r="D44" s="202">
        <v>58</v>
      </c>
      <c r="E44" s="224">
        <v>1</v>
      </c>
      <c r="F44" s="203">
        <v>0.11</v>
      </c>
      <c r="G44" s="203">
        <v>0.25</v>
      </c>
      <c r="H44" s="204">
        <v>0</v>
      </c>
      <c r="I44" s="52">
        <f>IF(E44=0,1,J44)</f>
        <v>0.5</v>
      </c>
      <c r="J44" s="223">
        <v>0.5</v>
      </c>
      <c r="M44" s="112" t="s">
        <v>6</v>
      </c>
      <c r="N44" s="112" t="s">
        <v>0</v>
      </c>
      <c r="O44" s="112" t="s">
        <v>1</v>
      </c>
      <c r="P44" s="112"/>
      <c r="Q44" s="112" t="s">
        <v>2</v>
      </c>
    </row>
    <row r="45" spans="2:17" ht="12.75" customHeight="1">
      <c r="B45" s="297" t="s">
        <v>164</v>
      </c>
      <c r="C45" s="297"/>
      <c r="D45" s="297"/>
      <c r="E45" s="297"/>
      <c r="F45" s="297"/>
      <c r="G45" s="297"/>
      <c r="H45" s="297"/>
      <c r="I45" s="297"/>
      <c r="J45" s="297"/>
      <c r="K45" s="297"/>
      <c r="M45" s="178" t="s">
        <v>3</v>
      </c>
      <c r="N45" s="179">
        <v>-0.9337</v>
      </c>
      <c r="O45" s="179">
        <v>0.2108</v>
      </c>
      <c r="P45" s="179"/>
      <c r="Q45" s="179">
        <v>-0.8272</v>
      </c>
    </row>
    <row r="46" spans="2:17" ht="12.75">
      <c r="B46" s="306" t="s">
        <v>24</v>
      </c>
      <c r="C46" s="57" t="s">
        <v>6</v>
      </c>
      <c r="D46" s="57" t="s">
        <v>0</v>
      </c>
      <c r="E46" s="57" t="s">
        <v>1</v>
      </c>
      <c r="F46" s="57" t="s">
        <v>18</v>
      </c>
      <c r="G46" s="57" t="s">
        <v>19</v>
      </c>
      <c r="H46" s="57" t="s">
        <v>12</v>
      </c>
      <c r="I46" s="57" t="s">
        <v>20</v>
      </c>
      <c r="J46" s="57" t="s">
        <v>4</v>
      </c>
      <c r="K46" s="57" t="s">
        <v>176</v>
      </c>
      <c r="M46" s="180"/>
      <c r="N46" s="181"/>
      <c r="O46" s="181"/>
      <c r="P46" s="181"/>
      <c r="Q46" s="182"/>
    </row>
    <row r="47" spans="2:17" ht="12.75">
      <c r="B47" s="307"/>
      <c r="C47" s="60" t="s">
        <v>3</v>
      </c>
      <c r="D47" s="172">
        <v>-1.0063</v>
      </c>
      <c r="E47" s="172">
        <v>0.2219</v>
      </c>
      <c r="F47" s="172">
        <v>0.4007</v>
      </c>
      <c r="G47" s="206">
        <v>45.5733</v>
      </c>
      <c r="H47" s="207">
        <v>0.3864</v>
      </c>
      <c r="I47" s="206">
        <v>0.303</v>
      </c>
      <c r="J47" s="208">
        <f>10.59</f>
        <v>10.59</v>
      </c>
      <c r="K47" s="209">
        <v>1</v>
      </c>
      <c r="M47" s="183" t="s">
        <v>3</v>
      </c>
      <c r="N47" s="184">
        <v>-0.9337</v>
      </c>
      <c r="O47" s="184">
        <v>0.2108</v>
      </c>
      <c r="P47" s="184"/>
      <c r="Q47" s="184">
        <v>-0.8272</v>
      </c>
    </row>
    <row r="48" spans="2:17" ht="12.75">
      <c r="B48" s="306" t="s">
        <v>10</v>
      </c>
      <c r="C48" s="57" t="s">
        <v>6</v>
      </c>
      <c r="D48" s="57" t="s">
        <v>2</v>
      </c>
      <c r="E48" s="57" t="s">
        <v>1</v>
      </c>
      <c r="F48" s="57" t="s">
        <v>7</v>
      </c>
      <c r="G48" s="58" t="s">
        <v>8</v>
      </c>
      <c r="H48" s="57" t="s">
        <v>9</v>
      </c>
      <c r="I48" s="7"/>
      <c r="J48" s="7"/>
      <c r="K48" s="8"/>
      <c r="M48" s="185" t="s">
        <v>179</v>
      </c>
      <c r="N48" s="186">
        <v>0.29</v>
      </c>
      <c r="O48" s="186">
        <v>0.01323</v>
      </c>
      <c r="P48" s="186"/>
      <c r="Q48" s="186">
        <v>0.2377</v>
      </c>
    </row>
    <row r="49" spans="2:17" ht="12.75">
      <c r="B49" s="307"/>
      <c r="C49" s="60" t="s">
        <v>3</v>
      </c>
      <c r="D49" s="169">
        <f>N58</f>
        <v>1.3103</v>
      </c>
      <c r="E49" s="169">
        <f>O58</f>
        <v>-1.5087</v>
      </c>
      <c r="F49" s="169">
        <f>P58</f>
        <v>0.0751</v>
      </c>
      <c r="G49" s="169">
        <f>Q58</f>
        <v>3.4825</v>
      </c>
      <c r="H49" s="169">
        <v>1</v>
      </c>
      <c r="I49" s="9"/>
      <c r="J49" s="9"/>
      <c r="K49" s="10"/>
      <c r="M49" s="291" t="s">
        <v>180</v>
      </c>
      <c r="N49" s="292"/>
      <c r="O49" s="292"/>
      <c r="P49" s="292"/>
      <c r="Q49" s="293"/>
    </row>
    <row r="50" spans="2:17" ht="12.75">
      <c r="B50" s="306" t="s">
        <v>25</v>
      </c>
      <c r="C50" s="57" t="s">
        <v>6</v>
      </c>
      <c r="D50" s="57" t="s">
        <v>21</v>
      </c>
      <c r="E50" s="57" t="s">
        <v>4</v>
      </c>
      <c r="F50" s="57" t="s">
        <v>5</v>
      </c>
      <c r="G50" s="57" t="s">
        <v>67</v>
      </c>
      <c r="H50" s="9"/>
      <c r="I50" s="9"/>
      <c r="J50" s="9"/>
      <c r="K50" s="10"/>
      <c r="M50" s="12" t="s">
        <v>0</v>
      </c>
      <c r="N50" s="186">
        <v>1</v>
      </c>
      <c r="O50" s="186">
        <v>-0.8249</v>
      </c>
      <c r="P50" s="186"/>
      <c r="Q50" s="186">
        <v>-0.05672</v>
      </c>
    </row>
    <row r="51" spans="2:17" ht="12.75">
      <c r="B51" s="307"/>
      <c r="C51" s="54" t="s">
        <v>3</v>
      </c>
      <c r="D51" s="169">
        <v>0.385</v>
      </c>
      <c r="E51" s="52">
        <f>5.5+LOG(50)</f>
        <v>7.198970004336019</v>
      </c>
      <c r="F51" s="210">
        <f>1/((2*EXP(G51))-1)</f>
        <v>0.003380361849030984</v>
      </c>
      <c r="G51" s="169">
        <v>5</v>
      </c>
      <c r="H51" s="47"/>
      <c r="I51" s="47"/>
      <c r="J51" s="47"/>
      <c r="K51" s="11"/>
      <c r="M51" s="12" t="s">
        <v>1</v>
      </c>
      <c r="N51" s="186">
        <v>-0.8249</v>
      </c>
      <c r="O51" s="186">
        <v>1</v>
      </c>
      <c r="P51" s="186"/>
      <c r="Q51" s="186">
        <v>-0.06133</v>
      </c>
    </row>
    <row r="52" spans="2:17" ht="12.75" customHeight="1">
      <c r="B52" s="56" t="s">
        <v>150</v>
      </c>
      <c r="C52" s="61"/>
      <c r="D52" s="122"/>
      <c r="E52" s="122"/>
      <c r="F52" s="122"/>
      <c r="G52" s="62"/>
      <c r="M52" s="12" t="s">
        <v>2</v>
      </c>
      <c r="N52" s="186">
        <v>-0.05672</v>
      </c>
      <c r="O52" s="186">
        <v>-0.06133</v>
      </c>
      <c r="P52" s="186"/>
      <c r="Q52" s="186">
        <v>1</v>
      </c>
    </row>
    <row r="53" spans="2:8" ht="12.75">
      <c r="B53" s="124"/>
      <c r="C53" s="125" t="s">
        <v>22</v>
      </c>
      <c r="D53" s="57" t="s">
        <v>143</v>
      </c>
      <c r="E53" s="57" t="s">
        <v>133</v>
      </c>
      <c r="F53" s="57" t="s">
        <v>65</v>
      </c>
      <c r="G53" s="57" t="s">
        <v>120</v>
      </c>
      <c r="H53" s="57" t="s">
        <v>69</v>
      </c>
    </row>
    <row r="54" spans="2:17" ht="12.75">
      <c r="B54" s="301" t="s">
        <v>15</v>
      </c>
      <c r="C54" s="54" t="s">
        <v>121</v>
      </c>
      <c r="D54" s="142" t="s">
        <v>496</v>
      </c>
      <c r="E54" s="143" t="s">
        <v>122</v>
      </c>
      <c r="F54" s="173">
        <v>4.31748811353631</v>
      </c>
      <c r="G54" s="173">
        <v>0.15</v>
      </c>
      <c r="H54" s="140"/>
      <c r="I54" s="42"/>
      <c r="M54" s="294" t="s">
        <v>181</v>
      </c>
      <c r="N54" s="294"/>
      <c r="O54" s="294"/>
      <c r="P54" s="294"/>
      <c r="Q54" s="294"/>
    </row>
    <row r="55" spans="2:17" ht="12.75">
      <c r="B55" s="301"/>
      <c r="C55" s="54" t="s">
        <v>123</v>
      </c>
      <c r="D55" s="142" t="s">
        <v>144</v>
      </c>
      <c r="E55" s="144" t="s">
        <v>124</v>
      </c>
      <c r="F55" s="174">
        <v>4.00821865700821</v>
      </c>
      <c r="G55" s="174">
        <v>0.135650468237415</v>
      </c>
      <c r="H55" s="222"/>
      <c r="M55" s="112" t="s">
        <v>6</v>
      </c>
      <c r="N55" s="112" t="s">
        <v>2</v>
      </c>
      <c r="O55" s="112" t="s">
        <v>1</v>
      </c>
      <c r="P55" s="112" t="s">
        <v>7</v>
      </c>
      <c r="Q55" s="112" t="s">
        <v>8</v>
      </c>
    </row>
    <row r="56" spans="2:17" ht="12.75">
      <c r="B56" s="301"/>
      <c r="C56" s="54" t="s">
        <v>125</v>
      </c>
      <c r="D56" s="142" t="s">
        <v>144</v>
      </c>
      <c r="E56" s="144" t="s">
        <v>124</v>
      </c>
      <c r="F56" s="175">
        <v>3.92090838855044</v>
      </c>
      <c r="G56" s="174">
        <v>0.135185874756946</v>
      </c>
      <c r="H56" s="222"/>
      <c r="M56" s="178" t="s">
        <v>3</v>
      </c>
      <c r="N56" s="187">
        <v>1.3103</v>
      </c>
      <c r="O56" s="187">
        <v>-1.5087</v>
      </c>
      <c r="P56" s="187">
        <v>0.0751</v>
      </c>
      <c r="Q56" s="187">
        <v>3.4825</v>
      </c>
    </row>
    <row r="57" spans="2:17" ht="12.75">
      <c r="B57" s="301"/>
      <c r="C57" s="54" t="s">
        <v>126</v>
      </c>
      <c r="D57" s="142" t="s">
        <v>144</v>
      </c>
      <c r="E57" s="144" t="s">
        <v>124</v>
      </c>
      <c r="F57" s="175">
        <v>3.85663678195239</v>
      </c>
      <c r="G57" s="174">
        <v>0.150187715500713</v>
      </c>
      <c r="H57" s="222"/>
      <c r="K57" s="42"/>
      <c r="M57" s="188"/>
      <c r="N57" s="101"/>
      <c r="O57" s="101"/>
      <c r="P57" s="101"/>
      <c r="Q57" s="102"/>
    </row>
    <row r="58" spans="2:17" ht="12.75" customHeight="1">
      <c r="B58" s="301"/>
      <c r="C58" s="54" t="s">
        <v>127</v>
      </c>
      <c r="D58" s="142" t="s">
        <v>144</v>
      </c>
      <c r="E58" s="144" t="s">
        <v>124</v>
      </c>
      <c r="F58" s="175">
        <v>3.96907711455376</v>
      </c>
      <c r="G58" s="175">
        <v>0.139034376724942</v>
      </c>
      <c r="H58" s="222"/>
      <c r="M58" s="183" t="s">
        <v>3</v>
      </c>
      <c r="N58" s="187">
        <v>1.3103</v>
      </c>
      <c r="O58" s="187">
        <v>-1.5087</v>
      </c>
      <c r="P58" s="187">
        <v>0.0751</v>
      </c>
      <c r="Q58" s="187">
        <v>3.4825</v>
      </c>
    </row>
    <row r="59" spans="2:17" ht="12.75">
      <c r="B59" s="301"/>
      <c r="C59" s="54" t="s">
        <v>128</v>
      </c>
      <c r="D59" s="142" t="s">
        <v>144</v>
      </c>
      <c r="E59" s="143" t="s">
        <v>122</v>
      </c>
      <c r="F59" s="173">
        <v>3.87181622685358</v>
      </c>
      <c r="G59" s="173">
        <v>0.150187715500713</v>
      </c>
      <c r="H59" s="222"/>
      <c r="M59" s="185" t="s">
        <v>182</v>
      </c>
      <c r="N59" s="109">
        <v>0.1117</v>
      </c>
      <c r="O59" s="109">
        <v>0.8829</v>
      </c>
      <c r="P59" s="109">
        <v>0.0226</v>
      </c>
      <c r="Q59" s="109">
        <v>0.4299</v>
      </c>
    </row>
    <row r="60" spans="2:17" ht="12.75" customHeight="1">
      <c r="B60" s="301"/>
      <c r="C60" s="54" t="s">
        <v>129</v>
      </c>
      <c r="D60" s="142" t="s">
        <v>144</v>
      </c>
      <c r="E60" s="143" t="s">
        <v>122</v>
      </c>
      <c r="F60" s="173">
        <v>3.9403663273607</v>
      </c>
      <c r="G60" s="173">
        <v>0.15</v>
      </c>
      <c r="H60" s="222"/>
      <c r="M60" s="291" t="s">
        <v>180</v>
      </c>
      <c r="N60" s="292"/>
      <c r="O60" s="292"/>
      <c r="P60" s="292"/>
      <c r="Q60" s="293"/>
    </row>
    <row r="61" spans="2:17" ht="12.75">
      <c r="B61" s="301"/>
      <c r="C61" s="54" t="s">
        <v>130</v>
      </c>
      <c r="D61" s="142" t="s">
        <v>144</v>
      </c>
      <c r="E61" s="144" t="s">
        <v>124</v>
      </c>
      <c r="F61" s="175">
        <v>3.66251320133881</v>
      </c>
      <c r="G61" s="175">
        <v>0.0985752391414834</v>
      </c>
      <c r="H61" s="222"/>
      <c r="M61" s="12" t="s">
        <v>2</v>
      </c>
      <c r="N61" s="189">
        <v>1</v>
      </c>
      <c r="O61" s="189">
        <v>0</v>
      </c>
      <c r="P61" s="189">
        <v>0</v>
      </c>
      <c r="Q61" s="189">
        <v>-0.0504</v>
      </c>
    </row>
    <row r="62" spans="2:29" ht="12.75">
      <c r="B62" s="301"/>
      <c r="C62" s="54" t="s">
        <v>131</v>
      </c>
      <c r="D62" s="142" t="s">
        <v>144</v>
      </c>
      <c r="E62" s="144" t="s">
        <v>124</v>
      </c>
      <c r="F62" s="175">
        <v>4.41517228858431</v>
      </c>
      <c r="G62" s="175">
        <v>0.141863452976118</v>
      </c>
      <c r="H62" s="222"/>
      <c r="M62" s="12" t="s">
        <v>1</v>
      </c>
      <c r="N62" s="189">
        <v>0</v>
      </c>
      <c r="O62" s="189">
        <v>1</v>
      </c>
      <c r="P62" s="189">
        <v>-0.9937</v>
      </c>
      <c r="Q62" s="189">
        <v>0.9718</v>
      </c>
      <c r="AB62" s="19"/>
      <c r="AC62" s="16"/>
    </row>
    <row r="63" spans="2:29" ht="12.75">
      <c r="B63" s="301"/>
      <c r="C63" s="54" t="s">
        <v>132</v>
      </c>
      <c r="D63" s="142" t="s">
        <v>144</v>
      </c>
      <c r="E63" s="144" t="s">
        <v>124</v>
      </c>
      <c r="F63" s="175">
        <v>3.65664066920212</v>
      </c>
      <c r="G63" s="175">
        <v>0.1061442844933</v>
      </c>
      <c r="H63" s="222"/>
      <c r="M63" s="12" t="s">
        <v>7</v>
      </c>
      <c r="N63" s="189">
        <v>0</v>
      </c>
      <c r="O63" s="189">
        <v>-0.9937</v>
      </c>
      <c r="P63" s="189">
        <v>1</v>
      </c>
      <c r="Q63" s="189">
        <v>-0.9452</v>
      </c>
      <c r="AB63" s="19"/>
      <c r="AC63" s="16"/>
    </row>
    <row r="64" spans="2:29" ht="12.75">
      <c r="B64" s="301" t="s">
        <v>14</v>
      </c>
      <c r="C64" s="54" t="s">
        <v>121</v>
      </c>
      <c r="D64" s="142" t="s">
        <v>144</v>
      </c>
      <c r="E64" s="143" t="s">
        <v>122</v>
      </c>
      <c r="F64" s="173">
        <v>0</v>
      </c>
      <c r="G64" s="173">
        <v>0.5</v>
      </c>
      <c r="H64" s="223">
        <v>2</v>
      </c>
      <c r="M64" s="12" t="s">
        <v>8</v>
      </c>
      <c r="N64" s="189">
        <v>-0.0504</v>
      </c>
      <c r="O64" s="189">
        <v>0.9718</v>
      </c>
      <c r="P64" s="189">
        <v>-0.9452</v>
      </c>
      <c r="Q64" s="189">
        <v>1</v>
      </c>
      <c r="AB64" s="19"/>
      <c r="AC64" s="16"/>
    </row>
    <row r="65" spans="2:29" ht="12.75" customHeight="1">
      <c r="B65" s="301"/>
      <c r="C65" s="54" t="s">
        <v>123</v>
      </c>
      <c r="D65" s="142" t="s">
        <v>144</v>
      </c>
      <c r="E65" s="144" t="s">
        <v>124</v>
      </c>
      <c r="F65" s="174">
        <v>0.72085880120916</v>
      </c>
      <c r="G65" s="174">
        <v>0.594326532941044</v>
      </c>
      <c r="H65" s="222"/>
      <c r="AB65" s="19"/>
      <c r="AC65" s="16"/>
    </row>
    <row r="66" spans="2:29" ht="12.75">
      <c r="B66" s="301"/>
      <c r="C66" s="54" t="s">
        <v>125</v>
      </c>
      <c r="D66" s="142" t="s">
        <v>144</v>
      </c>
      <c r="E66" s="143" t="s">
        <v>122</v>
      </c>
      <c r="F66" s="173">
        <v>-1.38629436111989</v>
      </c>
      <c r="G66" s="173">
        <v>0.59</v>
      </c>
      <c r="H66" s="222"/>
      <c r="AB66" s="19"/>
      <c r="AC66" s="16"/>
    </row>
    <row r="67" spans="2:29" ht="12.75">
      <c r="B67" s="301"/>
      <c r="C67" s="54" t="s">
        <v>126</v>
      </c>
      <c r="D67" s="142" t="s">
        <v>144</v>
      </c>
      <c r="E67" s="144" t="s">
        <v>124</v>
      </c>
      <c r="F67" s="175">
        <v>-0.0435488475713404</v>
      </c>
      <c r="G67" s="175">
        <v>1.33255196812443</v>
      </c>
      <c r="H67" s="222"/>
      <c r="AB67" s="19"/>
      <c r="AC67" s="16"/>
    </row>
    <row r="68" spans="2:29" ht="12.75">
      <c r="B68" s="301"/>
      <c r="C68" s="54" t="s">
        <v>127</v>
      </c>
      <c r="D68" s="142" t="s">
        <v>144</v>
      </c>
      <c r="E68" s="144" t="s">
        <v>124</v>
      </c>
      <c r="F68" s="175">
        <v>0.666719189276523</v>
      </c>
      <c r="G68" s="175">
        <v>0.886681909108197</v>
      </c>
      <c r="H68" s="222"/>
      <c r="AB68" s="19"/>
      <c r="AC68" s="16"/>
    </row>
    <row r="69" spans="2:29" ht="12.75">
      <c r="B69" s="301"/>
      <c r="C69" s="54" t="s">
        <v>128</v>
      </c>
      <c r="D69" s="142" t="s">
        <v>144</v>
      </c>
      <c r="E69" s="143" t="s">
        <v>122</v>
      </c>
      <c r="F69" s="173">
        <v>0.0523373374031212</v>
      </c>
      <c r="G69" s="173">
        <v>1.33255196812443</v>
      </c>
      <c r="H69" s="222"/>
      <c r="AB69" s="19"/>
      <c r="AC69" s="16"/>
    </row>
    <row r="70" spans="2:29" ht="12.75">
      <c r="B70" s="301"/>
      <c r="C70" s="54" t="s">
        <v>129</v>
      </c>
      <c r="D70" s="142" t="s">
        <v>144</v>
      </c>
      <c r="E70" s="143" t="s">
        <v>122</v>
      </c>
      <c r="F70" s="173">
        <v>-0.693147180559945</v>
      </c>
      <c r="G70" s="173">
        <v>0.59</v>
      </c>
      <c r="H70" s="222"/>
      <c r="AB70" s="19"/>
      <c r="AC70" s="16"/>
    </row>
    <row r="71" spans="2:8" ht="12.75">
      <c r="B71" s="301"/>
      <c r="C71" s="54" t="s">
        <v>130</v>
      </c>
      <c r="D71" s="142" t="s">
        <v>144</v>
      </c>
      <c r="E71" s="144" t="s">
        <v>124</v>
      </c>
      <c r="F71" s="175">
        <v>2.3308199228008</v>
      </c>
      <c r="G71" s="175">
        <v>0.585177925409157</v>
      </c>
      <c r="H71" s="222"/>
    </row>
    <row r="72" spans="2:15" ht="12.75">
      <c r="B72" s="301"/>
      <c r="C72" s="54" t="s">
        <v>131</v>
      </c>
      <c r="D72" s="142" t="s">
        <v>144</v>
      </c>
      <c r="E72" s="144" t="s">
        <v>124</v>
      </c>
      <c r="F72" s="175">
        <v>-3.12074968021485</v>
      </c>
      <c r="G72" s="175">
        <v>0.373169863350261</v>
      </c>
      <c r="H72" s="222"/>
      <c r="O72" s="126"/>
    </row>
    <row r="73" spans="2:8" ht="12.75">
      <c r="B73" s="301"/>
      <c r="C73" s="60" t="s">
        <v>132</v>
      </c>
      <c r="D73" s="146" t="s">
        <v>144</v>
      </c>
      <c r="E73" s="145" t="s">
        <v>122</v>
      </c>
      <c r="F73" s="176">
        <v>1.77767403074471</v>
      </c>
      <c r="G73" s="176">
        <v>0.585177925409157</v>
      </c>
      <c r="H73" s="18"/>
    </row>
    <row r="74" spans="2:8" ht="12.75">
      <c r="B74" s="305" t="s">
        <v>146</v>
      </c>
      <c r="C74" s="148" t="s">
        <v>151</v>
      </c>
      <c r="D74" s="149"/>
      <c r="E74" s="303" t="s">
        <v>149</v>
      </c>
      <c r="F74" s="303"/>
      <c r="G74" s="303"/>
      <c r="H74" s="304"/>
    </row>
    <row r="75" spans="2:8" ht="12.75">
      <c r="B75" s="301"/>
      <c r="C75" s="147" t="s">
        <v>22</v>
      </c>
      <c r="D75" s="59" t="s">
        <v>143</v>
      </c>
      <c r="E75" s="177">
        <v>0</v>
      </c>
      <c r="F75" s="177">
        <v>0.01</v>
      </c>
      <c r="G75" s="177">
        <v>0.1</v>
      </c>
      <c r="H75" s="177">
        <v>1</v>
      </c>
    </row>
    <row r="76" spans="2:8" ht="12.75" customHeight="1">
      <c r="B76" s="301"/>
      <c r="C76" s="141" t="s">
        <v>147</v>
      </c>
      <c r="D76" s="53" t="s">
        <v>145</v>
      </c>
      <c r="E76" s="170">
        <v>0</v>
      </c>
      <c r="F76" s="170">
        <v>0</v>
      </c>
      <c r="G76" s="170">
        <v>0</v>
      </c>
      <c r="H76" s="170">
        <v>1</v>
      </c>
    </row>
    <row r="77" spans="2:16" ht="12.75">
      <c r="B77" s="301"/>
      <c r="C77" s="141" t="s">
        <v>148</v>
      </c>
      <c r="D77" s="53" t="s">
        <v>145</v>
      </c>
      <c r="E77" s="170">
        <v>0</v>
      </c>
      <c r="F77" s="170">
        <v>0</v>
      </c>
      <c r="G77" s="170">
        <v>0</v>
      </c>
      <c r="H77" s="170">
        <v>1</v>
      </c>
      <c r="J77" s="312" t="s">
        <v>82</v>
      </c>
      <c r="K77" s="313"/>
      <c r="L77" s="313"/>
      <c r="M77" s="313"/>
      <c r="N77" s="313"/>
      <c r="O77" s="313"/>
      <c r="P77" s="314"/>
    </row>
    <row r="78" spans="2:16" ht="12.75">
      <c r="B78" s="301"/>
      <c r="C78" s="141" t="s">
        <v>123</v>
      </c>
      <c r="D78" s="53" t="s">
        <v>145</v>
      </c>
      <c r="E78" s="170">
        <v>0</v>
      </c>
      <c r="F78" s="170">
        <v>0.01</v>
      </c>
      <c r="G78" s="170">
        <v>1</v>
      </c>
      <c r="H78" s="170">
        <v>1</v>
      </c>
      <c r="J78" s="155" t="s">
        <v>88</v>
      </c>
      <c r="K78" s="155" t="s">
        <v>83</v>
      </c>
      <c r="L78" s="323" t="s">
        <v>84</v>
      </c>
      <c r="M78" s="323"/>
      <c r="N78" s="323"/>
      <c r="O78" s="323"/>
      <c r="P78" s="323"/>
    </row>
    <row r="79" spans="2:16" ht="12.75">
      <c r="B79" s="301"/>
      <c r="C79" s="141" t="s">
        <v>125</v>
      </c>
      <c r="D79" s="53" t="s">
        <v>145</v>
      </c>
      <c r="E79" s="170">
        <v>0</v>
      </c>
      <c r="F79" s="170">
        <v>0.01</v>
      </c>
      <c r="G79" s="170">
        <v>1</v>
      </c>
      <c r="H79" s="170">
        <v>1</v>
      </c>
      <c r="J79" s="159" t="s">
        <v>86</v>
      </c>
      <c r="K79" s="160">
        <v>0.01</v>
      </c>
      <c r="L79" s="310" t="s">
        <v>91</v>
      </c>
      <c r="M79" s="310"/>
      <c r="N79" s="310"/>
      <c r="O79" s="310"/>
      <c r="P79" s="310"/>
    </row>
    <row r="80" spans="2:16" ht="12.75">
      <c r="B80" s="301"/>
      <c r="C80" s="141" t="s">
        <v>126</v>
      </c>
      <c r="D80" s="53" t="s">
        <v>145</v>
      </c>
      <c r="E80" s="170">
        <v>0</v>
      </c>
      <c r="F80" s="170">
        <v>0.01</v>
      </c>
      <c r="G80" s="170">
        <v>1</v>
      </c>
      <c r="H80" s="170">
        <v>1</v>
      </c>
      <c r="J80" s="159" t="s">
        <v>87</v>
      </c>
      <c r="K80" s="160">
        <v>0.1</v>
      </c>
      <c r="L80" s="310" t="s">
        <v>90</v>
      </c>
      <c r="M80" s="310"/>
      <c r="N80" s="310"/>
      <c r="O80" s="310"/>
      <c r="P80" s="310"/>
    </row>
    <row r="81" spans="2:16" ht="12.75">
      <c r="B81" s="301"/>
      <c r="C81" s="141" t="s">
        <v>127</v>
      </c>
      <c r="D81" s="53" t="s">
        <v>145</v>
      </c>
      <c r="E81" s="170">
        <v>0</v>
      </c>
      <c r="F81" s="170">
        <v>1</v>
      </c>
      <c r="G81" s="170">
        <v>1</v>
      </c>
      <c r="H81" s="170">
        <v>1</v>
      </c>
      <c r="J81" s="161"/>
      <c r="K81" s="160">
        <v>1</v>
      </c>
      <c r="L81" s="310" t="s">
        <v>89</v>
      </c>
      <c r="M81" s="310"/>
      <c r="N81" s="310"/>
      <c r="O81" s="310"/>
      <c r="P81" s="310"/>
    </row>
    <row r="82" spans="2:16" ht="12.75">
      <c r="B82" s="301"/>
      <c r="C82" s="141" t="s">
        <v>128</v>
      </c>
      <c r="D82" s="53" t="s">
        <v>145</v>
      </c>
      <c r="E82" s="170">
        <v>0</v>
      </c>
      <c r="F82" s="170">
        <v>0.99</v>
      </c>
      <c r="G82" s="170">
        <v>1</v>
      </c>
      <c r="H82" s="170">
        <v>1</v>
      </c>
      <c r="J82" s="162"/>
      <c r="K82" s="163">
        <f>0.11*60</f>
        <v>6.6</v>
      </c>
      <c r="L82" s="310" t="s">
        <v>85</v>
      </c>
      <c r="M82" s="310"/>
      <c r="N82" s="310"/>
      <c r="O82" s="310"/>
      <c r="P82" s="310"/>
    </row>
    <row r="83" spans="2:8" ht="12.75">
      <c r="B83" s="301"/>
      <c r="C83" s="141" t="s">
        <v>129</v>
      </c>
      <c r="D83" s="53" t="s">
        <v>145</v>
      </c>
      <c r="E83" s="170">
        <v>0</v>
      </c>
      <c r="F83" s="170">
        <v>0.99</v>
      </c>
      <c r="G83" s="170">
        <v>1</v>
      </c>
      <c r="H83" s="170">
        <v>1</v>
      </c>
    </row>
    <row r="84" spans="2:8" ht="12.75">
      <c r="B84" s="301"/>
      <c r="C84" s="141" t="s">
        <v>130</v>
      </c>
      <c r="D84" s="53" t="s">
        <v>145</v>
      </c>
      <c r="E84" s="170">
        <v>0</v>
      </c>
      <c r="F84" s="170">
        <v>0.2</v>
      </c>
      <c r="G84" s="170">
        <v>1</v>
      </c>
      <c r="H84" s="170">
        <v>1</v>
      </c>
    </row>
    <row r="85" spans="2:8" ht="12.75">
      <c r="B85" s="301"/>
      <c r="C85" s="141" t="s">
        <v>131</v>
      </c>
      <c r="D85" s="53" t="s">
        <v>145</v>
      </c>
      <c r="E85" s="170">
        <v>0</v>
      </c>
      <c r="F85" s="170">
        <v>0</v>
      </c>
      <c r="G85" s="170">
        <v>1</v>
      </c>
      <c r="H85" s="170">
        <v>1</v>
      </c>
    </row>
    <row r="86" spans="2:8" ht="12.75">
      <c r="B86" s="301"/>
      <c r="C86" s="141" t="s">
        <v>132</v>
      </c>
      <c r="D86" s="53" t="s">
        <v>145</v>
      </c>
      <c r="E86" s="170">
        <v>0</v>
      </c>
      <c r="F86" s="170">
        <v>0</v>
      </c>
      <c r="G86" s="170">
        <v>0.55</v>
      </c>
      <c r="H86" s="170">
        <v>1</v>
      </c>
    </row>
    <row r="87" spans="2:7" ht="12.75">
      <c r="B87" s="56" t="s">
        <v>163</v>
      </c>
      <c r="C87" s="122"/>
      <c r="D87" s="122"/>
      <c r="E87" s="122"/>
      <c r="F87" s="122"/>
      <c r="G87" s="123"/>
    </row>
    <row r="88" spans="2:7" ht="12.75">
      <c r="B88" s="302" t="s">
        <v>162</v>
      </c>
      <c r="C88" s="150" t="s">
        <v>152</v>
      </c>
      <c r="D88" s="125" t="s">
        <v>17</v>
      </c>
      <c r="E88" s="283" t="s">
        <v>153</v>
      </c>
      <c r="F88" s="283"/>
      <c r="G88" s="283"/>
    </row>
    <row r="89" spans="2:7" ht="12.75">
      <c r="B89" s="302"/>
      <c r="C89" s="151" t="s">
        <v>154</v>
      </c>
      <c r="D89" s="190">
        <f>1-(D96+D97)</f>
        <v>0.46629723922848443</v>
      </c>
      <c r="E89" s="154"/>
      <c r="F89" s="59" t="s">
        <v>17</v>
      </c>
      <c r="G89" s="59" t="s">
        <v>61</v>
      </c>
    </row>
    <row r="90" spans="2:7" ht="12.75">
      <c r="B90" s="302"/>
      <c r="C90" s="287" t="s">
        <v>157</v>
      </c>
      <c r="D90" s="287"/>
      <c r="E90" s="191">
        <v>0.94</v>
      </c>
      <c r="F90" s="169">
        <v>0.12</v>
      </c>
      <c r="G90" s="52">
        <f>F90/F96</f>
        <v>0.12</v>
      </c>
    </row>
    <row r="91" spans="2:7" ht="12.75">
      <c r="B91" s="302"/>
      <c r="C91" s="311" t="s">
        <v>158</v>
      </c>
      <c r="D91" s="311"/>
      <c r="E91" s="191">
        <v>1.76</v>
      </c>
      <c r="F91" s="169">
        <v>0.135</v>
      </c>
      <c r="G91" s="52">
        <f>F91/$F$96+G90</f>
        <v>0.255</v>
      </c>
    </row>
    <row r="92" spans="2:7" ht="12.75">
      <c r="B92" s="302"/>
      <c r="C92" s="311" t="s">
        <v>159</v>
      </c>
      <c r="D92" s="311"/>
      <c r="E92" s="191">
        <v>4.93333333333333</v>
      </c>
      <c r="F92" s="169">
        <v>0.235</v>
      </c>
      <c r="G92" s="52">
        <f>F92/$F$96+G91</f>
        <v>0.49</v>
      </c>
    </row>
    <row r="93" spans="2:7" ht="12.75">
      <c r="B93" s="302"/>
      <c r="C93" s="311" t="s">
        <v>159</v>
      </c>
      <c r="D93" s="311"/>
      <c r="E93" s="191">
        <v>6.09</v>
      </c>
      <c r="F93" s="169">
        <v>0.235</v>
      </c>
      <c r="G93" s="52">
        <f>F93/$F$96+G92</f>
        <v>0.725</v>
      </c>
    </row>
    <row r="94" spans="2:7" ht="12.75">
      <c r="B94" s="302"/>
      <c r="C94" s="311" t="s">
        <v>160</v>
      </c>
      <c r="D94" s="311"/>
      <c r="E94" s="191">
        <v>6.32444444444444</v>
      </c>
      <c r="F94" s="169">
        <v>0.135</v>
      </c>
      <c r="G94" s="52">
        <f>F94/$F$96+G93</f>
        <v>0.86</v>
      </c>
    </row>
    <row r="95" spans="2:7" ht="12.75">
      <c r="B95" s="302"/>
      <c r="C95" s="311" t="s">
        <v>161</v>
      </c>
      <c r="D95" s="311"/>
      <c r="E95" s="191">
        <v>8</v>
      </c>
      <c r="F95" s="169">
        <v>0.14</v>
      </c>
      <c r="G95" s="52">
        <f>F95/$F$96+G94</f>
        <v>1</v>
      </c>
    </row>
    <row r="96" spans="2:6" ht="12.75">
      <c r="B96" s="302"/>
      <c r="C96" s="153" t="s">
        <v>155</v>
      </c>
      <c r="D96" s="192">
        <v>0.00334211191063663</v>
      </c>
      <c r="E96" s="193">
        <v>0</v>
      </c>
      <c r="F96">
        <f>SUM(F90:F95)</f>
        <v>1</v>
      </c>
    </row>
    <row r="97" spans="2:5" ht="12.75">
      <c r="B97" s="302"/>
      <c r="C97" s="152" t="s">
        <v>156</v>
      </c>
      <c r="D97" s="192">
        <v>0.530360648860879</v>
      </c>
      <c r="E97" s="169">
        <v>12</v>
      </c>
    </row>
    <row r="98" spans="2:4" ht="12.75">
      <c r="B98" s="317" t="s">
        <v>177</v>
      </c>
      <c r="C98" s="285"/>
      <c r="D98" s="286"/>
    </row>
    <row r="99" spans="2:4" ht="12.75">
      <c r="B99" s="316" t="s">
        <v>62</v>
      </c>
      <c r="C99" s="316"/>
      <c r="D99" s="194">
        <v>0.135</v>
      </c>
    </row>
    <row r="100" spans="2:4" ht="12.75">
      <c r="B100" s="316" t="s">
        <v>63</v>
      </c>
      <c r="C100" s="316"/>
      <c r="D100" s="194">
        <v>0.55</v>
      </c>
    </row>
    <row r="101" spans="2:4" ht="12.75">
      <c r="B101" s="298" t="s">
        <v>139</v>
      </c>
      <c r="C101" s="299"/>
      <c r="D101" s="315"/>
    </row>
    <row r="102" spans="2:4" ht="12.75">
      <c r="B102" s="308" t="s">
        <v>142</v>
      </c>
      <c r="C102" s="309"/>
      <c r="D102" s="140"/>
    </row>
    <row r="103" spans="2:4" ht="12.75">
      <c r="B103" s="308"/>
      <c r="C103" s="309"/>
      <c r="D103" s="18"/>
    </row>
    <row r="104" spans="2:4" ht="12.75">
      <c r="B104" s="308" t="s">
        <v>65</v>
      </c>
      <c r="C104" s="308"/>
      <c r="D104" s="195">
        <v>0.469474797182437</v>
      </c>
    </row>
    <row r="105" spans="2:4" ht="12.75">
      <c r="B105" s="308" t="s">
        <v>21</v>
      </c>
      <c r="C105" s="308"/>
      <c r="D105" s="170">
        <v>1.16123779211185</v>
      </c>
    </row>
    <row r="106" spans="2:3" ht="12.75">
      <c r="B106" s="298" t="s">
        <v>136</v>
      </c>
      <c r="C106" s="300"/>
    </row>
    <row r="107" spans="2:3" ht="12.75">
      <c r="B107" s="54" t="s">
        <v>137</v>
      </c>
      <c r="C107" s="169">
        <v>0.1324</v>
      </c>
    </row>
    <row r="108" spans="2:3" ht="12.75">
      <c r="B108" s="54" t="s">
        <v>138</v>
      </c>
      <c r="C108" s="169">
        <v>51.45</v>
      </c>
    </row>
  </sheetData>
  <mergeCells count="50">
    <mergeCell ref="M43:Q43"/>
    <mergeCell ref="M49:Q49"/>
    <mergeCell ref="M54:Q54"/>
    <mergeCell ref="E88:G88"/>
    <mergeCell ref="I41:J43"/>
    <mergeCell ref="L81:P81"/>
    <mergeCell ref="L79:P79"/>
    <mergeCell ref="L78:P78"/>
    <mergeCell ref="M60:Q60"/>
    <mergeCell ref="L80:P80"/>
    <mergeCell ref="C93:D93"/>
    <mergeCell ref="B100:C100"/>
    <mergeCell ref="C90:D90"/>
    <mergeCell ref="B88:B97"/>
    <mergeCell ref="B101:D101"/>
    <mergeCell ref="C94:D94"/>
    <mergeCell ref="C95:D95"/>
    <mergeCell ref="B99:C99"/>
    <mergeCell ref="B98:D98"/>
    <mergeCell ref="L82:P82"/>
    <mergeCell ref="B13:C13"/>
    <mergeCell ref="C91:D91"/>
    <mergeCell ref="C92:D92"/>
    <mergeCell ref="B54:B63"/>
    <mergeCell ref="B46:B47"/>
    <mergeCell ref="B48:B49"/>
    <mergeCell ref="B40:J40"/>
    <mergeCell ref="B45:K45"/>
    <mergeCell ref="J77:P77"/>
    <mergeCell ref="B102:C103"/>
    <mergeCell ref="B104:C104"/>
    <mergeCell ref="B105:C105"/>
    <mergeCell ref="B106:C106"/>
    <mergeCell ref="B27:B28"/>
    <mergeCell ref="B25:B26"/>
    <mergeCell ref="B24:E24"/>
    <mergeCell ref="E74:H74"/>
    <mergeCell ref="B64:B73"/>
    <mergeCell ref="B74:B86"/>
    <mergeCell ref="B50:B51"/>
    <mergeCell ref="B4:C4"/>
    <mergeCell ref="B2:C2"/>
    <mergeCell ref="B3:C3"/>
    <mergeCell ref="B14:D14"/>
    <mergeCell ref="B7:D7"/>
    <mergeCell ref="B8:C8"/>
    <mergeCell ref="B11:C11"/>
    <mergeCell ref="B9:C9"/>
    <mergeCell ref="B12:C12"/>
    <mergeCell ref="B10:C10"/>
  </mergeCells>
  <dataValidations count="2">
    <dataValidation type="list" allowBlank="1" showInputMessage="1" showErrorMessage="1" promptTitle="Lag Method" prompt="Select &#10;ResetLag or AccumulateLag" errorTitle="Lag Method" error="Select ResetLag or AccumulateLag" sqref="D12">
      <formula1>$H$3:$H$4</formula1>
    </dataValidation>
    <dataValidation type="list" allowBlank="1" showInputMessage="1" showErrorMessage="1" promptTitle="Stochastic Growth?" prompt="Pick &quot;True&quot; if you wish to use the stochastic growth model.  Pick &quot;False&quot; if you wish to use the deterministic growth model." errorTitle="Stochastic growth" error="Select TRUE or FALSE" sqref="D13">
      <formula1>$H$5:$H$6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2:BU196"/>
  <sheetViews>
    <sheetView workbookViewId="0" topLeftCell="AT27">
      <selection activeCell="AY37" sqref="AY37"/>
    </sheetView>
  </sheetViews>
  <sheetFormatPr defaultColWidth="9.140625" defaultRowHeight="12.75"/>
  <cols>
    <col min="4" max="4" width="15.28125" style="0" bestFit="1" customWidth="1"/>
    <col min="5" max="5" width="11.8515625" style="0" bestFit="1" customWidth="1"/>
    <col min="6" max="6" width="13.00390625" style="0" bestFit="1" customWidth="1"/>
    <col min="8" max="8" width="11.00390625" style="0" customWidth="1"/>
    <col min="9" max="9" width="14.7109375" style="0" bestFit="1" customWidth="1"/>
    <col min="12" max="12" width="11.7109375" style="0" customWidth="1"/>
    <col min="13" max="13" width="14.00390625" style="0" bestFit="1" customWidth="1"/>
    <col min="14" max="14" width="11.28125" style="0" customWidth="1"/>
    <col min="15" max="15" width="10.7109375" style="0" customWidth="1"/>
    <col min="16" max="16" width="11.28125" style="0" customWidth="1"/>
    <col min="17" max="17" width="14.8515625" style="0" bestFit="1" customWidth="1"/>
    <col min="21" max="21" width="14.8515625" style="0" bestFit="1" customWidth="1"/>
    <col min="25" max="25" width="14.8515625" style="0" bestFit="1" customWidth="1"/>
    <col min="26" max="26" width="11.421875" style="0" customWidth="1"/>
    <col min="27" max="27" width="12.28125" style="0" bestFit="1" customWidth="1"/>
    <col min="28" max="28" width="13.140625" style="0" customWidth="1"/>
    <col min="29" max="29" width="14.8515625" style="0" bestFit="1" customWidth="1"/>
    <col min="30" max="30" width="12.28125" style="0" bestFit="1" customWidth="1"/>
    <col min="31" max="32" width="13.8515625" style="0" bestFit="1" customWidth="1"/>
    <col min="33" max="33" width="14.8515625" style="0" bestFit="1" customWidth="1"/>
    <col min="34" max="35" width="13.8515625" style="0" bestFit="1" customWidth="1"/>
    <col min="37" max="37" width="14.8515625" style="0" bestFit="1" customWidth="1"/>
    <col min="41" max="41" width="13.57421875" style="0" customWidth="1"/>
    <col min="42" max="42" width="12.28125" style="0" customWidth="1"/>
    <col min="45" max="45" width="11.28125" style="0" customWidth="1"/>
    <col min="46" max="46" width="12.28125" style="0" customWidth="1"/>
    <col min="50" max="50" width="27.140625" style="0" customWidth="1"/>
    <col min="51" max="51" width="15.28125" style="0" bestFit="1" customWidth="1"/>
    <col min="52" max="52" width="16.421875" style="0" customWidth="1"/>
    <col min="54" max="54" width="12.7109375" style="0" bestFit="1" customWidth="1"/>
    <col min="56" max="56" width="10.421875" style="0" customWidth="1"/>
    <col min="57" max="57" width="10.28125" style="0" bestFit="1" customWidth="1"/>
    <col min="59" max="59" width="10.7109375" style="0" bestFit="1" customWidth="1"/>
    <col min="60" max="60" width="13.28125" style="0" customWidth="1"/>
    <col min="66" max="66" width="11.7109375" style="0" bestFit="1" customWidth="1"/>
    <col min="68" max="68" width="11.7109375" style="0" bestFit="1" customWidth="1"/>
    <col min="69" max="69" width="10.57421875" style="0" customWidth="1"/>
    <col min="70" max="70" width="11.00390625" style="0" customWidth="1"/>
  </cols>
  <sheetData>
    <row r="2" spans="24:35" ht="12.75">
      <c r="X2" t="s">
        <v>384</v>
      </c>
      <c r="Z2" t="s">
        <v>386</v>
      </c>
      <c r="AA2" t="s">
        <v>387</v>
      </c>
      <c r="AB2" t="s">
        <v>389</v>
      </c>
      <c r="AC2" t="s">
        <v>388</v>
      </c>
      <c r="AD2" t="s">
        <v>390</v>
      </c>
      <c r="AE2" t="s">
        <v>391</v>
      </c>
      <c r="AF2" t="s">
        <v>389</v>
      </c>
      <c r="AG2" t="s">
        <v>392</v>
      </c>
      <c r="AH2" t="s">
        <v>389</v>
      </c>
      <c r="AI2" t="s">
        <v>393</v>
      </c>
    </row>
    <row r="3" spans="8:35" ht="12.75">
      <c r="H3" s="112" t="s">
        <v>288</v>
      </c>
      <c r="I3" s="112" t="s">
        <v>302</v>
      </c>
      <c r="J3" s="112" t="s">
        <v>292</v>
      </c>
      <c r="K3" s="112" t="s">
        <v>293</v>
      </c>
      <c r="L3" s="112" t="s">
        <v>298</v>
      </c>
      <c r="M3" s="112" t="s">
        <v>294</v>
      </c>
      <c r="N3" s="112" t="s">
        <v>299</v>
      </c>
      <c r="O3" s="112" t="s">
        <v>295</v>
      </c>
      <c r="P3" s="112" t="s">
        <v>300</v>
      </c>
      <c r="Q3" s="112" t="s">
        <v>296</v>
      </c>
      <c r="R3" s="112" t="s">
        <v>301</v>
      </c>
      <c r="S3" s="112" t="s">
        <v>297</v>
      </c>
      <c r="X3" t="s">
        <v>282</v>
      </c>
      <c r="Z3" s="43">
        <f>E52</f>
        <v>445699.3444865418</v>
      </c>
      <c r="AA3" s="43">
        <f>I52</f>
        <v>95391019.35214664</v>
      </c>
      <c r="AB3" s="43">
        <f>M52</f>
        <v>100011141.21384336</v>
      </c>
      <c r="AC3" s="43">
        <f>Q52</f>
        <v>190821433.9286798</v>
      </c>
      <c r="AD3" s="43">
        <f>U52</f>
        <v>190821433.9286798</v>
      </c>
      <c r="AE3" s="43">
        <f>Y52</f>
        <v>271924437.82194823</v>
      </c>
      <c r="AF3" s="43">
        <f>AC52</f>
        <v>293234729.2272489</v>
      </c>
      <c r="AG3" s="43">
        <f>AG52</f>
        <v>312664140.5237909</v>
      </c>
      <c r="AH3" s="43">
        <f>AK52</f>
        <v>321790425.0920566</v>
      </c>
      <c r="AI3" s="43">
        <f>AO52</f>
        <v>339343304.11180365</v>
      </c>
    </row>
    <row r="4" spans="8:35" ht="12.75">
      <c r="H4" s="337" t="s">
        <v>289</v>
      </c>
      <c r="I4" s="337" t="s">
        <v>290</v>
      </c>
      <c r="J4" s="337" t="s">
        <v>123</v>
      </c>
      <c r="K4" s="337"/>
      <c r="L4" s="337" t="s">
        <v>125</v>
      </c>
      <c r="M4" s="337"/>
      <c r="N4" s="337" t="s">
        <v>126</v>
      </c>
      <c r="O4" s="337"/>
      <c r="P4" s="337" t="s">
        <v>127</v>
      </c>
      <c r="Q4" s="337"/>
      <c r="R4" s="337" t="s">
        <v>128</v>
      </c>
      <c r="S4" s="337"/>
      <c r="W4" t="s">
        <v>50</v>
      </c>
      <c r="X4" t="s">
        <v>394</v>
      </c>
      <c r="Y4" t="s">
        <v>385</v>
      </c>
      <c r="Z4" s="43">
        <f>E62</f>
        <v>445699.3444865418</v>
      </c>
      <c r="AA4" s="43">
        <f>I62</f>
        <v>95391019.35214664</v>
      </c>
      <c r="AB4" s="43">
        <f>M62</f>
        <v>100011141.21384336</v>
      </c>
      <c r="AC4" s="43">
        <f>Q62</f>
        <v>190821433.9286798</v>
      </c>
      <c r="AD4" s="43">
        <f>U62</f>
        <v>181820.8719</v>
      </c>
      <c r="AE4" s="43">
        <f>Y62</f>
        <v>284784572.6833978</v>
      </c>
      <c r="AF4" s="43">
        <f>AC62</f>
        <v>313009878.1894247</v>
      </c>
      <c r="AG4" s="43">
        <f>AG62</f>
        <v>334542374.1314005</v>
      </c>
      <c r="AH4" s="43">
        <f>AK62</f>
        <v>342838408.87082446</v>
      </c>
      <c r="AI4" s="43">
        <f>AO62</f>
        <v>359612871.5385412</v>
      </c>
    </row>
    <row r="5" spans="3:35" ht="12.75">
      <c r="C5" t="s">
        <v>283</v>
      </c>
      <c r="D5" t="s">
        <v>284</v>
      </c>
      <c r="E5" t="s">
        <v>285</v>
      </c>
      <c r="F5" t="s">
        <v>286</v>
      </c>
      <c r="H5" s="337"/>
      <c r="I5" s="337"/>
      <c r="J5" s="229" t="s">
        <v>65</v>
      </c>
      <c r="K5" s="229" t="s">
        <v>291</v>
      </c>
      <c r="L5" s="229" t="s">
        <v>65</v>
      </c>
      <c r="M5" s="229" t="s">
        <v>291</v>
      </c>
      <c r="N5" s="229" t="s">
        <v>65</v>
      </c>
      <c r="O5" s="229" t="s">
        <v>291</v>
      </c>
      <c r="P5" s="229" t="s">
        <v>65</v>
      </c>
      <c r="Q5" s="229" t="s">
        <v>291</v>
      </c>
      <c r="R5" s="229" t="s">
        <v>65</v>
      </c>
      <c r="S5" s="229" t="s">
        <v>291</v>
      </c>
      <c r="X5" t="s">
        <v>395</v>
      </c>
      <c r="Z5" s="43">
        <f>E72</f>
        <v>445699.3444865418</v>
      </c>
      <c r="AA5" s="43">
        <f>I72</f>
        <v>95391019.35214664</v>
      </c>
      <c r="AB5" s="43">
        <f>M72</f>
        <v>100011141.21384336</v>
      </c>
      <c r="AC5" s="43">
        <f>Q72</f>
        <v>190821433.9286798</v>
      </c>
      <c r="AD5" s="43">
        <f>U72</f>
        <v>1810.53598</v>
      </c>
      <c r="AE5" s="43">
        <f>Y72</f>
        <v>266014821.28668782</v>
      </c>
      <c r="AF5" s="43">
        <f>AC72</f>
        <v>289910944.46549666</v>
      </c>
      <c r="AG5" s="43">
        <f>AG72</f>
        <v>308391884.5794832</v>
      </c>
      <c r="AH5" s="43">
        <f>AK72</f>
        <v>315326343.7952562</v>
      </c>
      <c r="AI5" s="43">
        <f>AO72</f>
        <v>329641536.13518935</v>
      </c>
    </row>
    <row r="6" spans="3:35" ht="12.75">
      <c r="C6">
        <v>1</v>
      </c>
      <c r="D6">
        <v>45</v>
      </c>
      <c r="E6">
        <v>1.5</v>
      </c>
      <c r="F6">
        <v>0</v>
      </c>
      <c r="H6" s="225">
        <f>F6</f>
        <v>0</v>
      </c>
      <c r="I6" s="226">
        <f>E6</f>
        <v>1.5</v>
      </c>
      <c r="J6" s="227">
        <v>3.8066625</v>
      </c>
      <c r="K6" s="227">
        <v>1E-06</v>
      </c>
      <c r="L6" s="227">
        <v>3.8066625</v>
      </c>
      <c r="M6" s="227">
        <v>1E-06</v>
      </c>
      <c r="N6" s="227">
        <v>3.8066625</v>
      </c>
      <c r="O6" s="227">
        <v>1E-06</v>
      </c>
      <c r="P6" s="227">
        <v>3.8066625</v>
      </c>
      <c r="Q6" s="227">
        <v>1E-06</v>
      </c>
      <c r="R6" s="227">
        <v>3.8066625</v>
      </c>
      <c r="S6" s="227">
        <v>1E-06</v>
      </c>
      <c r="X6" t="s">
        <v>282</v>
      </c>
      <c r="Z6" s="230">
        <f>D52</f>
        <v>0.06968815639314722</v>
      </c>
      <c r="AA6" s="230">
        <f>H52</f>
        <v>0.07386891142122308</v>
      </c>
      <c r="AB6" s="230">
        <f>L52</f>
        <v>0.07438092664570475</v>
      </c>
      <c r="AC6" s="230">
        <f>P52</f>
        <v>0.07931563888206904</v>
      </c>
      <c r="AD6" s="230">
        <f>T52</f>
        <v>0.07931563888206904</v>
      </c>
      <c r="AE6" s="230">
        <f>X52</f>
        <v>0.0830384624569347</v>
      </c>
      <c r="AF6" s="230">
        <f>AB52</f>
        <v>0.08411368850097484</v>
      </c>
      <c r="AG6" s="230">
        <f>AF52</f>
        <v>0.09862122106595397</v>
      </c>
      <c r="AH6" s="230">
        <f>AJ52</f>
        <v>0.09929495426741373</v>
      </c>
      <c r="AI6" s="230">
        <f>AN52</f>
        <v>0.1117305454334173</v>
      </c>
    </row>
    <row r="7" spans="3:35" ht="12.75">
      <c r="C7">
        <v>2</v>
      </c>
      <c r="D7">
        <v>45</v>
      </c>
      <c r="E7">
        <v>1</v>
      </c>
      <c r="F7">
        <v>0</v>
      </c>
      <c r="H7" s="225">
        <f aca="true" t="shared" si="0" ref="H7:H35">F7</f>
        <v>0</v>
      </c>
      <c r="I7" s="226">
        <f aca="true" t="shared" si="1" ref="I7:I35">E7</f>
        <v>1</v>
      </c>
      <c r="J7" s="227">
        <v>3.8066625</v>
      </c>
      <c r="K7" s="227">
        <v>1E-06</v>
      </c>
      <c r="L7" s="227">
        <v>3.8066625</v>
      </c>
      <c r="M7" s="227">
        <v>1E-06</v>
      </c>
      <c r="N7" s="227">
        <v>3.8066625</v>
      </c>
      <c r="O7" s="227">
        <v>1E-06</v>
      </c>
      <c r="P7" s="227">
        <v>3.8066625</v>
      </c>
      <c r="Q7" s="227">
        <v>1E-06</v>
      </c>
      <c r="R7" s="227">
        <v>3.8066625</v>
      </c>
      <c r="S7" s="227">
        <v>1E-06</v>
      </c>
      <c r="W7" t="s">
        <v>10</v>
      </c>
      <c r="X7" t="s">
        <v>394</v>
      </c>
      <c r="Z7" s="230">
        <f>D62</f>
        <v>0.06968815639314722</v>
      </c>
      <c r="AA7" s="230">
        <f>H62</f>
        <v>0.07386891142122308</v>
      </c>
      <c r="AB7" s="230">
        <f>L62</f>
        <v>0.07438092664570475</v>
      </c>
      <c r="AC7" s="230">
        <f>P62</f>
        <v>0.07931563888206904</v>
      </c>
      <c r="AD7" s="230">
        <f>T62</f>
        <v>1</v>
      </c>
      <c r="AE7" s="230">
        <f>X62</f>
        <v>1</v>
      </c>
      <c r="AF7" s="230">
        <f>AB62</f>
        <v>1</v>
      </c>
      <c r="AG7" s="230">
        <f>AF62</f>
        <v>1</v>
      </c>
      <c r="AH7" s="230">
        <f>AJ62</f>
        <v>1</v>
      </c>
      <c r="AI7" s="230">
        <f>AN62</f>
        <v>1</v>
      </c>
    </row>
    <row r="8" spans="3:35" ht="12.75">
      <c r="C8">
        <v>3</v>
      </c>
      <c r="D8">
        <v>45</v>
      </c>
      <c r="E8">
        <v>0.5</v>
      </c>
      <c r="F8">
        <v>0</v>
      </c>
      <c r="H8" s="225">
        <f t="shared" si="0"/>
        <v>0</v>
      </c>
      <c r="I8" s="226">
        <f t="shared" si="1"/>
        <v>0.5</v>
      </c>
      <c r="J8" s="227">
        <v>3.8066625</v>
      </c>
      <c r="K8" s="227">
        <v>1E-06</v>
      </c>
      <c r="L8" s="227">
        <v>3.8066625</v>
      </c>
      <c r="M8" s="227">
        <v>1E-06</v>
      </c>
      <c r="N8" s="227">
        <v>3.8066625</v>
      </c>
      <c r="O8" s="227">
        <v>1E-06</v>
      </c>
      <c r="P8" s="227">
        <v>3.8066625</v>
      </c>
      <c r="Q8" s="227">
        <v>1E-06</v>
      </c>
      <c r="R8" s="227">
        <v>3.8066625</v>
      </c>
      <c r="S8" s="227">
        <v>1E-06</v>
      </c>
      <c r="X8" t="s">
        <v>395</v>
      </c>
      <c r="Z8" s="230">
        <f>D72</f>
        <v>0.06968815639314722</v>
      </c>
      <c r="AA8" s="230">
        <f>H72</f>
        <v>0.07386891142122308</v>
      </c>
      <c r="AB8" s="230">
        <f>L72</f>
        <v>0.07438092664570475</v>
      </c>
      <c r="AC8" s="230">
        <f>P72</f>
        <v>0.07931563888206904</v>
      </c>
      <c r="AD8" s="230">
        <f>T72</f>
        <v>1</v>
      </c>
      <c r="AE8" s="230">
        <f>X72</f>
        <v>1</v>
      </c>
      <c r="AF8" s="230">
        <f>AB72</f>
        <v>1</v>
      </c>
      <c r="AG8" s="230">
        <f>AF72</f>
        <v>1</v>
      </c>
      <c r="AH8" s="230">
        <f>AJ72</f>
        <v>1</v>
      </c>
      <c r="AI8" s="230">
        <f>AN72</f>
        <v>1</v>
      </c>
    </row>
    <row r="9" spans="3:35" ht="12.75">
      <c r="C9">
        <v>4</v>
      </c>
      <c r="D9">
        <v>53</v>
      </c>
      <c r="E9">
        <v>1.5</v>
      </c>
      <c r="F9">
        <v>0</v>
      </c>
      <c r="H9" s="225">
        <f t="shared" si="0"/>
        <v>0</v>
      </c>
      <c r="I9" s="226">
        <f t="shared" si="1"/>
        <v>1.5</v>
      </c>
      <c r="J9" s="228">
        <v>3.970292</v>
      </c>
      <c r="K9" s="227">
        <v>1E-06</v>
      </c>
      <c r="L9" s="228">
        <v>3.970292</v>
      </c>
      <c r="M9" s="227">
        <v>1E-06</v>
      </c>
      <c r="N9" s="228">
        <v>3.970292</v>
      </c>
      <c r="O9" s="227">
        <v>1E-06</v>
      </c>
      <c r="P9" s="228">
        <v>3.970292</v>
      </c>
      <c r="Q9" s="227">
        <v>1E-06</v>
      </c>
      <c r="R9" s="228">
        <v>3.970292</v>
      </c>
      <c r="S9" s="227">
        <v>1E-06</v>
      </c>
      <c r="Z9" s="230"/>
      <c r="AA9" s="230"/>
      <c r="AB9" s="230"/>
      <c r="AC9" s="230"/>
      <c r="AD9" s="230"/>
      <c r="AE9" s="230"/>
      <c r="AF9" s="230"/>
      <c r="AG9" s="230"/>
      <c r="AH9" s="230"/>
      <c r="AI9" s="230"/>
    </row>
    <row r="10" spans="3:35" ht="12.75">
      <c r="C10">
        <v>5</v>
      </c>
      <c r="D10">
        <v>53</v>
      </c>
      <c r="E10">
        <v>1</v>
      </c>
      <c r="F10">
        <v>0</v>
      </c>
      <c r="H10" s="225">
        <f t="shared" si="0"/>
        <v>0</v>
      </c>
      <c r="I10" s="226">
        <f t="shared" si="1"/>
        <v>1</v>
      </c>
      <c r="J10" s="228">
        <v>3.970292</v>
      </c>
      <c r="K10" s="227">
        <v>1E-06</v>
      </c>
      <c r="L10" s="228">
        <v>3.970292</v>
      </c>
      <c r="M10" s="227">
        <v>1E-06</v>
      </c>
      <c r="N10" s="228">
        <v>3.970292</v>
      </c>
      <c r="O10" s="227">
        <v>1E-06</v>
      </c>
      <c r="P10" s="228">
        <v>3.970292</v>
      </c>
      <c r="Q10" s="227">
        <v>1E-06</v>
      </c>
      <c r="R10" s="228">
        <v>3.970292</v>
      </c>
      <c r="S10" s="227">
        <v>1E-06</v>
      </c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</row>
    <row r="11" spans="3:35" ht="12.75">
      <c r="C11">
        <v>6</v>
      </c>
      <c r="D11">
        <v>53</v>
      </c>
      <c r="E11">
        <v>0.5</v>
      </c>
      <c r="F11">
        <v>0</v>
      </c>
      <c r="H11" s="225">
        <f t="shared" si="0"/>
        <v>0</v>
      </c>
      <c r="I11" s="226">
        <f t="shared" si="1"/>
        <v>0.5</v>
      </c>
      <c r="J11" s="228">
        <v>3.970292</v>
      </c>
      <c r="K11" s="227">
        <v>1E-06</v>
      </c>
      <c r="L11" s="228">
        <v>3.970292</v>
      </c>
      <c r="M11" s="227">
        <v>1E-06</v>
      </c>
      <c r="N11" s="228">
        <v>3.970292</v>
      </c>
      <c r="O11" s="227">
        <v>1E-06</v>
      </c>
      <c r="P11" s="228">
        <v>3.970292</v>
      </c>
      <c r="Q11" s="227">
        <v>1E-06</v>
      </c>
      <c r="R11" s="228">
        <v>3.970292</v>
      </c>
      <c r="S11" s="227">
        <v>1E-06</v>
      </c>
      <c r="Y11" t="s">
        <v>50</v>
      </c>
      <c r="Z11" s="6">
        <v>2</v>
      </c>
      <c r="AA11" s="230"/>
      <c r="AB11" s="230"/>
      <c r="AC11" s="230"/>
      <c r="AD11" s="230"/>
      <c r="AE11" s="230"/>
      <c r="AF11" s="230"/>
      <c r="AG11" s="230"/>
      <c r="AH11" s="230"/>
      <c r="AI11" s="230"/>
    </row>
    <row r="12" spans="3:35" ht="12.75">
      <c r="C12">
        <v>7</v>
      </c>
      <c r="D12">
        <v>60</v>
      </c>
      <c r="E12">
        <v>1.5</v>
      </c>
      <c r="F12">
        <v>0</v>
      </c>
      <c r="H12" s="225">
        <f t="shared" si="0"/>
        <v>0</v>
      </c>
      <c r="I12" s="226">
        <f t="shared" si="1"/>
        <v>1.5</v>
      </c>
      <c r="J12" s="228">
        <v>4.0943445</v>
      </c>
      <c r="K12" s="227">
        <v>1E-06</v>
      </c>
      <c r="L12" s="228">
        <v>4.0943445</v>
      </c>
      <c r="M12" s="227">
        <v>1E-06</v>
      </c>
      <c r="N12" s="228">
        <v>4.0943445</v>
      </c>
      <c r="O12" s="227">
        <v>1E-06</v>
      </c>
      <c r="P12" s="228">
        <v>4.0943445</v>
      </c>
      <c r="Q12" s="227">
        <v>1E-06</v>
      </c>
      <c r="R12" s="228">
        <v>4.0943445</v>
      </c>
      <c r="S12" s="227">
        <v>1E-06</v>
      </c>
      <c r="W12" t="s">
        <v>384</v>
      </c>
      <c r="X12" t="s">
        <v>282</v>
      </c>
      <c r="Y12" t="s">
        <v>394</v>
      </c>
      <c r="Z12" s="230" t="s">
        <v>395</v>
      </c>
      <c r="AA12" s="230"/>
      <c r="AB12" s="230"/>
      <c r="AC12" s="230"/>
      <c r="AD12" s="230"/>
      <c r="AE12" s="230"/>
      <c r="AF12" s="230"/>
      <c r="AG12" s="230"/>
      <c r="AH12" s="230"/>
      <c r="AI12" s="230"/>
    </row>
    <row r="13" spans="3:35" ht="12.75">
      <c r="C13">
        <v>8</v>
      </c>
      <c r="D13">
        <v>60</v>
      </c>
      <c r="E13">
        <v>1</v>
      </c>
      <c r="F13">
        <v>0</v>
      </c>
      <c r="H13" s="225">
        <f t="shared" si="0"/>
        <v>0</v>
      </c>
      <c r="I13" s="226">
        <f t="shared" si="1"/>
        <v>1</v>
      </c>
      <c r="J13" s="228">
        <v>4.0943445</v>
      </c>
      <c r="K13" s="227">
        <v>1E-06</v>
      </c>
      <c r="L13" s="228">
        <v>4.0943445</v>
      </c>
      <c r="M13" s="227">
        <v>1E-06</v>
      </c>
      <c r="N13" s="228">
        <v>4.0943445</v>
      </c>
      <c r="O13" s="227">
        <v>1E-06</v>
      </c>
      <c r="P13" s="228">
        <v>4.0943445</v>
      </c>
      <c r="Q13" s="227">
        <v>1E-06</v>
      </c>
      <c r="R13" s="228">
        <v>4.0943445</v>
      </c>
      <c r="S13" s="227">
        <v>1E-06</v>
      </c>
      <c r="Y13" t="s">
        <v>385</v>
      </c>
      <c r="Z13" s="230"/>
      <c r="AA13" s="230"/>
      <c r="AB13" t="s">
        <v>460</v>
      </c>
      <c r="AC13" t="s">
        <v>282</v>
      </c>
      <c r="AD13" t="s">
        <v>394</v>
      </c>
      <c r="AE13" s="230" t="s">
        <v>395</v>
      </c>
      <c r="AF13" s="230"/>
      <c r="AG13" s="230"/>
      <c r="AH13" s="230"/>
      <c r="AI13" s="230"/>
    </row>
    <row r="14" spans="3:35" ht="12.75">
      <c r="C14">
        <v>9</v>
      </c>
      <c r="D14">
        <v>60</v>
      </c>
      <c r="E14">
        <v>0.5</v>
      </c>
      <c r="F14">
        <v>0</v>
      </c>
      <c r="H14" s="225">
        <f t="shared" si="0"/>
        <v>0</v>
      </c>
      <c r="I14" s="226">
        <f t="shared" si="1"/>
        <v>0.5</v>
      </c>
      <c r="J14" s="228">
        <v>4.0943445</v>
      </c>
      <c r="K14" s="227">
        <v>1E-06</v>
      </c>
      <c r="L14" s="228">
        <v>4.0943445</v>
      </c>
      <c r="M14" s="227">
        <v>1E-06</v>
      </c>
      <c r="N14" s="228">
        <v>4.0943445</v>
      </c>
      <c r="O14" s="227">
        <v>1E-06</v>
      </c>
      <c r="P14" s="228">
        <v>4.0943445</v>
      </c>
      <c r="Q14" s="227">
        <v>1E-06</v>
      </c>
      <c r="R14" s="228">
        <v>4.0943445</v>
      </c>
      <c r="S14" s="227">
        <v>1E-06</v>
      </c>
      <c r="W14" t="s">
        <v>386</v>
      </c>
      <c r="X14">
        <v>3999248.6687441734</v>
      </c>
      <c r="Y14">
        <v>3999248.6687441734</v>
      </c>
      <c r="Z14" s="230">
        <v>3999248.6687441734</v>
      </c>
      <c r="AA14" s="230"/>
      <c r="AB14" t="s">
        <v>386</v>
      </c>
      <c r="AC14" s="6">
        <f aca="true" t="shared" si="2" ref="AC14:AC23">ROUND(X14,$Z$11-1-INT(LOG10(ABS(X14))))</f>
        <v>4000000</v>
      </c>
      <c r="AD14" s="6"/>
      <c r="AE14" s="6"/>
      <c r="AF14" s="230"/>
      <c r="AG14" s="230"/>
      <c r="AH14" s="230"/>
      <c r="AI14" s="230"/>
    </row>
    <row r="15" spans="3:35" ht="12.75">
      <c r="C15">
        <v>10</v>
      </c>
      <c r="D15" t="s">
        <v>287</v>
      </c>
      <c r="E15">
        <v>3</v>
      </c>
      <c r="F15">
        <v>0</v>
      </c>
      <c r="H15" s="225">
        <f t="shared" si="0"/>
        <v>0</v>
      </c>
      <c r="I15" s="226">
        <f t="shared" si="1"/>
        <v>3</v>
      </c>
      <c r="J15" s="227">
        <v>4.008218657008211</v>
      </c>
      <c r="K15" s="227">
        <v>0.1356504682374151</v>
      </c>
      <c r="L15" s="228">
        <v>3.920908388550437</v>
      </c>
      <c r="M15" s="228">
        <v>0.13518587475694585</v>
      </c>
      <c r="N15" s="228">
        <v>3.856636781952395</v>
      </c>
      <c r="O15" s="228">
        <v>0.15018771550071305</v>
      </c>
      <c r="P15" s="228">
        <v>3.9690771145537576</v>
      </c>
      <c r="Q15" s="228">
        <v>0.1390343767249419</v>
      </c>
      <c r="R15" s="228">
        <v>3.871816226853579</v>
      </c>
      <c r="S15" s="228">
        <v>0.15018771550071305</v>
      </c>
      <c r="W15" t="s">
        <v>387</v>
      </c>
      <c r="X15">
        <v>131792213.17167525</v>
      </c>
      <c r="Y15">
        <v>131792213.17167525</v>
      </c>
      <c r="Z15" s="230">
        <v>131792213.17167525</v>
      </c>
      <c r="AA15" s="230"/>
      <c r="AB15" t="s">
        <v>387</v>
      </c>
      <c r="AC15" s="6">
        <f t="shared" si="2"/>
        <v>130000000</v>
      </c>
      <c r="AD15" s="6"/>
      <c r="AE15" s="6"/>
      <c r="AF15" s="230"/>
      <c r="AG15" s="230"/>
      <c r="AH15" s="230"/>
      <c r="AI15" s="230"/>
    </row>
    <row r="16" spans="3:31" ht="12.75">
      <c r="C16">
        <v>11</v>
      </c>
      <c r="D16">
        <v>45</v>
      </c>
      <c r="E16">
        <v>1.5</v>
      </c>
      <c r="F16">
        <v>3</v>
      </c>
      <c r="H16" s="225">
        <f t="shared" si="0"/>
        <v>3</v>
      </c>
      <c r="I16" s="226">
        <f t="shared" si="1"/>
        <v>1.5</v>
      </c>
      <c r="J16" s="227">
        <v>3.8066625</v>
      </c>
      <c r="K16" s="227">
        <v>1E-06</v>
      </c>
      <c r="L16" s="227">
        <v>3.8066625</v>
      </c>
      <c r="M16" s="227">
        <v>1E-06</v>
      </c>
      <c r="N16" s="227">
        <v>3.8066625</v>
      </c>
      <c r="O16" s="227">
        <v>1E-06</v>
      </c>
      <c r="P16" s="227">
        <v>3.8066625</v>
      </c>
      <c r="Q16" s="227">
        <v>1E-06</v>
      </c>
      <c r="R16" s="227">
        <v>3.8066625</v>
      </c>
      <c r="S16" s="227">
        <v>1E-06</v>
      </c>
      <c r="W16" t="s">
        <v>389</v>
      </c>
      <c r="X16">
        <v>141941495.37494102</v>
      </c>
      <c r="Y16">
        <v>141941495.37494102</v>
      </c>
      <c r="Z16">
        <v>141941495.37494102</v>
      </c>
      <c r="AB16" t="s">
        <v>389</v>
      </c>
      <c r="AC16" s="6">
        <f t="shared" si="2"/>
        <v>140000000</v>
      </c>
      <c r="AD16" s="6"/>
      <c r="AE16" s="6"/>
    </row>
    <row r="17" spans="3:58" ht="12.75">
      <c r="C17">
        <v>12</v>
      </c>
      <c r="D17">
        <v>45</v>
      </c>
      <c r="E17">
        <v>1</v>
      </c>
      <c r="F17">
        <v>3</v>
      </c>
      <c r="H17" s="225">
        <f t="shared" si="0"/>
        <v>3</v>
      </c>
      <c r="I17" s="226">
        <f t="shared" si="1"/>
        <v>1</v>
      </c>
      <c r="J17" s="227">
        <v>3.8066625</v>
      </c>
      <c r="K17" s="227">
        <v>1E-06</v>
      </c>
      <c r="L17" s="227">
        <v>3.8066625</v>
      </c>
      <c r="M17" s="227">
        <v>1E-06</v>
      </c>
      <c r="N17" s="227">
        <v>3.8066625</v>
      </c>
      <c r="O17" s="227">
        <v>1E-06</v>
      </c>
      <c r="P17" s="227">
        <v>3.8066625</v>
      </c>
      <c r="Q17" s="227">
        <v>1E-06</v>
      </c>
      <c r="R17" s="227">
        <v>3.8066625</v>
      </c>
      <c r="S17" s="227">
        <v>1E-06</v>
      </c>
      <c r="W17" t="s">
        <v>388</v>
      </c>
      <c r="X17">
        <v>269226227.17789674</v>
      </c>
      <c r="Y17">
        <v>269226227.17789674</v>
      </c>
      <c r="Z17" s="230">
        <v>269226227.17789674</v>
      </c>
      <c r="AA17" s="230"/>
      <c r="AB17" t="s">
        <v>388</v>
      </c>
      <c r="AC17" s="6">
        <f t="shared" si="2"/>
        <v>270000000</v>
      </c>
      <c r="AD17" s="6"/>
      <c r="AE17" s="6"/>
      <c r="AF17" s="230"/>
      <c r="AG17" s="230"/>
      <c r="AH17" s="230"/>
      <c r="AI17" s="230"/>
      <c r="BE17">
        <f>EXP(BF17)</f>
        <v>1.5999941932173602</v>
      </c>
      <c r="BF17">
        <v>0.47</v>
      </c>
    </row>
    <row r="18" spans="3:35" ht="12.75">
      <c r="C18">
        <v>13</v>
      </c>
      <c r="D18">
        <v>45</v>
      </c>
      <c r="E18">
        <v>0.5</v>
      </c>
      <c r="F18">
        <v>3</v>
      </c>
      <c r="H18" s="225">
        <f t="shared" si="0"/>
        <v>3</v>
      </c>
      <c r="I18" s="226">
        <f t="shared" si="1"/>
        <v>0.5</v>
      </c>
      <c r="J18" s="227">
        <v>3.8066625</v>
      </c>
      <c r="K18" s="227">
        <v>1E-06</v>
      </c>
      <c r="L18" s="227">
        <v>3.8066625</v>
      </c>
      <c r="M18" s="227">
        <v>1E-06</v>
      </c>
      <c r="N18" s="227">
        <v>3.8066625</v>
      </c>
      <c r="O18" s="227">
        <v>1E-06</v>
      </c>
      <c r="P18" s="227">
        <v>3.8066625</v>
      </c>
      <c r="Q18" s="227">
        <v>1E-06</v>
      </c>
      <c r="R18" s="227">
        <v>3.8066625</v>
      </c>
      <c r="S18" s="227">
        <v>1E-06</v>
      </c>
      <c r="W18" t="s">
        <v>390</v>
      </c>
      <c r="X18">
        <v>269226227.17789674</v>
      </c>
      <c r="Y18">
        <v>256358.43294</v>
      </c>
      <c r="Z18" s="230">
        <v>2550.88422</v>
      </c>
      <c r="AA18" s="230"/>
      <c r="AB18" t="s">
        <v>390</v>
      </c>
      <c r="AC18" s="6">
        <f t="shared" si="2"/>
        <v>270000000</v>
      </c>
      <c r="AD18" s="6">
        <f aca="true" t="shared" si="3" ref="AD18:AE23">ROUND(Y18,$Z$11-1-INT(LOG10(ABS(Y18))))</f>
        <v>260000</v>
      </c>
      <c r="AE18" s="6">
        <f t="shared" si="3"/>
        <v>2600</v>
      </c>
      <c r="AF18" s="230"/>
      <c r="AG18" s="230"/>
      <c r="AH18" s="230"/>
      <c r="AI18" s="230"/>
    </row>
    <row r="19" spans="3:35" ht="12.75">
      <c r="C19">
        <v>14</v>
      </c>
      <c r="D19">
        <v>53</v>
      </c>
      <c r="E19">
        <v>1.5</v>
      </c>
      <c r="F19">
        <v>3</v>
      </c>
      <c r="H19" s="225">
        <f t="shared" si="0"/>
        <v>3</v>
      </c>
      <c r="I19" s="226">
        <f t="shared" si="1"/>
        <v>1.5</v>
      </c>
      <c r="J19" s="228">
        <v>3.970292</v>
      </c>
      <c r="K19" s="227">
        <v>1E-06</v>
      </c>
      <c r="L19" s="228">
        <v>3.970292</v>
      </c>
      <c r="M19" s="227">
        <v>1E-06</v>
      </c>
      <c r="N19" s="228">
        <v>3.970292</v>
      </c>
      <c r="O19" s="227">
        <v>1E-06</v>
      </c>
      <c r="P19" s="228">
        <v>3.970292</v>
      </c>
      <c r="Q19" s="227">
        <v>1E-06</v>
      </c>
      <c r="R19" s="228">
        <v>3.970292</v>
      </c>
      <c r="S19" s="227">
        <v>1E-06</v>
      </c>
      <c r="W19" t="s">
        <v>391</v>
      </c>
      <c r="X19">
        <v>380977560.77342767</v>
      </c>
      <c r="Y19">
        <v>45584786.15902166</v>
      </c>
      <c r="Z19" s="230">
        <v>16056961.69193551</v>
      </c>
      <c r="AA19" s="230"/>
      <c r="AB19" t="s">
        <v>391</v>
      </c>
      <c r="AC19" s="6">
        <f t="shared" si="2"/>
        <v>380000000</v>
      </c>
      <c r="AD19" s="6">
        <f t="shared" si="3"/>
        <v>46000000</v>
      </c>
      <c r="AE19" s="6">
        <f t="shared" si="3"/>
        <v>16000000</v>
      </c>
      <c r="AF19" s="230"/>
      <c r="AG19" s="230"/>
      <c r="AH19" s="230"/>
      <c r="AI19" s="230"/>
    </row>
    <row r="20" spans="3:58" ht="12.75">
      <c r="C20">
        <v>15</v>
      </c>
      <c r="D20">
        <v>53</v>
      </c>
      <c r="E20">
        <v>1</v>
      </c>
      <c r="F20">
        <v>3</v>
      </c>
      <c r="H20" s="225">
        <f t="shared" si="0"/>
        <v>3</v>
      </c>
      <c r="I20" s="226">
        <f t="shared" si="1"/>
        <v>1</v>
      </c>
      <c r="J20" s="228">
        <v>3.970292</v>
      </c>
      <c r="K20" s="227">
        <v>1E-06</v>
      </c>
      <c r="L20" s="228">
        <v>3.970292</v>
      </c>
      <c r="M20" s="227">
        <v>1E-06</v>
      </c>
      <c r="N20" s="228">
        <v>3.970292</v>
      </c>
      <c r="O20" s="227">
        <v>1E-06</v>
      </c>
      <c r="P20" s="228">
        <v>3.970292</v>
      </c>
      <c r="Q20" s="227">
        <v>1E-06</v>
      </c>
      <c r="R20" s="228">
        <v>3.970292</v>
      </c>
      <c r="S20" s="227">
        <v>1E-06</v>
      </c>
      <c r="W20" t="s">
        <v>389</v>
      </c>
      <c r="X20">
        <v>411279028.6120244</v>
      </c>
      <c r="Y20">
        <v>56593416.09591608</v>
      </c>
      <c r="Z20" s="230">
        <v>19648506.59325546</v>
      </c>
      <c r="AA20" s="230"/>
      <c r="AB20" t="s">
        <v>389</v>
      </c>
      <c r="AC20" s="6">
        <f t="shared" si="2"/>
        <v>410000000</v>
      </c>
      <c r="AD20" s="6">
        <f t="shared" si="3"/>
        <v>57000000</v>
      </c>
      <c r="AE20" s="6">
        <f t="shared" si="3"/>
        <v>20000000</v>
      </c>
      <c r="AF20" s="230"/>
      <c r="AG20" s="230"/>
      <c r="AH20" s="230"/>
      <c r="AI20" s="230"/>
      <c r="AY20" s="335" t="s">
        <v>446</v>
      </c>
      <c r="AZ20" s="336"/>
      <c r="BA20" s="336"/>
      <c r="BD20" s="335" t="s">
        <v>446</v>
      </c>
      <c r="BE20" s="336"/>
      <c r="BF20" s="336"/>
    </row>
    <row r="21" spans="3:58" ht="12.75">
      <c r="C21">
        <v>16</v>
      </c>
      <c r="D21">
        <v>53</v>
      </c>
      <c r="E21">
        <v>0.5</v>
      </c>
      <c r="F21">
        <v>3</v>
      </c>
      <c r="H21" s="225">
        <f t="shared" si="0"/>
        <v>3</v>
      </c>
      <c r="I21" s="226">
        <f t="shared" si="1"/>
        <v>0.5</v>
      </c>
      <c r="J21" s="228">
        <v>3.970292</v>
      </c>
      <c r="K21" s="227">
        <v>1E-06</v>
      </c>
      <c r="L21" s="228">
        <v>3.970292</v>
      </c>
      <c r="M21" s="227">
        <v>1E-06</v>
      </c>
      <c r="N21" s="228">
        <v>3.970292</v>
      </c>
      <c r="O21" s="227">
        <v>1E-06</v>
      </c>
      <c r="P21" s="228">
        <v>3.970292</v>
      </c>
      <c r="Q21" s="227">
        <v>1E-06</v>
      </c>
      <c r="R21" s="228">
        <v>3.970292</v>
      </c>
      <c r="S21" s="227">
        <v>1E-06</v>
      </c>
      <c r="W21" t="s">
        <v>392</v>
      </c>
      <c r="X21">
        <v>438127068.13682204</v>
      </c>
      <c r="Y21">
        <v>68086783.0639475</v>
      </c>
      <c r="Z21" s="230">
        <v>23569380.67443934</v>
      </c>
      <c r="AA21" s="230"/>
      <c r="AB21" t="s">
        <v>392</v>
      </c>
      <c r="AC21" s="6">
        <f t="shared" si="2"/>
        <v>440000000</v>
      </c>
      <c r="AD21" s="6">
        <f t="shared" si="3"/>
        <v>68000000</v>
      </c>
      <c r="AE21" s="6">
        <f t="shared" si="3"/>
        <v>24000000</v>
      </c>
      <c r="AF21" s="230"/>
      <c r="AG21" s="230"/>
      <c r="AH21" s="230"/>
      <c r="AI21" s="230"/>
      <c r="AX21" s="245" t="s">
        <v>445</v>
      </c>
      <c r="AY21" t="s">
        <v>466</v>
      </c>
      <c r="AZ21" s="112" t="s">
        <v>394</v>
      </c>
      <c r="BA21" t="s">
        <v>395</v>
      </c>
      <c r="BC21" s="245" t="s">
        <v>445</v>
      </c>
      <c r="BD21" t="s">
        <v>466</v>
      </c>
      <c r="BE21" s="112" t="s">
        <v>394</v>
      </c>
      <c r="BF21" t="s">
        <v>395</v>
      </c>
    </row>
    <row r="22" spans="3:62" ht="12.75">
      <c r="C22">
        <v>17</v>
      </c>
      <c r="D22">
        <v>60</v>
      </c>
      <c r="E22">
        <v>1.5</v>
      </c>
      <c r="F22">
        <v>3</v>
      </c>
      <c r="H22" s="225">
        <f t="shared" si="0"/>
        <v>3</v>
      </c>
      <c r="I22" s="226">
        <f t="shared" si="1"/>
        <v>1.5</v>
      </c>
      <c r="J22" s="228">
        <v>4.0943445</v>
      </c>
      <c r="K22" s="227">
        <v>1E-06</v>
      </c>
      <c r="L22" s="228">
        <v>4.0943445</v>
      </c>
      <c r="M22" s="227">
        <v>1E-06</v>
      </c>
      <c r="N22" s="228">
        <v>4.0943445</v>
      </c>
      <c r="O22" s="227">
        <v>1E-06</v>
      </c>
      <c r="P22" s="228">
        <v>4.0943445</v>
      </c>
      <c r="Q22" s="227">
        <v>1E-06</v>
      </c>
      <c r="R22" s="228">
        <v>4.0943445</v>
      </c>
      <c r="S22" s="227">
        <v>1E-06</v>
      </c>
      <c r="W22" t="s">
        <v>389</v>
      </c>
      <c r="X22">
        <v>451081240.4427343</v>
      </c>
      <c r="Y22">
        <v>70707843.53388493</v>
      </c>
      <c r="Z22" s="230">
        <v>24241112.838355474</v>
      </c>
      <c r="AA22" s="230"/>
      <c r="AB22" t="s">
        <v>389</v>
      </c>
      <c r="AC22" s="6">
        <f t="shared" si="2"/>
        <v>450000000</v>
      </c>
      <c r="AD22" s="6">
        <f t="shared" si="3"/>
        <v>71000000</v>
      </c>
      <c r="AE22" s="6">
        <f t="shared" si="3"/>
        <v>24000000</v>
      </c>
      <c r="AF22" s="230"/>
      <c r="AG22" s="230"/>
      <c r="AH22" s="230"/>
      <c r="AI22" s="230"/>
      <c r="AX22" s="185" t="s">
        <v>449</v>
      </c>
      <c r="AY22" s="247">
        <f>AZ43</f>
        <v>75040.20596520726</v>
      </c>
      <c r="AZ22" s="247">
        <f>AZ53</f>
        <v>25992.183007883512</v>
      </c>
      <c r="BA22" s="247">
        <f>AZ63</f>
        <v>18393.85523346545</v>
      </c>
      <c r="BC22" s="185" t="s">
        <v>449</v>
      </c>
      <c r="BD22" s="6">
        <f>ROUND(AY22,$BH$47-1-INT(LOG10(ABS(AY22))))</f>
        <v>75000</v>
      </c>
      <c r="BE22" s="6">
        <f>ROUND(AZ22,$BH$47-1-INT(LOG10(ABS(AZ22))))</f>
        <v>26000</v>
      </c>
      <c r="BF22" s="6">
        <f>ROUND(BA22,$BH$47-1-INT(LOG10(ABS(BA22))))</f>
        <v>18000</v>
      </c>
      <c r="BH22" s="2">
        <f aca="true" t="shared" si="4" ref="BH22:BH30">BD22/$BD22</f>
        <v>1</v>
      </c>
      <c r="BI22" s="2">
        <f aca="true" t="shared" si="5" ref="BI22:BI31">BE22/$BD22</f>
        <v>0.3466666666666667</v>
      </c>
      <c r="BJ22" s="2">
        <f aca="true" t="shared" si="6" ref="BJ22:BJ31">BF22/$BD22</f>
        <v>0.24</v>
      </c>
    </row>
    <row r="23" spans="3:62" ht="12.75">
      <c r="C23">
        <v>18</v>
      </c>
      <c r="D23">
        <v>60</v>
      </c>
      <c r="E23">
        <v>1</v>
      </c>
      <c r="F23">
        <v>3</v>
      </c>
      <c r="H23" s="225">
        <f t="shared" si="0"/>
        <v>3</v>
      </c>
      <c r="I23" s="226">
        <f t="shared" si="1"/>
        <v>1</v>
      </c>
      <c r="J23" s="228">
        <v>4.0943445</v>
      </c>
      <c r="K23" s="227">
        <v>1E-06</v>
      </c>
      <c r="L23" s="228">
        <v>4.0943445</v>
      </c>
      <c r="M23" s="227">
        <v>1E-06</v>
      </c>
      <c r="N23" s="228">
        <v>4.0943445</v>
      </c>
      <c r="O23" s="227">
        <v>1E-06</v>
      </c>
      <c r="P23" s="228">
        <v>4.0943445</v>
      </c>
      <c r="Q23" s="227">
        <v>1E-06</v>
      </c>
      <c r="R23" s="228">
        <v>4.0943445</v>
      </c>
      <c r="S23" s="227">
        <v>1E-06</v>
      </c>
      <c r="W23" t="s">
        <v>393</v>
      </c>
      <c r="X23">
        <v>473230036.5684496</v>
      </c>
      <c r="Y23">
        <v>77363447.75680092</v>
      </c>
      <c r="Z23" s="230">
        <v>25389706.94602122</v>
      </c>
      <c r="AA23" s="230"/>
      <c r="AB23" t="s">
        <v>393</v>
      </c>
      <c r="AC23" s="6">
        <f t="shared" si="2"/>
        <v>470000000</v>
      </c>
      <c r="AD23" s="6">
        <f t="shared" si="3"/>
        <v>77000000</v>
      </c>
      <c r="AE23" s="6">
        <f t="shared" si="3"/>
        <v>25000000</v>
      </c>
      <c r="AF23" s="230"/>
      <c r="AG23" s="230"/>
      <c r="AH23" s="230"/>
      <c r="AI23" s="230"/>
      <c r="AX23" s="185" t="s">
        <v>450</v>
      </c>
      <c r="AY23" s="247">
        <f aca="true" t="shared" si="7" ref="AY23:AY31">AZ44</f>
        <v>72736.59471651964</v>
      </c>
      <c r="AZ23" s="247">
        <f aca="true" t="shared" si="8" ref="AZ23:AZ31">AZ54</f>
        <v>24315.06217438596</v>
      </c>
      <c r="BA23" s="247">
        <f aca="true" t="shared" si="9" ref="BA23:BA31">AZ64</f>
        <v>17403.990733689785</v>
      </c>
      <c r="BC23" s="185" t="s">
        <v>450</v>
      </c>
      <c r="BD23" s="6">
        <f aca="true" t="shared" si="10" ref="BD23:BD31">ROUND(AY23,$BH$47-1-INT(LOG10(ABS(AY23))))</f>
        <v>73000</v>
      </c>
      <c r="BE23" s="6">
        <f aca="true" t="shared" si="11" ref="BE23:BE31">ROUND(AZ23,$BH$47-1-INT(LOG10(ABS(AZ23))))</f>
        <v>24000</v>
      </c>
      <c r="BF23" s="6">
        <f aca="true" t="shared" si="12" ref="BF23:BF31">ROUND(BA23,$BH$47-1-INT(LOG10(ABS(BA23))))</f>
        <v>17000</v>
      </c>
      <c r="BH23" s="2">
        <f t="shared" si="4"/>
        <v>1</v>
      </c>
      <c r="BI23" s="2">
        <f t="shared" si="5"/>
        <v>0.3287671232876712</v>
      </c>
      <c r="BJ23" s="2">
        <f t="shared" si="6"/>
        <v>0.2328767123287671</v>
      </c>
    </row>
    <row r="24" spans="3:62" ht="12.75">
      <c r="C24">
        <v>19</v>
      </c>
      <c r="D24">
        <v>60</v>
      </c>
      <c r="E24">
        <v>0.5</v>
      </c>
      <c r="F24">
        <v>3</v>
      </c>
      <c r="H24" s="225">
        <f t="shared" si="0"/>
        <v>3</v>
      </c>
      <c r="I24" s="226">
        <f t="shared" si="1"/>
        <v>0.5</v>
      </c>
      <c r="J24" s="228">
        <v>4.0943445</v>
      </c>
      <c r="K24" s="227">
        <v>1E-06</v>
      </c>
      <c r="L24" s="228">
        <v>4.0943445</v>
      </c>
      <c r="M24" s="227">
        <v>1E-06</v>
      </c>
      <c r="N24" s="228">
        <v>4.0943445</v>
      </c>
      <c r="O24" s="227">
        <v>1E-06</v>
      </c>
      <c r="P24" s="228">
        <v>4.0943445</v>
      </c>
      <c r="Q24" s="227">
        <v>1E-06</v>
      </c>
      <c r="R24" s="228">
        <v>4.0943445</v>
      </c>
      <c r="S24" s="227">
        <v>1E-06</v>
      </c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X24" s="185" t="s">
        <v>451</v>
      </c>
      <c r="AY24" s="247">
        <f t="shared" si="7"/>
        <v>62586.72502492502</v>
      </c>
      <c r="AZ24" s="247">
        <f t="shared" si="8"/>
        <v>17821.739980351573</v>
      </c>
      <c r="BA24" s="247">
        <f t="shared" si="9"/>
        <v>12359.029338863975</v>
      </c>
      <c r="BC24" s="185" t="s">
        <v>451</v>
      </c>
      <c r="BD24" s="6">
        <f t="shared" si="10"/>
        <v>63000</v>
      </c>
      <c r="BE24" s="6">
        <f t="shared" si="11"/>
        <v>18000</v>
      </c>
      <c r="BF24" s="6">
        <f t="shared" si="12"/>
        <v>12000</v>
      </c>
      <c r="BH24" s="2">
        <f t="shared" si="4"/>
        <v>1</v>
      </c>
      <c r="BI24" s="2">
        <f t="shared" si="5"/>
        <v>0.2857142857142857</v>
      </c>
      <c r="BJ24" s="2">
        <f t="shared" si="6"/>
        <v>0.19047619047619047</v>
      </c>
    </row>
    <row r="25" spans="3:62" ht="12.75">
      <c r="C25">
        <v>20</v>
      </c>
      <c r="D25" t="s">
        <v>287</v>
      </c>
      <c r="E25">
        <v>3</v>
      </c>
      <c r="F25">
        <v>3</v>
      </c>
      <c r="H25" s="225">
        <f t="shared" si="0"/>
        <v>3</v>
      </c>
      <c r="I25" s="226">
        <f t="shared" si="1"/>
        <v>3</v>
      </c>
      <c r="J25" s="227">
        <v>4.008218657008211</v>
      </c>
      <c r="K25" s="227">
        <v>0.1356504682374151</v>
      </c>
      <c r="L25" s="228">
        <v>3.920908388550437</v>
      </c>
      <c r="M25" s="228">
        <v>0.13518587475694585</v>
      </c>
      <c r="N25" s="228">
        <v>3.856636781952395</v>
      </c>
      <c r="O25" s="228">
        <v>0.15018771550071305</v>
      </c>
      <c r="P25" s="228">
        <v>3.9690771145537576</v>
      </c>
      <c r="Q25" s="228">
        <v>0.1390343767249419</v>
      </c>
      <c r="R25" s="228">
        <v>3.871816226853579</v>
      </c>
      <c r="S25" s="228">
        <v>0.15018771550071305</v>
      </c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X25" s="185" t="s">
        <v>452</v>
      </c>
      <c r="AY25" s="247">
        <f t="shared" si="7"/>
        <v>312697.97478794545</v>
      </c>
      <c r="AZ25" s="247">
        <f t="shared" si="8"/>
        <v>160247.1778165518</v>
      </c>
      <c r="BA25" s="247">
        <f t="shared" si="9"/>
        <v>120396.17945685275</v>
      </c>
      <c r="BC25" s="185" t="s">
        <v>452</v>
      </c>
      <c r="BD25" s="6">
        <f t="shared" si="10"/>
        <v>310000</v>
      </c>
      <c r="BE25" s="6">
        <f t="shared" si="11"/>
        <v>160000</v>
      </c>
      <c r="BF25" s="6">
        <f t="shared" si="12"/>
        <v>120000</v>
      </c>
      <c r="BH25" s="2">
        <f t="shared" si="4"/>
        <v>1</v>
      </c>
      <c r="BI25" s="2">
        <f t="shared" si="5"/>
        <v>0.5161290322580645</v>
      </c>
      <c r="BJ25" s="2">
        <f t="shared" si="6"/>
        <v>0.3870967741935484</v>
      </c>
    </row>
    <row r="26" spans="3:62" ht="12.75">
      <c r="C26">
        <v>21</v>
      </c>
      <c r="D26">
        <v>45</v>
      </c>
      <c r="E26">
        <v>1.5</v>
      </c>
      <c r="F26">
        <v>5</v>
      </c>
      <c r="H26" s="225">
        <f t="shared" si="0"/>
        <v>5</v>
      </c>
      <c r="I26" s="226">
        <f t="shared" si="1"/>
        <v>1.5</v>
      </c>
      <c r="J26" s="227">
        <v>3.8066625</v>
      </c>
      <c r="K26" s="227">
        <v>1E-06</v>
      </c>
      <c r="L26" s="227">
        <v>3.8066625</v>
      </c>
      <c r="M26" s="227">
        <v>1E-06</v>
      </c>
      <c r="N26" s="227">
        <v>3.8066625</v>
      </c>
      <c r="O26" s="227">
        <v>1E-06</v>
      </c>
      <c r="P26" s="227">
        <v>3.8066625</v>
      </c>
      <c r="Q26" s="227">
        <v>1E-06</v>
      </c>
      <c r="R26" s="227">
        <v>3.8066625</v>
      </c>
      <c r="S26" s="227">
        <v>1E-06</v>
      </c>
      <c r="AX26" s="185" t="s">
        <v>453</v>
      </c>
      <c r="AY26" s="247">
        <f t="shared" si="7"/>
        <v>308894.6748639248</v>
      </c>
      <c r="AZ26" s="247">
        <f t="shared" si="8"/>
        <v>157633.09734326045</v>
      </c>
      <c r="BA26" s="247">
        <f t="shared" si="9"/>
        <v>119247.76919666784</v>
      </c>
      <c r="BC26" s="185" t="s">
        <v>453</v>
      </c>
      <c r="BD26" s="6">
        <f t="shared" si="10"/>
        <v>310000</v>
      </c>
      <c r="BE26" s="6">
        <f t="shared" si="11"/>
        <v>160000</v>
      </c>
      <c r="BF26" s="6">
        <f t="shared" si="12"/>
        <v>120000</v>
      </c>
      <c r="BH26" s="2">
        <f t="shared" si="4"/>
        <v>1</v>
      </c>
      <c r="BI26" s="2">
        <f t="shared" si="5"/>
        <v>0.5161290322580645</v>
      </c>
      <c r="BJ26" s="2">
        <f t="shared" si="6"/>
        <v>0.3870967741935484</v>
      </c>
    </row>
    <row r="27" spans="3:62" ht="12.75">
      <c r="C27">
        <v>22</v>
      </c>
      <c r="D27">
        <v>45</v>
      </c>
      <c r="E27">
        <v>1</v>
      </c>
      <c r="F27">
        <v>5</v>
      </c>
      <c r="H27" s="225">
        <f t="shared" si="0"/>
        <v>5</v>
      </c>
      <c r="I27" s="226">
        <f t="shared" si="1"/>
        <v>1</v>
      </c>
      <c r="J27" s="227">
        <v>3.8066625</v>
      </c>
      <c r="K27" s="227">
        <v>1E-06</v>
      </c>
      <c r="L27" s="227">
        <v>3.8066625</v>
      </c>
      <c r="M27" s="227">
        <v>1E-06</v>
      </c>
      <c r="N27" s="227">
        <v>3.8066625</v>
      </c>
      <c r="O27" s="227">
        <v>1E-06</v>
      </c>
      <c r="P27" s="227">
        <v>3.8066625</v>
      </c>
      <c r="Q27" s="227">
        <v>1E-06</v>
      </c>
      <c r="R27" s="227">
        <v>3.8066625</v>
      </c>
      <c r="S27" s="227">
        <v>1E-06</v>
      </c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X27" s="185" t="s">
        <v>454</v>
      </c>
      <c r="AY27" s="247">
        <f t="shared" si="7"/>
        <v>287168.64651153755</v>
      </c>
      <c r="AZ27" s="247">
        <f t="shared" si="8"/>
        <v>147717.9183181179</v>
      </c>
      <c r="BA27" s="247">
        <f t="shared" si="9"/>
        <v>108619.00086455498</v>
      </c>
      <c r="BC27" s="185" t="s">
        <v>454</v>
      </c>
      <c r="BD27" s="6">
        <f t="shared" si="10"/>
        <v>290000</v>
      </c>
      <c r="BE27" s="6">
        <f t="shared" si="11"/>
        <v>150000</v>
      </c>
      <c r="BF27" s="6">
        <f t="shared" si="12"/>
        <v>110000</v>
      </c>
      <c r="BH27" s="2">
        <f t="shared" si="4"/>
        <v>1</v>
      </c>
      <c r="BI27" s="2">
        <f t="shared" si="5"/>
        <v>0.5172413793103449</v>
      </c>
      <c r="BJ27" s="2">
        <f t="shared" si="6"/>
        <v>0.3793103448275862</v>
      </c>
    </row>
    <row r="28" spans="3:62" ht="12.75">
      <c r="C28">
        <v>23</v>
      </c>
      <c r="D28">
        <v>45</v>
      </c>
      <c r="E28">
        <v>0.5</v>
      </c>
      <c r="F28">
        <v>5</v>
      </c>
      <c r="H28" s="225">
        <f t="shared" si="0"/>
        <v>5</v>
      </c>
      <c r="I28" s="226">
        <f t="shared" si="1"/>
        <v>0.5</v>
      </c>
      <c r="J28" s="227">
        <v>3.8066625</v>
      </c>
      <c r="K28" s="227">
        <v>1E-06</v>
      </c>
      <c r="L28" s="227">
        <v>3.8066625</v>
      </c>
      <c r="M28" s="227">
        <v>1E-06</v>
      </c>
      <c r="N28" s="227">
        <v>3.8066625</v>
      </c>
      <c r="O28" s="227">
        <v>1E-06</v>
      </c>
      <c r="P28" s="227">
        <v>3.8066625</v>
      </c>
      <c r="Q28" s="227">
        <v>1E-06</v>
      </c>
      <c r="R28" s="227">
        <v>3.8066625</v>
      </c>
      <c r="S28" s="227">
        <v>1E-06</v>
      </c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X28" s="185" t="s">
        <v>455</v>
      </c>
      <c r="AY28" s="247">
        <f t="shared" si="7"/>
        <v>774025.6619388496</v>
      </c>
      <c r="AZ28" s="247">
        <f t="shared" si="8"/>
        <v>556427.1254201685</v>
      </c>
      <c r="BA28" s="247">
        <f t="shared" si="9"/>
        <v>442889.7273906292</v>
      </c>
      <c r="BC28" s="185" t="s">
        <v>455</v>
      </c>
      <c r="BD28" s="6">
        <f t="shared" si="10"/>
        <v>770000</v>
      </c>
      <c r="BE28" s="6">
        <f t="shared" si="11"/>
        <v>560000</v>
      </c>
      <c r="BF28" s="6">
        <f t="shared" si="12"/>
        <v>440000</v>
      </c>
      <c r="BH28" s="2">
        <f t="shared" si="4"/>
        <v>1</v>
      </c>
      <c r="BI28" s="2">
        <f t="shared" si="5"/>
        <v>0.7272727272727273</v>
      </c>
      <c r="BJ28" s="2">
        <f t="shared" si="6"/>
        <v>0.5714285714285714</v>
      </c>
    </row>
    <row r="29" spans="3:62" ht="12.75">
      <c r="C29">
        <v>24</v>
      </c>
      <c r="D29">
        <v>53</v>
      </c>
      <c r="E29">
        <v>1.5</v>
      </c>
      <c r="F29">
        <v>5</v>
      </c>
      <c r="H29" s="225">
        <f t="shared" si="0"/>
        <v>5</v>
      </c>
      <c r="I29" s="226">
        <f t="shared" si="1"/>
        <v>1.5</v>
      </c>
      <c r="J29" s="228">
        <v>3.970292</v>
      </c>
      <c r="K29" s="227">
        <v>1E-06</v>
      </c>
      <c r="L29" s="228">
        <v>3.970292</v>
      </c>
      <c r="M29" s="227">
        <v>1E-06</v>
      </c>
      <c r="N29" s="228">
        <v>3.970292</v>
      </c>
      <c r="O29" s="227">
        <v>1E-06</v>
      </c>
      <c r="P29" s="228">
        <v>3.970292</v>
      </c>
      <c r="Q29" s="227">
        <v>1E-06</v>
      </c>
      <c r="R29" s="228">
        <v>3.970292</v>
      </c>
      <c r="S29" s="227">
        <v>1E-06</v>
      </c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X29" s="185" t="s">
        <v>456</v>
      </c>
      <c r="AY29" s="247">
        <f t="shared" si="7"/>
        <v>770189.7412773961</v>
      </c>
      <c r="AZ29" s="247">
        <f t="shared" si="8"/>
        <v>553518.4665371174</v>
      </c>
      <c r="BA29" s="247">
        <f t="shared" si="9"/>
        <v>434233.38624815614</v>
      </c>
      <c r="BC29" s="185" t="s">
        <v>456</v>
      </c>
      <c r="BD29" s="6">
        <f t="shared" si="10"/>
        <v>770000</v>
      </c>
      <c r="BE29" s="6">
        <f t="shared" si="11"/>
        <v>550000</v>
      </c>
      <c r="BF29" s="6">
        <f t="shared" si="12"/>
        <v>430000</v>
      </c>
      <c r="BH29" s="2">
        <f t="shared" si="4"/>
        <v>1</v>
      </c>
      <c r="BI29" s="2">
        <f t="shared" si="5"/>
        <v>0.7142857142857143</v>
      </c>
      <c r="BJ29" s="2">
        <f t="shared" si="6"/>
        <v>0.5584415584415584</v>
      </c>
    </row>
    <row r="30" spans="3:62" ht="12.75">
      <c r="C30">
        <v>25</v>
      </c>
      <c r="D30">
        <v>53</v>
      </c>
      <c r="E30">
        <v>1</v>
      </c>
      <c r="F30">
        <v>5</v>
      </c>
      <c r="H30" s="225">
        <f t="shared" si="0"/>
        <v>5</v>
      </c>
      <c r="I30" s="226">
        <f t="shared" si="1"/>
        <v>1</v>
      </c>
      <c r="J30" s="228">
        <v>3.970292</v>
      </c>
      <c r="K30" s="227">
        <v>1E-06</v>
      </c>
      <c r="L30" s="228">
        <v>3.970292</v>
      </c>
      <c r="M30" s="227">
        <v>1E-06</v>
      </c>
      <c r="N30" s="228">
        <v>3.970292</v>
      </c>
      <c r="O30" s="227">
        <v>1E-06</v>
      </c>
      <c r="P30" s="228">
        <v>3.970292</v>
      </c>
      <c r="Q30" s="227">
        <v>1E-06</v>
      </c>
      <c r="R30" s="228">
        <v>3.970292</v>
      </c>
      <c r="S30" s="227">
        <v>1E-06</v>
      </c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X30" s="185" t="s">
        <v>457</v>
      </c>
      <c r="AY30" s="247">
        <f t="shared" si="7"/>
        <v>754110.9513360221</v>
      </c>
      <c r="AZ30" s="247">
        <f t="shared" si="8"/>
        <v>539617.360629326</v>
      </c>
      <c r="BA30" s="247">
        <f t="shared" si="9"/>
        <v>420498.55839161645</v>
      </c>
      <c r="BC30" s="185" t="s">
        <v>457</v>
      </c>
      <c r="BD30" s="6">
        <f t="shared" si="10"/>
        <v>750000</v>
      </c>
      <c r="BE30" s="6">
        <f t="shared" si="11"/>
        <v>540000</v>
      </c>
      <c r="BF30" s="6">
        <f t="shared" si="12"/>
        <v>420000</v>
      </c>
      <c r="BH30" s="2">
        <f t="shared" si="4"/>
        <v>1</v>
      </c>
      <c r="BI30" s="2">
        <f t="shared" si="5"/>
        <v>0.72</v>
      </c>
      <c r="BJ30" s="2">
        <f t="shared" si="6"/>
        <v>0.56</v>
      </c>
    </row>
    <row r="31" spans="3:62" ht="12.75">
      <c r="C31">
        <v>26</v>
      </c>
      <c r="D31">
        <v>53</v>
      </c>
      <c r="E31">
        <v>0.5</v>
      </c>
      <c r="F31">
        <v>5</v>
      </c>
      <c r="H31" s="225">
        <f t="shared" si="0"/>
        <v>5</v>
      </c>
      <c r="I31" s="226">
        <f t="shared" si="1"/>
        <v>0.5</v>
      </c>
      <c r="J31" s="228">
        <v>3.970292</v>
      </c>
      <c r="K31" s="227">
        <v>1E-06</v>
      </c>
      <c r="L31" s="228">
        <v>3.970292</v>
      </c>
      <c r="M31" s="227">
        <v>1E-06</v>
      </c>
      <c r="N31" s="228">
        <v>3.970292</v>
      </c>
      <c r="O31" s="227">
        <v>1E-06</v>
      </c>
      <c r="P31" s="228">
        <v>3.970292</v>
      </c>
      <c r="Q31" s="227">
        <v>1E-06</v>
      </c>
      <c r="R31" s="228">
        <v>3.970292</v>
      </c>
      <c r="S31" s="227">
        <v>1E-06</v>
      </c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X31" s="185" t="s">
        <v>282</v>
      </c>
      <c r="AY31" s="247">
        <f t="shared" si="7"/>
        <v>347725.8109248629</v>
      </c>
      <c r="AZ31" s="247">
        <f t="shared" si="8"/>
        <v>195196.25403361986</v>
      </c>
      <c r="BA31" s="247">
        <f t="shared" si="9"/>
        <v>166166.130947891</v>
      </c>
      <c r="BC31" s="185" t="s">
        <v>282</v>
      </c>
      <c r="BD31" s="6">
        <f t="shared" si="10"/>
        <v>350000</v>
      </c>
      <c r="BE31" s="6">
        <f t="shared" si="11"/>
        <v>200000</v>
      </c>
      <c r="BF31" s="6">
        <f t="shared" si="12"/>
        <v>170000</v>
      </c>
      <c r="BH31" s="2">
        <f>BD31/$BD31</f>
        <v>1</v>
      </c>
      <c r="BI31" s="2">
        <f t="shared" si="5"/>
        <v>0.5714285714285714</v>
      </c>
      <c r="BJ31" s="2">
        <f t="shared" si="6"/>
        <v>0.4857142857142857</v>
      </c>
    </row>
    <row r="32" spans="3:19" ht="12.75">
      <c r="C32">
        <v>27</v>
      </c>
      <c r="D32">
        <v>60</v>
      </c>
      <c r="E32">
        <v>1.5</v>
      </c>
      <c r="F32">
        <v>5</v>
      </c>
      <c r="H32" s="225">
        <f t="shared" si="0"/>
        <v>5</v>
      </c>
      <c r="I32" s="226">
        <f t="shared" si="1"/>
        <v>1.5</v>
      </c>
      <c r="J32" s="228">
        <v>4.0943445</v>
      </c>
      <c r="K32" s="227">
        <v>1E-06</v>
      </c>
      <c r="L32" s="228">
        <v>4.0943445</v>
      </c>
      <c r="M32" s="227">
        <v>1E-06</v>
      </c>
      <c r="N32" s="228">
        <v>4.0943445</v>
      </c>
      <c r="O32" s="227">
        <v>1E-06</v>
      </c>
      <c r="P32" s="228">
        <v>4.0943445</v>
      </c>
      <c r="Q32" s="227">
        <v>1E-06</v>
      </c>
      <c r="R32" s="228">
        <v>4.0943445</v>
      </c>
      <c r="S32" s="227">
        <v>1E-06</v>
      </c>
    </row>
    <row r="33" spans="3:19" ht="12.75">
      <c r="C33">
        <v>28</v>
      </c>
      <c r="D33">
        <v>60</v>
      </c>
      <c r="E33">
        <v>1</v>
      </c>
      <c r="F33">
        <v>5</v>
      </c>
      <c r="H33" s="225">
        <f t="shared" si="0"/>
        <v>5</v>
      </c>
      <c r="I33" s="226">
        <f t="shared" si="1"/>
        <v>1</v>
      </c>
      <c r="J33" s="228">
        <v>4.0943445</v>
      </c>
      <c r="K33" s="227">
        <v>1E-06</v>
      </c>
      <c r="L33" s="228">
        <v>4.0943445</v>
      </c>
      <c r="M33" s="227">
        <v>1E-06</v>
      </c>
      <c r="N33" s="228">
        <v>4.0943445</v>
      </c>
      <c r="O33" s="227">
        <v>1E-06</v>
      </c>
      <c r="P33" s="228">
        <v>4.0943445</v>
      </c>
      <c r="Q33" s="227">
        <v>1E-06</v>
      </c>
      <c r="R33" s="228">
        <v>4.0943445</v>
      </c>
      <c r="S33" s="227">
        <v>1E-06</v>
      </c>
    </row>
    <row r="34" spans="3:19" ht="12.75">
      <c r="C34">
        <v>29</v>
      </c>
      <c r="D34">
        <v>60</v>
      </c>
      <c r="E34">
        <v>0.5</v>
      </c>
      <c r="F34">
        <v>5</v>
      </c>
      <c r="H34" s="225">
        <f t="shared" si="0"/>
        <v>5</v>
      </c>
      <c r="I34" s="226">
        <f t="shared" si="1"/>
        <v>0.5</v>
      </c>
      <c r="J34" s="228">
        <v>4.0943445</v>
      </c>
      <c r="K34" s="227">
        <v>1E-06</v>
      </c>
      <c r="L34" s="228">
        <v>4.0943445</v>
      </c>
      <c r="M34" s="227">
        <v>1E-06</v>
      </c>
      <c r="N34" s="228">
        <v>4.0943445</v>
      </c>
      <c r="O34" s="227">
        <v>1E-06</v>
      </c>
      <c r="P34" s="228">
        <v>4.0943445</v>
      </c>
      <c r="Q34" s="227">
        <v>1E-06</v>
      </c>
      <c r="R34" s="228">
        <v>4.0943445</v>
      </c>
      <c r="S34" s="227">
        <v>1E-06</v>
      </c>
    </row>
    <row r="35" spans="3:52" ht="12.75">
      <c r="C35">
        <v>30</v>
      </c>
      <c r="D35" t="s">
        <v>287</v>
      </c>
      <c r="E35">
        <v>3</v>
      </c>
      <c r="F35">
        <v>5</v>
      </c>
      <c r="H35" s="225">
        <f t="shared" si="0"/>
        <v>5</v>
      </c>
      <c r="I35" s="226">
        <f t="shared" si="1"/>
        <v>3</v>
      </c>
      <c r="J35" s="227">
        <v>4.008218657008211</v>
      </c>
      <c r="K35" s="227">
        <v>0.1356504682374151</v>
      </c>
      <c r="L35" s="228">
        <v>3.920908388550437</v>
      </c>
      <c r="M35" s="228">
        <v>0.13518587475694585</v>
      </c>
      <c r="N35" s="228">
        <v>3.856636781952395</v>
      </c>
      <c r="O35" s="228">
        <v>0.15018771550071305</v>
      </c>
      <c r="P35" s="228">
        <v>3.9690771145537576</v>
      </c>
      <c r="Q35" s="228">
        <v>0.1390343767249419</v>
      </c>
      <c r="R35" s="228">
        <v>3.871816226853579</v>
      </c>
      <c r="S35" s="228">
        <v>0.15018771550071305</v>
      </c>
      <c r="AX35" t="s">
        <v>441</v>
      </c>
      <c r="AZ35" s="6">
        <v>6100000000</v>
      </c>
    </row>
    <row r="36" spans="50:52" ht="12.75">
      <c r="AX36" t="s">
        <v>442</v>
      </c>
      <c r="AZ36" s="45">
        <v>0.31</v>
      </c>
    </row>
    <row r="37" spans="50:54" ht="12.75">
      <c r="AX37" t="s">
        <v>441</v>
      </c>
      <c r="AZ37" s="6">
        <f>AZ35*(1-AZ36)</f>
        <v>4208999999.9999995</v>
      </c>
      <c r="BB37">
        <v>50500000000</v>
      </c>
    </row>
    <row r="38" spans="50:60" ht="12.75">
      <c r="AX38" t="s">
        <v>443</v>
      </c>
      <c r="AZ38" s="6">
        <f>AZ37*12</f>
        <v>50507999999.99999</v>
      </c>
      <c r="BB38" s="250">
        <f>BH50</f>
        <v>6.884568997482834E-06</v>
      </c>
      <c r="BE38">
        <f>$BB$37*BB38</f>
        <v>347670.73437288316</v>
      </c>
      <c r="BG38" t="s">
        <v>465</v>
      </c>
      <c r="BH38" s="6">
        <f>ROUND(BE38,$BH$47-1-INT(LOG10(ABS(BE38))))</f>
        <v>350000</v>
      </c>
    </row>
    <row r="39" spans="54:60" ht="12.75">
      <c r="BB39" s="250">
        <f>BH51</f>
        <v>3.864660133713865E-06</v>
      </c>
      <c r="BE39">
        <f>$BB$37*BB39</f>
        <v>195165.33675255015</v>
      </c>
      <c r="BG39" t="s">
        <v>394</v>
      </c>
      <c r="BH39" s="6">
        <f>ROUND(BE39,$BH$47-1-INT(LOG10(ABS(BE39))))</f>
        <v>200000</v>
      </c>
    </row>
    <row r="40" spans="50:60" ht="12.75">
      <c r="AX40" t="s">
        <v>444</v>
      </c>
      <c r="BB40" s="250">
        <f>BH52</f>
        <v>3.2898972627680967E-06</v>
      </c>
      <c r="BE40">
        <f>$BB$37*BB40</f>
        <v>166139.81176978888</v>
      </c>
      <c r="BG40" t="s">
        <v>395</v>
      </c>
      <c r="BH40" s="6">
        <f>ROUND(BE40,$BH$47-1-INT(LOG10(ABS(BE40))))</f>
        <v>170000</v>
      </c>
    </row>
    <row r="41" spans="3:42" ht="12.75">
      <c r="C41" s="116" t="s">
        <v>13</v>
      </c>
      <c r="D41" s="117"/>
      <c r="E41" s="117"/>
      <c r="F41" s="118"/>
      <c r="G41" s="116" t="s">
        <v>58</v>
      </c>
      <c r="H41" s="117"/>
      <c r="I41" s="117"/>
      <c r="J41" s="118"/>
      <c r="K41" s="116" t="s">
        <v>16</v>
      </c>
      <c r="L41" s="117"/>
      <c r="M41" s="117"/>
      <c r="N41" s="118"/>
      <c r="O41" s="116" t="s">
        <v>57</v>
      </c>
      <c r="P41" s="117"/>
      <c r="Q41" s="117"/>
      <c r="R41" s="118"/>
      <c r="S41" s="116" t="s">
        <v>56</v>
      </c>
      <c r="T41" s="117"/>
      <c r="U41" s="117"/>
      <c r="V41" s="118"/>
      <c r="W41" s="116" t="s">
        <v>55</v>
      </c>
      <c r="X41" s="117"/>
      <c r="Y41" s="117"/>
      <c r="Z41" s="118"/>
      <c r="AA41" s="116" t="s">
        <v>54</v>
      </c>
      <c r="AB41" s="117"/>
      <c r="AC41" s="117"/>
      <c r="AD41" s="118"/>
      <c r="AE41" s="116" t="s">
        <v>53</v>
      </c>
      <c r="AF41" s="117"/>
      <c r="AG41" s="117"/>
      <c r="AH41" s="118"/>
      <c r="AI41" s="116" t="s">
        <v>59</v>
      </c>
      <c r="AJ41" s="117"/>
      <c r="AK41" s="117"/>
      <c r="AL41" s="118"/>
      <c r="AM41" s="116" t="s">
        <v>46</v>
      </c>
      <c r="AN41" s="117"/>
      <c r="AO41" s="117"/>
      <c r="AP41" s="118"/>
    </row>
    <row r="42" spans="3:52" ht="12.75">
      <c r="C42" s="22" t="s">
        <v>48</v>
      </c>
      <c r="D42" s="23" t="s">
        <v>10</v>
      </c>
      <c r="E42" s="29" t="s">
        <v>50</v>
      </c>
      <c r="F42" s="22" t="s">
        <v>49</v>
      </c>
      <c r="G42" s="22" t="s">
        <v>48</v>
      </c>
      <c r="H42" s="23" t="s">
        <v>10</v>
      </c>
      <c r="I42" s="24" t="s">
        <v>50</v>
      </c>
      <c r="J42" s="22" t="s">
        <v>49</v>
      </c>
      <c r="K42" s="22" t="s">
        <v>48</v>
      </c>
      <c r="L42" s="23" t="s">
        <v>10</v>
      </c>
      <c r="M42" s="24" t="s">
        <v>50</v>
      </c>
      <c r="N42" s="22" t="s">
        <v>49</v>
      </c>
      <c r="O42" s="22" t="s">
        <v>48</v>
      </c>
      <c r="P42" s="23" t="s">
        <v>10</v>
      </c>
      <c r="Q42" s="24" t="s">
        <v>50</v>
      </c>
      <c r="R42" s="22" t="s">
        <v>49</v>
      </c>
      <c r="S42" s="66" t="s">
        <v>48</v>
      </c>
      <c r="T42" s="23" t="s">
        <v>10</v>
      </c>
      <c r="U42" s="24" t="s">
        <v>50</v>
      </c>
      <c r="V42" s="22" t="s">
        <v>49</v>
      </c>
      <c r="W42" s="22" t="s">
        <v>48</v>
      </c>
      <c r="X42" s="23" t="s">
        <v>10</v>
      </c>
      <c r="Y42" s="24" t="s">
        <v>50</v>
      </c>
      <c r="Z42" s="22" t="s">
        <v>49</v>
      </c>
      <c r="AA42" s="22" t="s">
        <v>48</v>
      </c>
      <c r="AB42" s="23" t="s">
        <v>10</v>
      </c>
      <c r="AC42" s="24" t="s">
        <v>50</v>
      </c>
      <c r="AD42" s="22" t="s">
        <v>49</v>
      </c>
      <c r="AE42" s="22" t="s">
        <v>48</v>
      </c>
      <c r="AF42" s="23" t="s">
        <v>10</v>
      </c>
      <c r="AG42" s="24" t="s">
        <v>50</v>
      </c>
      <c r="AH42" s="22" t="s">
        <v>49</v>
      </c>
      <c r="AI42" s="22" t="s">
        <v>48</v>
      </c>
      <c r="AJ42" s="23" t="s">
        <v>10</v>
      </c>
      <c r="AK42" s="24" t="s">
        <v>50</v>
      </c>
      <c r="AL42" s="22" t="s">
        <v>49</v>
      </c>
      <c r="AM42" s="22" t="s">
        <v>48</v>
      </c>
      <c r="AN42" s="23" t="s">
        <v>10</v>
      </c>
      <c r="AO42" s="24" t="s">
        <v>50</v>
      </c>
      <c r="AP42" s="22" t="s">
        <v>49</v>
      </c>
      <c r="AQ42" s="24" t="s">
        <v>135</v>
      </c>
      <c r="AR42" s="22" t="s">
        <v>134</v>
      </c>
      <c r="AS42" s="24" t="s">
        <v>50</v>
      </c>
      <c r="AT42" s="24" t="s">
        <v>140</v>
      </c>
      <c r="AU42" s="24" t="s">
        <v>141</v>
      </c>
      <c r="AX42" s="245" t="s">
        <v>445</v>
      </c>
      <c r="AY42" s="112" t="s">
        <v>446</v>
      </c>
      <c r="AZ42" s="112" t="s">
        <v>447</v>
      </c>
    </row>
    <row r="43" spans="1:56" ht="12.75">
      <c r="A43">
        <v>1</v>
      </c>
      <c r="B43" t="s">
        <v>65</v>
      </c>
      <c r="C43" s="5">
        <v>0.3192541666666656</v>
      </c>
      <c r="D43" s="20">
        <v>0.06965610127737056</v>
      </c>
      <c r="E43" s="30">
        <v>158048.98831563324</v>
      </c>
      <c r="F43" s="5">
        <v>24.579670259397837</v>
      </c>
      <c r="G43" s="5">
        <v>2.4447375000000156</v>
      </c>
      <c r="H43" s="20">
        <v>0.07233276901232819</v>
      </c>
      <c r="I43" s="6">
        <v>1240454.8707839127</v>
      </c>
      <c r="J43" s="5">
        <v>9.61050902704909</v>
      </c>
      <c r="K43" s="5">
        <v>2.7029758333333493</v>
      </c>
      <c r="L43" s="20">
        <v>0.07275177557974338</v>
      </c>
      <c r="M43" s="6">
        <v>1584782.5296667279</v>
      </c>
      <c r="N43" s="5">
        <v>9.59059047816241</v>
      </c>
      <c r="O43" s="5">
        <v>5.086904999999977</v>
      </c>
      <c r="P43" s="20">
        <v>0.07661683163750732</v>
      </c>
      <c r="Q43" s="6">
        <v>15289460.251653275</v>
      </c>
      <c r="R43" s="5">
        <v>7.671885732929745</v>
      </c>
      <c r="S43" s="2">
        <v>5.086904999999977</v>
      </c>
      <c r="T43" s="20">
        <v>0.07661683163750732</v>
      </c>
      <c r="U43" s="6">
        <v>15289460.251653275</v>
      </c>
      <c r="V43" s="5">
        <v>7.671885732929745</v>
      </c>
      <c r="W43" s="5">
        <v>7.0619858333333765</v>
      </c>
      <c r="X43" s="20">
        <v>0.07957804667424881</v>
      </c>
      <c r="Y43" s="6">
        <v>18352356.259258803</v>
      </c>
      <c r="Z43" s="20">
        <v>7.353865112078119</v>
      </c>
      <c r="AA43" s="5">
        <v>7.6559525000000335</v>
      </c>
      <c r="AB43" s="20">
        <v>0.08064594187304797</v>
      </c>
      <c r="AC43" s="6">
        <v>21160090.934925057</v>
      </c>
      <c r="AD43" s="5">
        <v>9.62822030734923</v>
      </c>
      <c r="AE43" s="5">
        <v>17.26202499999998</v>
      </c>
      <c r="AF43" s="20">
        <v>0.09505671389327201</v>
      </c>
      <c r="AG43" s="6">
        <v>26683563.95846572</v>
      </c>
      <c r="AH43" s="5">
        <v>4.882659361197284</v>
      </c>
      <c r="AI43" s="5">
        <v>17.30938166666666</v>
      </c>
      <c r="AJ43" s="20">
        <v>0.09567220068442661</v>
      </c>
      <c r="AK43" s="6">
        <v>28547699.41524539</v>
      </c>
      <c r="AL43" s="5">
        <v>16.207172841401356</v>
      </c>
      <c r="AM43" s="5">
        <v>24.318818333333464</v>
      </c>
      <c r="AN43" s="20">
        <v>0.10838231572143725</v>
      </c>
      <c r="AO43" s="6">
        <v>31224359.29986357</v>
      </c>
      <c r="AP43" s="5">
        <v>4.850722239414518</v>
      </c>
      <c r="AQ43" s="127">
        <v>25.258442154556317</v>
      </c>
      <c r="AR43" s="42">
        <v>8.623156888890444</v>
      </c>
      <c r="AS43" s="43">
        <v>397218.3496060879</v>
      </c>
      <c r="AT43">
        <v>3.21752</v>
      </c>
      <c r="AU43">
        <v>0.004990334629525344</v>
      </c>
      <c r="AV43" t="s">
        <v>65</v>
      </c>
      <c r="AX43" s="185" t="str">
        <f>"Storage at "&amp;TEXT(D6,"0")&amp;"F"&amp;" within "&amp;TEXT(E6,"0.0")&amp;" days"</f>
        <v>Storage at 45F within 1.5 days</v>
      </c>
      <c r="AY43" s="246" t="str">
        <f>IF(F6=0,"N",TEXT(F6,"0")&amp;" Logs")</f>
        <v>N</v>
      </c>
      <c r="AZ43" s="247">
        <f>AU43*$AZ$38*Inputs!$D$23</f>
        <v>75040.20596520726</v>
      </c>
      <c r="BB43">
        <f>BE38</f>
        <v>347670.73437288316</v>
      </c>
      <c r="BC43">
        <f>BE39</f>
        <v>195165.33675255015</v>
      </c>
      <c r="BD43">
        <f>BE40</f>
        <v>166139.81176978888</v>
      </c>
    </row>
    <row r="44" spans="1:56" ht="12.75">
      <c r="A44">
        <v>2</v>
      </c>
      <c r="B44" t="s">
        <v>65</v>
      </c>
      <c r="C44" s="5">
        <v>0.3114333333333323</v>
      </c>
      <c r="D44" s="20">
        <v>0.06959005904223849</v>
      </c>
      <c r="E44" s="30">
        <v>39483.08112504751</v>
      </c>
      <c r="F44" s="5">
        <v>24.581319636184972</v>
      </c>
      <c r="G44" s="5">
        <v>2.4369000000000023</v>
      </c>
      <c r="H44" s="20">
        <v>0.07228568905926308</v>
      </c>
      <c r="I44" s="6">
        <v>958704.6863379492</v>
      </c>
      <c r="J44" s="5">
        <v>9.610730596452532</v>
      </c>
      <c r="K44" s="5">
        <v>2.6951600000000133</v>
      </c>
      <c r="L44" s="20">
        <v>0.07268519687648627</v>
      </c>
      <c r="M44" s="6">
        <v>1288915.744155358</v>
      </c>
      <c r="N44" s="5">
        <v>9.590778754525356</v>
      </c>
      <c r="O44" s="5">
        <v>5.079024999999981</v>
      </c>
      <c r="P44" s="20">
        <v>0.07654850872683396</v>
      </c>
      <c r="Q44" s="6">
        <v>13651348.063791389</v>
      </c>
      <c r="R44" s="5">
        <v>7.6719468207193104</v>
      </c>
      <c r="S44" s="2">
        <v>5.079024999999981</v>
      </c>
      <c r="T44" s="20">
        <v>0.07654850872683396</v>
      </c>
      <c r="U44" s="6">
        <v>13651348.063791389</v>
      </c>
      <c r="V44" s="5">
        <v>7.6719468207193104</v>
      </c>
      <c r="W44" s="5">
        <v>7.054262499999997</v>
      </c>
      <c r="X44" s="20">
        <v>0.07949013135479018</v>
      </c>
      <c r="Y44" s="6">
        <v>17329402.50635027</v>
      </c>
      <c r="Z44" s="20">
        <v>7.353899147666185</v>
      </c>
      <c r="AA44" s="5">
        <v>7.648181666666684</v>
      </c>
      <c r="AB44" s="20">
        <v>0.08055788343226201</v>
      </c>
      <c r="AC44" s="6">
        <v>19168533.99561675</v>
      </c>
      <c r="AD44" s="5">
        <v>9.62803012422508</v>
      </c>
      <c r="AE44" s="5">
        <v>17.254205833333284</v>
      </c>
      <c r="AF44" s="20">
        <v>0.09496785199173959</v>
      </c>
      <c r="AG44" s="6">
        <v>24463171.868258446</v>
      </c>
      <c r="AH44" s="5">
        <v>4.882654815435489</v>
      </c>
      <c r="AI44" s="5">
        <v>17.301591666666628</v>
      </c>
      <c r="AJ44" s="20">
        <v>0.09556412045848765</v>
      </c>
      <c r="AK44" s="6">
        <v>25353255.85497616</v>
      </c>
      <c r="AL44" s="5">
        <v>16.206251355510112</v>
      </c>
      <c r="AM44" s="5">
        <v>24.31102250000018</v>
      </c>
      <c r="AN44" s="20">
        <v>0.10833058238367199</v>
      </c>
      <c r="AO44" s="6">
        <v>27433024.929287612</v>
      </c>
      <c r="AP44" s="5">
        <v>4.850718098770045</v>
      </c>
      <c r="AQ44" s="127">
        <v>25.258442154556317</v>
      </c>
      <c r="AR44" s="42">
        <v>8.623156888890444</v>
      </c>
      <c r="AS44" s="43">
        <v>255887.4335252832</v>
      </c>
      <c r="AT44">
        <v>3.21752</v>
      </c>
      <c r="AU44">
        <v>0.0048371395411134065</v>
      </c>
      <c r="AV44" t="s">
        <v>65</v>
      </c>
      <c r="AX44" s="185" t="str">
        <f aca="true" t="shared" si="13" ref="AX44:AX71">"Storage at "&amp;TEXT(D7,"0")&amp;"F"&amp;" within "&amp;TEXT(E7,"0.0")&amp;" days"</f>
        <v>Storage at 45F within 1.0 days</v>
      </c>
      <c r="AY44" s="246" t="str">
        <f aca="true" t="shared" si="14" ref="AY44:AY72">IF(F7=0,"N",TEXT(F7,"0")&amp;" Logs")</f>
        <v>N</v>
      </c>
      <c r="AZ44" s="247">
        <f>AU44*$AZ$38*Inputs!$D$23</f>
        <v>72736.59471651964</v>
      </c>
      <c r="BC44" t="s">
        <v>394</v>
      </c>
      <c r="BD44" t="s">
        <v>395</v>
      </c>
    </row>
    <row r="45" spans="1:56" ht="12.75">
      <c r="A45">
        <v>3</v>
      </c>
      <c r="B45" t="s">
        <v>65</v>
      </c>
      <c r="C45" s="5">
        <v>0.26479750000000396</v>
      </c>
      <c r="D45" s="20">
        <v>0.0691616124135652</v>
      </c>
      <c r="E45" s="30">
        <v>1691.1315303021704</v>
      </c>
      <c r="F45" s="5">
        <v>24.60726459959128</v>
      </c>
      <c r="G45" s="5">
        <v>2.3903833333333266</v>
      </c>
      <c r="H45" s="20">
        <v>0.07187517568540941</v>
      </c>
      <c r="I45" s="6">
        <v>880979.078012123</v>
      </c>
      <c r="J45" s="5">
        <v>9.614392248002767</v>
      </c>
      <c r="K45" s="5">
        <v>2.6487133333333284</v>
      </c>
      <c r="L45" s="20">
        <v>0.07225515613097841</v>
      </c>
      <c r="M45" s="6">
        <v>1098372.5327896448</v>
      </c>
      <c r="N45" s="5">
        <v>9.594469126545379</v>
      </c>
      <c r="O45" s="5">
        <v>5.032508333333362</v>
      </c>
      <c r="P45" s="20">
        <v>0.07607165454060869</v>
      </c>
      <c r="Q45" s="6">
        <v>10448552.106428348</v>
      </c>
      <c r="R45" s="5">
        <v>7.672590917820232</v>
      </c>
      <c r="S45" s="2">
        <v>5.032508333333362</v>
      </c>
      <c r="T45" s="20">
        <v>0.07607165454060869</v>
      </c>
      <c r="U45" s="6">
        <v>10448552.106428348</v>
      </c>
      <c r="V45" s="5">
        <v>7.672590917820232</v>
      </c>
      <c r="W45" s="5">
        <v>7.007647500000071</v>
      </c>
      <c r="X45" s="20">
        <v>0.07901158050710895</v>
      </c>
      <c r="Y45" s="6">
        <v>13603414.090435393</v>
      </c>
      <c r="Z45" s="20">
        <v>7.353786058040436</v>
      </c>
      <c r="AA45" s="5">
        <v>7.601661666666661</v>
      </c>
      <c r="AB45" s="20">
        <v>0.08011752454637486</v>
      </c>
      <c r="AC45" s="6">
        <v>15373347.554870205</v>
      </c>
      <c r="AD45" s="5">
        <v>9.628762031964454</v>
      </c>
      <c r="AE45" s="5">
        <v>17.207685833333276</v>
      </c>
      <c r="AF45" s="20">
        <v>0.09446593653674452</v>
      </c>
      <c r="AG45" s="6">
        <v>20255472.36819416</v>
      </c>
      <c r="AH45" s="5">
        <v>4.882636097239422</v>
      </c>
      <c r="AI45" s="5">
        <v>17.254915000000004</v>
      </c>
      <c r="AJ45" s="20">
        <v>0.09509792079093972</v>
      </c>
      <c r="AK45" s="6">
        <v>20526250.06293447</v>
      </c>
      <c r="AL45" s="5">
        <v>16.1889842310252</v>
      </c>
      <c r="AM45" s="5">
        <v>24.264375833333364</v>
      </c>
      <c r="AN45" s="20">
        <v>0.10780463988824533</v>
      </c>
      <c r="AO45" s="6">
        <v>22498801.80242408</v>
      </c>
      <c r="AP45" s="5">
        <v>4.850718265962643</v>
      </c>
      <c r="AQ45" s="127">
        <v>25.258442154556317</v>
      </c>
      <c r="AR45" s="42">
        <v>8.623156888890444</v>
      </c>
      <c r="AS45" s="43">
        <v>126357.96578525605</v>
      </c>
      <c r="AT45">
        <v>3.21752</v>
      </c>
      <c r="AU45">
        <v>0.004162151438993603</v>
      </c>
      <c r="AV45" t="s">
        <v>65</v>
      </c>
      <c r="AX45" s="185" t="str">
        <f t="shared" si="13"/>
        <v>Storage at 45F within 0.5 days</v>
      </c>
      <c r="AY45" s="246" t="str">
        <f t="shared" si="14"/>
        <v>N</v>
      </c>
      <c r="AZ45" s="247">
        <f>AU45*$AZ$38*Inputs!$D$23</f>
        <v>62586.72502492502</v>
      </c>
      <c r="BB45">
        <v>0</v>
      </c>
      <c r="BC45">
        <f aca="true" t="shared" si="15" ref="BC45:BD62">(1-$BB45)*$BB$43+($BB45*BC$43)</f>
        <v>347670.73437288316</v>
      </c>
      <c r="BD45">
        <f t="shared" si="15"/>
        <v>347670.73437288316</v>
      </c>
    </row>
    <row r="46" spans="1:73" ht="12.75">
      <c r="A46">
        <v>4</v>
      </c>
      <c r="B46" t="s">
        <v>65</v>
      </c>
      <c r="C46" s="5">
        <v>0.3192541666666656</v>
      </c>
      <c r="D46" s="20">
        <v>0.06965610127737056</v>
      </c>
      <c r="E46" s="30">
        <v>158048.98831563324</v>
      </c>
      <c r="F46" s="5">
        <v>24.579670259397837</v>
      </c>
      <c r="G46" s="5">
        <v>2.4447375000000156</v>
      </c>
      <c r="H46" s="20">
        <v>0.07316966661483629</v>
      </c>
      <c r="I46" s="6">
        <v>7768453.743614486</v>
      </c>
      <c r="J46" s="5">
        <v>13.445021815933686</v>
      </c>
      <c r="K46" s="5">
        <v>2.7029758333333493</v>
      </c>
      <c r="L46" s="20">
        <v>0.07365887167425872</v>
      </c>
      <c r="M46" s="6">
        <v>8177909.728741579</v>
      </c>
      <c r="N46" s="5">
        <v>13.430239545165014</v>
      </c>
      <c r="O46" s="5">
        <v>5.086904999999977</v>
      </c>
      <c r="P46" s="20">
        <v>0.07888681658409157</v>
      </c>
      <c r="Q46" s="6">
        <v>97918803.22919187</v>
      </c>
      <c r="R46" s="5">
        <v>12.001779593222077</v>
      </c>
      <c r="S46" s="2">
        <v>5.086904999999977</v>
      </c>
      <c r="T46" s="20">
        <v>0.07888681658409157</v>
      </c>
      <c r="U46" s="6">
        <v>97918803.22919187</v>
      </c>
      <c r="V46" s="5">
        <v>12.001779593222077</v>
      </c>
      <c r="W46" s="5">
        <v>7.0619858333333765</v>
      </c>
      <c r="X46" s="20">
        <v>0.082995793595521</v>
      </c>
      <c r="Y46" s="6">
        <v>193493376.45019415</v>
      </c>
      <c r="Z46" s="20">
        <v>11.764654489360883</v>
      </c>
      <c r="AA46" s="5">
        <v>7.6559525000000335</v>
      </c>
      <c r="AB46" s="20">
        <v>0.08418037173090914</v>
      </c>
      <c r="AC46" s="6">
        <v>217999551.08113074</v>
      </c>
      <c r="AD46" s="5">
        <v>11.417697592989708</v>
      </c>
      <c r="AE46" s="5">
        <v>17.26202499999998</v>
      </c>
      <c r="AF46" s="20">
        <v>0.09858320301500031</v>
      </c>
      <c r="AG46" s="6">
        <v>236556280.78056148</v>
      </c>
      <c r="AH46" s="5">
        <v>4.920260692590711</v>
      </c>
      <c r="AI46" s="5">
        <v>17.30938166666666</v>
      </c>
      <c r="AJ46" s="20">
        <v>0.09929310247319087</v>
      </c>
      <c r="AK46" s="6">
        <v>245052000.433334</v>
      </c>
      <c r="AL46" s="5">
        <v>16.227541683893136</v>
      </c>
      <c r="AM46" s="5">
        <v>24.318818333333464</v>
      </c>
      <c r="AN46" s="20">
        <v>0.11185744918723314</v>
      </c>
      <c r="AO46" s="6">
        <v>263223609.24588037</v>
      </c>
      <c r="AP46" s="5">
        <v>4.850722678394067</v>
      </c>
      <c r="AQ46" s="127">
        <v>25.258442154556317</v>
      </c>
      <c r="AR46" s="42">
        <v>8.623156888890444</v>
      </c>
      <c r="AS46" s="43">
        <v>2283757.9563837117</v>
      </c>
      <c r="AT46">
        <v>3.21752</v>
      </c>
      <c r="AU46">
        <v>0.020795085942198043</v>
      </c>
      <c r="AV46" t="s">
        <v>65</v>
      </c>
      <c r="AX46" s="185" t="str">
        <f t="shared" si="13"/>
        <v>Storage at 53F within 1.5 days</v>
      </c>
      <c r="AY46" s="246" t="str">
        <f t="shared" si="14"/>
        <v>N</v>
      </c>
      <c r="AZ46" s="247">
        <f>AU46*$AZ$38*Inputs!$D$23</f>
        <v>312697.97478794545</v>
      </c>
      <c r="BB46">
        <v>0.0005</v>
      </c>
      <c r="BC46">
        <f t="shared" si="15"/>
        <v>347594.48167407303</v>
      </c>
      <c r="BD46">
        <f t="shared" si="15"/>
        <v>347579.9689115817</v>
      </c>
      <c r="BU46" s="6" t="e">
        <f>ROUND(BO46,$BH$47-1-INT(LOG10(ABS(BO46))))</f>
        <v>#NUM!</v>
      </c>
    </row>
    <row r="47" spans="1:60" ht="12.75">
      <c r="A47">
        <v>5</v>
      </c>
      <c r="B47" t="s">
        <v>65</v>
      </c>
      <c r="C47" s="5">
        <v>0.3114333333333323</v>
      </c>
      <c r="D47" s="20">
        <v>0.06959005904223849</v>
      </c>
      <c r="E47" s="30">
        <v>39483.08112504751</v>
      </c>
      <c r="F47" s="5">
        <v>24.581319636184972</v>
      </c>
      <c r="G47" s="5">
        <v>2.4369000000000023</v>
      </c>
      <c r="H47" s="20">
        <v>0.07310301967306293</v>
      </c>
      <c r="I47" s="6">
        <v>5334626.218294378</v>
      </c>
      <c r="J47" s="5">
        <v>13.445251447106402</v>
      </c>
      <c r="K47" s="5">
        <v>2.6951600000000133</v>
      </c>
      <c r="L47" s="20">
        <v>0.07357274576560124</v>
      </c>
      <c r="M47" s="6">
        <v>5451788.5141977165</v>
      </c>
      <c r="N47" s="5">
        <v>13.430435393705302</v>
      </c>
      <c r="O47" s="5">
        <v>5.079024999999981</v>
      </c>
      <c r="P47" s="20">
        <v>0.07881679567855471</v>
      </c>
      <c r="Q47" s="6">
        <v>93554378.34256288</v>
      </c>
      <c r="R47" s="5">
        <v>12.001819904521687</v>
      </c>
      <c r="S47" s="2">
        <v>5.079024999999981</v>
      </c>
      <c r="T47" s="20">
        <v>0.07881679567855471</v>
      </c>
      <c r="U47" s="6">
        <v>93554378.34256288</v>
      </c>
      <c r="V47" s="5">
        <v>12.001819904521687</v>
      </c>
      <c r="W47" s="5">
        <v>7.054262499999997</v>
      </c>
      <c r="X47" s="20">
        <v>0.08288688977943331</v>
      </c>
      <c r="Y47" s="6">
        <v>186659071.88107324</v>
      </c>
      <c r="Z47" s="20">
        <v>11.764671413283269</v>
      </c>
      <c r="AA47" s="5">
        <v>7.648181666666684</v>
      </c>
      <c r="AB47" s="20">
        <v>0.08412894718314477</v>
      </c>
      <c r="AC47" s="6">
        <v>210623789.36756927</v>
      </c>
      <c r="AD47" s="5">
        <v>11.41745882594847</v>
      </c>
      <c r="AE47" s="5">
        <v>17.254205833333284</v>
      </c>
      <c r="AF47" s="20">
        <v>0.0984928462570456</v>
      </c>
      <c r="AG47" s="6">
        <v>229403986.27409202</v>
      </c>
      <c r="AH47" s="5">
        <v>4.920254066702641</v>
      </c>
      <c r="AI47" s="5">
        <v>17.301591666666628</v>
      </c>
      <c r="AJ47" s="20">
        <v>0.09914542308209338</v>
      </c>
      <c r="AK47" s="6">
        <v>238844290.66429693</v>
      </c>
      <c r="AL47" s="5">
        <v>16.226624029745167</v>
      </c>
      <c r="AM47" s="5">
        <v>24.31102250000018</v>
      </c>
      <c r="AN47" s="20">
        <v>0.11180420452924232</v>
      </c>
      <c r="AO47" s="6">
        <v>256094491.54476213</v>
      </c>
      <c r="AP47" s="5">
        <v>4.850718538522172</v>
      </c>
      <c r="AQ47" s="127">
        <v>25.258442154556317</v>
      </c>
      <c r="AR47" s="42">
        <v>8.623156888890444</v>
      </c>
      <c r="AS47" s="43">
        <v>2258928.9926076555</v>
      </c>
      <c r="AT47">
        <v>3.21752</v>
      </c>
      <c r="AU47">
        <v>0.02054215834061188</v>
      </c>
      <c r="AV47" t="s">
        <v>65</v>
      </c>
      <c r="AX47" s="185" t="str">
        <f t="shared" si="13"/>
        <v>Storage at 53F within 1.0 days</v>
      </c>
      <c r="AY47" s="246" t="str">
        <f t="shared" si="14"/>
        <v>N</v>
      </c>
      <c r="AZ47" s="247">
        <f>AU47*$AZ$38*Inputs!$D$23</f>
        <v>308894.6748639248</v>
      </c>
      <c r="BB47">
        <v>0.001</v>
      </c>
      <c r="BC47">
        <f t="shared" si="15"/>
        <v>347518.22897526284</v>
      </c>
      <c r="BD47">
        <f t="shared" si="15"/>
        <v>347489.20345028007</v>
      </c>
      <c r="BH47">
        <v>2</v>
      </c>
    </row>
    <row r="48" spans="1:56" ht="12.75">
      <c r="A48">
        <v>6</v>
      </c>
      <c r="B48" t="s">
        <v>65</v>
      </c>
      <c r="C48" s="5">
        <v>0.26479750000000396</v>
      </c>
      <c r="D48" s="20">
        <v>0.0691616124135652</v>
      </c>
      <c r="E48" s="30">
        <v>1691.1315303021704</v>
      </c>
      <c r="F48" s="5">
        <v>24.60726459959128</v>
      </c>
      <c r="G48" s="5">
        <v>2.3903833333333266</v>
      </c>
      <c r="H48" s="20">
        <v>0.07267221405039763</v>
      </c>
      <c r="I48" s="6">
        <v>4105752.0386562725</v>
      </c>
      <c r="J48" s="5">
        <v>13.448929678606628</v>
      </c>
      <c r="K48" s="5">
        <v>2.6487133333333284</v>
      </c>
      <c r="L48" s="20">
        <v>0.07308351286385724</v>
      </c>
      <c r="M48" s="6">
        <v>4071011.3132752366</v>
      </c>
      <c r="N48" s="5">
        <v>13.434128613826779</v>
      </c>
      <c r="O48" s="5">
        <v>5.032508333333362</v>
      </c>
      <c r="P48" s="20">
        <v>0.07827918042834944</v>
      </c>
      <c r="Q48" s="6">
        <v>81901179.92664348</v>
      </c>
      <c r="R48" s="5">
        <v>12.002484952085599</v>
      </c>
      <c r="S48" s="2">
        <v>5.032508333333362</v>
      </c>
      <c r="T48" s="20">
        <v>0.07827918042834944</v>
      </c>
      <c r="U48" s="6">
        <v>81901179.92664348</v>
      </c>
      <c r="V48" s="5">
        <v>12.002484952085599</v>
      </c>
      <c r="W48" s="5">
        <v>7.007647500000071</v>
      </c>
      <c r="X48" s="20">
        <v>0.08238570501583546</v>
      </c>
      <c r="Y48" s="6">
        <v>164799726.01602963</v>
      </c>
      <c r="Z48" s="20">
        <v>11.764662689488421</v>
      </c>
      <c r="AA48" s="5">
        <v>7.601661666666661</v>
      </c>
      <c r="AB48" s="20">
        <v>0.08356991787723786</v>
      </c>
      <c r="AC48" s="6">
        <v>185753150.27016863</v>
      </c>
      <c r="AD48" s="5">
        <v>11.418139882657192</v>
      </c>
      <c r="AE48" s="5">
        <v>17.207685833333276</v>
      </c>
      <c r="AF48" s="20">
        <v>0.09804544659798087</v>
      </c>
      <c r="AG48" s="6">
        <v>203168199.0915085</v>
      </c>
      <c r="AH48" s="5">
        <v>4.920240962873829</v>
      </c>
      <c r="AI48" s="5">
        <v>17.254915000000004</v>
      </c>
      <c r="AJ48" s="20">
        <v>0.09869491778980335</v>
      </c>
      <c r="AK48" s="6">
        <v>209642398.9114974</v>
      </c>
      <c r="AL48" s="5">
        <v>16.209482542022652</v>
      </c>
      <c r="AM48" s="5">
        <v>24.264375833333364</v>
      </c>
      <c r="AN48" s="20">
        <v>0.11132983270494715</v>
      </c>
      <c r="AO48" s="6">
        <v>226052293.20471635</v>
      </c>
      <c r="AP48" s="5">
        <v>4.850718718882974</v>
      </c>
      <c r="AQ48" s="127">
        <v>25.258442154556317</v>
      </c>
      <c r="AR48" s="42">
        <v>8.623156888890444</v>
      </c>
      <c r="AS48" s="43">
        <v>1756563.720421533</v>
      </c>
      <c r="AT48">
        <v>3.21752</v>
      </c>
      <c r="AU48">
        <v>0.019097330861070617</v>
      </c>
      <c r="AV48" t="s">
        <v>65</v>
      </c>
      <c r="AX48" s="185" t="str">
        <f t="shared" si="13"/>
        <v>Storage at 53F within 0.5 days</v>
      </c>
      <c r="AY48" s="246" t="str">
        <f t="shared" si="14"/>
        <v>N</v>
      </c>
      <c r="AZ48" s="247">
        <f>AU48*$AZ$38*Inputs!$D$23</f>
        <v>287168.64651153755</v>
      </c>
      <c r="BB48">
        <v>0.01</v>
      </c>
      <c r="BC48">
        <f t="shared" si="15"/>
        <v>346145.6803966798</v>
      </c>
      <c r="BD48">
        <f t="shared" si="15"/>
        <v>345855.4251468522</v>
      </c>
    </row>
    <row r="49" spans="1:69" ht="12.75">
      <c r="A49">
        <v>7</v>
      </c>
      <c r="B49" t="s">
        <v>65</v>
      </c>
      <c r="C49" s="5">
        <v>0.3192541666666656</v>
      </c>
      <c r="D49" s="20">
        <v>0.06965610127737056</v>
      </c>
      <c r="E49" s="30">
        <v>158048.98831563324</v>
      </c>
      <c r="F49" s="5">
        <v>24.579670259397837</v>
      </c>
      <c r="G49" s="5">
        <v>2.4447375000000156</v>
      </c>
      <c r="H49" s="20">
        <v>0.07412933374559678</v>
      </c>
      <c r="I49" s="6">
        <v>70686816.20411497</v>
      </c>
      <c r="J49" s="5">
        <v>16.800214792168145</v>
      </c>
      <c r="K49" s="5">
        <v>2.7029758333333493</v>
      </c>
      <c r="L49" s="20">
        <v>0.0747526612653909</v>
      </c>
      <c r="M49" s="6">
        <v>86477843.3732508</v>
      </c>
      <c r="N49" s="5">
        <v>16.789926757098794</v>
      </c>
      <c r="O49" s="5">
        <v>5.086904999999977</v>
      </c>
      <c r="P49" s="20">
        <v>0.08241552689501232</v>
      </c>
      <c r="Q49" s="6">
        <v>467663605.57642096</v>
      </c>
      <c r="R49" s="5">
        <v>15.790430268740801</v>
      </c>
      <c r="S49" s="2">
        <v>5.086904999999977</v>
      </c>
      <c r="T49" s="20">
        <v>0.08241552689501232</v>
      </c>
      <c r="U49" s="6">
        <v>467663605.57642096</v>
      </c>
      <c r="V49" s="5">
        <v>15.790430268740801</v>
      </c>
      <c r="W49" s="5">
        <v>7.0619858333333765</v>
      </c>
      <c r="X49" s="20">
        <v>0.0881903943740737</v>
      </c>
      <c r="Y49" s="6">
        <v>829639297.6512284</v>
      </c>
      <c r="Z49" s="20">
        <v>15.624088621698792</v>
      </c>
      <c r="AA49" s="5">
        <v>7.6559525000000335</v>
      </c>
      <c r="AB49" s="20">
        <v>0.08939369934882306</v>
      </c>
      <c r="AC49" s="6">
        <v>931159278.9141836</v>
      </c>
      <c r="AD49" s="5">
        <v>12.984380977931986</v>
      </c>
      <c r="AE49" s="5">
        <v>17.26202499999998</v>
      </c>
      <c r="AF49" s="20">
        <v>0.10409738806020563</v>
      </c>
      <c r="AG49" s="6">
        <v>978004698.6533914</v>
      </c>
      <c r="AH49" s="5">
        <v>4.954373807253063</v>
      </c>
      <c r="AI49" s="5">
        <v>17.30938166666666</v>
      </c>
      <c r="AJ49" s="20">
        <v>0.10469342166672488</v>
      </c>
      <c r="AK49" s="6">
        <v>996399597.6279005</v>
      </c>
      <c r="AL49" s="5">
        <v>16.246034026948376</v>
      </c>
      <c r="AM49" s="5">
        <v>24.318818333333464</v>
      </c>
      <c r="AN49" s="20">
        <v>0.11721492366495606</v>
      </c>
      <c r="AO49" s="6">
        <v>1024741044.0220003</v>
      </c>
      <c r="AP49" s="5">
        <v>4.850723065120114</v>
      </c>
      <c r="AQ49" s="127">
        <v>25.258442154556317</v>
      </c>
      <c r="AR49" s="42">
        <v>8.623156888890444</v>
      </c>
      <c r="AS49" s="43">
        <v>12596490.450188765</v>
      </c>
      <c r="AT49">
        <v>3.21752</v>
      </c>
      <c r="AU49">
        <v>0.05147436651100948</v>
      </c>
      <c r="AV49" t="s">
        <v>65</v>
      </c>
      <c r="AX49" s="185" t="str">
        <f t="shared" si="13"/>
        <v>Storage at 60F within 1.5 days</v>
      </c>
      <c r="AY49" s="246" t="str">
        <f t="shared" si="14"/>
        <v>N</v>
      </c>
      <c r="AZ49" s="247">
        <f>AU49*$AZ$38*Inputs!$D$23</f>
        <v>774025.6619388496</v>
      </c>
      <c r="BB49">
        <v>0.05</v>
      </c>
      <c r="BC49">
        <f t="shared" si="15"/>
        <v>340045.46449186647</v>
      </c>
      <c r="BD49">
        <f t="shared" si="15"/>
        <v>338594.1882427284</v>
      </c>
      <c r="BH49" t="s">
        <v>461</v>
      </c>
      <c r="BI49" t="s">
        <v>462</v>
      </c>
      <c r="BJ49" t="s">
        <v>463</v>
      </c>
      <c r="BK49" t="s">
        <v>464</v>
      </c>
      <c r="BN49" t="s">
        <v>461</v>
      </c>
      <c r="BO49" t="s">
        <v>462</v>
      </c>
      <c r="BP49" t="s">
        <v>463</v>
      </c>
      <c r="BQ49" t="s">
        <v>464</v>
      </c>
    </row>
    <row r="50" spans="1:69" ht="12.75">
      <c r="A50">
        <v>8</v>
      </c>
      <c r="B50" t="s">
        <v>65</v>
      </c>
      <c r="C50" s="5">
        <v>0.3114333333333323</v>
      </c>
      <c r="D50" s="20">
        <v>0.06959005904223849</v>
      </c>
      <c r="E50" s="30">
        <v>39483.08112504751</v>
      </c>
      <c r="F50" s="5">
        <v>24.581319636184972</v>
      </c>
      <c r="G50" s="5">
        <v>2.4369000000000023</v>
      </c>
      <c r="H50" s="20">
        <v>0.07406236089514671</v>
      </c>
      <c r="I50" s="6">
        <v>65164170.65848593</v>
      </c>
      <c r="J50" s="5">
        <v>16.80045147737685</v>
      </c>
      <c r="K50" s="5">
        <v>2.6951600000000133</v>
      </c>
      <c r="L50" s="20">
        <v>0.0746855789074631</v>
      </c>
      <c r="M50" s="6">
        <v>79539581.9697587</v>
      </c>
      <c r="N50" s="5">
        <v>16.790129231283107</v>
      </c>
      <c r="O50" s="5">
        <v>5.079024999999981</v>
      </c>
      <c r="P50" s="20">
        <v>0.08234412753540897</v>
      </c>
      <c r="Q50" s="6">
        <v>459834676.0973073</v>
      </c>
      <c r="R50" s="5">
        <v>15.790452400642627</v>
      </c>
      <c r="S50" s="2">
        <v>5.079024999999981</v>
      </c>
      <c r="T50" s="20">
        <v>0.08234412753540897</v>
      </c>
      <c r="U50" s="6">
        <v>459834676.0973073</v>
      </c>
      <c r="V50" s="5">
        <v>15.790452400642627</v>
      </c>
      <c r="W50" s="5">
        <v>7.054262499999997</v>
      </c>
      <c r="X50" s="20">
        <v>0.08811851999442116</v>
      </c>
      <c r="Y50" s="6">
        <v>826748708.6985633</v>
      </c>
      <c r="Z50" s="20">
        <v>15.624090572939336</v>
      </c>
      <c r="AA50" s="5">
        <v>7.648181666666684</v>
      </c>
      <c r="AB50" s="20">
        <v>0.08934069720587026</v>
      </c>
      <c r="AC50" s="6">
        <v>927204470.9758347</v>
      </c>
      <c r="AD50" s="5">
        <v>12.984125474357253</v>
      </c>
      <c r="AE50" s="5">
        <v>17.254205833333284</v>
      </c>
      <c r="AF50" s="20">
        <v>0.10400471168214573</v>
      </c>
      <c r="AG50" s="6">
        <v>974214827.8356819</v>
      </c>
      <c r="AH50" s="5">
        <v>4.954370337603162</v>
      </c>
      <c r="AI50" s="5">
        <v>17.301591666666628</v>
      </c>
      <c r="AJ50" s="20">
        <v>0.10450454199298209</v>
      </c>
      <c r="AK50" s="6">
        <v>991578381.2791032</v>
      </c>
      <c r="AL50" s="5">
        <v>16.245141741276694</v>
      </c>
      <c r="AM50" s="5">
        <v>24.31102250000018</v>
      </c>
      <c r="AN50" s="20">
        <v>0.1169923067613828</v>
      </c>
      <c r="AO50" s="6">
        <v>1019797410.3888103</v>
      </c>
      <c r="AP50" s="5">
        <v>4.850718925842912</v>
      </c>
      <c r="AQ50" s="127">
        <v>25.258442154556317</v>
      </c>
      <c r="AR50" s="42">
        <v>8.623156888890444</v>
      </c>
      <c r="AS50" s="43">
        <v>11721127.045323873</v>
      </c>
      <c r="AT50">
        <v>3.21752</v>
      </c>
      <c r="AU50">
        <v>0.05121926956042489</v>
      </c>
      <c r="AV50" t="s">
        <v>65</v>
      </c>
      <c r="AX50" s="185" t="str">
        <f t="shared" si="13"/>
        <v>Storage at 60F within 1.0 days</v>
      </c>
      <c r="AY50" s="246" t="str">
        <f t="shared" si="14"/>
        <v>N</v>
      </c>
      <c r="AZ50" s="247">
        <f>AU50*$AZ$38*Inputs!$D$23</f>
        <v>770189.7412773961</v>
      </c>
      <c r="BB50">
        <v>0.1</v>
      </c>
      <c r="BC50">
        <f t="shared" si="15"/>
        <v>332420.1946108499</v>
      </c>
      <c r="BD50">
        <f t="shared" si="15"/>
        <v>329517.6421125738</v>
      </c>
      <c r="BG50" t="s">
        <v>282</v>
      </c>
      <c r="BH50" s="249">
        <f>AU52*Inputs!$D$23</f>
        <v>6.884568997482834E-06</v>
      </c>
      <c r="BI50">
        <f>1/BH50</f>
        <v>145252.37532888757</v>
      </c>
      <c r="BJ50">
        <f>BH50/3.22</f>
        <v>2.1380649060505694E-06</v>
      </c>
      <c r="BK50">
        <f>1/BJ50</f>
        <v>467712.6485590181</v>
      </c>
      <c r="BM50" t="s">
        <v>282</v>
      </c>
      <c r="BN50" s="218">
        <f aca="true" t="shared" si="16" ref="BN50:BO52">ROUND(BH50,$BH$47-1-INT(LOG10(ABS(BH50))))</f>
        <v>6.9E-06</v>
      </c>
      <c r="BO50" s="6">
        <f t="shared" si="16"/>
        <v>150000</v>
      </c>
      <c r="BP50" s="218">
        <f aca="true" t="shared" si="17" ref="BP50:BQ52">ROUND(BJ50,$BH$47-1-INT(LOG10(ABS(BJ50))))</f>
        <v>2.1E-06</v>
      </c>
      <c r="BQ50" s="6">
        <f t="shared" si="17"/>
        <v>470000</v>
      </c>
    </row>
    <row r="51" spans="1:69" ht="12.75">
      <c r="A51">
        <v>9</v>
      </c>
      <c r="B51" t="s">
        <v>65</v>
      </c>
      <c r="C51" s="5">
        <v>0.26479750000000396</v>
      </c>
      <c r="D51" s="20">
        <v>0.0691616124135652</v>
      </c>
      <c r="E51" s="30">
        <v>1691.1315303021704</v>
      </c>
      <c r="F51" s="5">
        <v>24.60726459959128</v>
      </c>
      <c r="G51" s="5">
        <v>2.3903833333333266</v>
      </c>
      <c r="H51" s="20">
        <v>0.0736489649274412</v>
      </c>
      <c r="I51" s="6">
        <v>51796077.51755563</v>
      </c>
      <c r="J51" s="5">
        <v>16.80414421630888</v>
      </c>
      <c r="K51" s="5">
        <v>2.6487133333333284</v>
      </c>
      <c r="L51" s="20">
        <v>0.07421348881469267</v>
      </c>
      <c r="M51" s="6">
        <v>60463038.00658303</v>
      </c>
      <c r="N51" s="5">
        <v>16.79382494348878</v>
      </c>
      <c r="O51" s="5">
        <v>5.032508333333362</v>
      </c>
      <c r="P51" s="20">
        <v>0.08182007508897818</v>
      </c>
      <c r="Q51" s="6">
        <v>417785751.32863414</v>
      </c>
      <c r="R51" s="5">
        <v>15.791135779830478</v>
      </c>
      <c r="S51" s="2">
        <v>5.032508333333362</v>
      </c>
      <c r="T51" s="20">
        <v>0.08182007508897818</v>
      </c>
      <c r="U51" s="6">
        <v>417785751.32863414</v>
      </c>
      <c r="V51" s="5">
        <v>15.791135779830478</v>
      </c>
      <c r="W51" s="5">
        <v>7.007647500000071</v>
      </c>
      <c r="X51" s="20">
        <v>0.08762998775195832</v>
      </c>
      <c r="Y51" s="6">
        <v>787405812.2624781</v>
      </c>
      <c r="Z51" s="20">
        <v>15.624173169091105</v>
      </c>
      <c r="AA51" s="5">
        <v>7.601661666666661</v>
      </c>
      <c r="AB51" s="20">
        <v>0.08888994686879145</v>
      </c>
      <c r="AC51" s="6">
        <v>891329904.8861705</v>
      </c>
      <c r="AD51" s="5">
        <v>12.984765294917047</v>
      </c>
      <c r="AE51" s="5">
        <v>17.207685833333276</v>
      </c>
      <c r="AF51" s="20">
        <v>0.10349267746686093</v>
      </c>
      <c r="AG51" s="6">
        <v>938643812.0792358</v>
      </c>
      <c r="AH51" s="5">
        <v>4.95435905841812</v>
      </c>
      <c r="AI51" s="5">
        <v>17.254915000000004</v>
      </c>
      <c r="AJ51" s="20">
        <v>0.10402792341555041</v>
      </c>
      <c r="AK51" s="6">
        <v>957098196.5766528</v>
      </c>
      <c r="AL51" s="5">
        <v>16.22814093468343</v>
      </c>
      <c r="AM51" s="5">
        <v>24.264375833333364</v>
      </c>
      <c r="AN51" s="20">
        <v>0.11653204712577044</v>
      </c>
      <c r="AO51" s="6">
        <v>985447724.1465608</v>
      </c>
      <c r="AP51" s="5">
        <v>4.85071911791193</v>
      </c>
      <c r="AQ51" s="127">
        <v>25.258442154556317</v>
      </c>
      <c r="AR51" s="42">
        <v>8.623156888890444</v>
      </c>
      <c r="AS51" s="43">
        <v>11088041.995936474</v>
      </c>
      <c r="AT51">
        <v>3.21752</v>
      </c>
      <c r="AU51">
        <v>0.05014999554640493</v>
      </c>
      <c r="AV51" t="s">
        <v>65</v>
      </c>
      <c r="AX51" s="185" t="str">
        <f t="shared" si="13"/>
        <v>Storage at 60F within 0.5 days</v>
      </c>
      <c r="AY51" s="246" t="str">
        <f t="shared" si="14"/>
        <v>N</v>
      </c>
      <c r="AZ51" s="247">
        <f>AU51*$AZ$38*Inputs!$D$23</f>
        <v>754110.9513360221</v>
      </c>
      <c r="BB51">
        <v>0.2</v>
      </c>
      <c r="BC51">
        <f t="shared" si="15"/>
        <v>317169.6548488166</v>
      </c>
      <c r="BD51">
        <f t="shared" si="15"/>
        <v>311364.5498522643</v>
      </c>
      <c r="BG51" t="s">
        <v>458</v>
      </c>
      <c r="BH51" s="249">
        <f>AU62*Inputs!$D$23</f>
        <v>3.864660133713865E-06</v>
      </c>
      <c r="BI51">
        <f>1/BH51</f>
        <v>258754.9656116899</v>
      </c>
      <c r="BJ51">
        <f>BH51/3.22</f>
        <v>1.2002050104701443E-06</v>
      </c>
      <c r="BK51">
        <f>1/BJ51</f>
        <v>833190.9892696416</v>
      </c>
      <c r="BM51" t="s">
        <v>458</v>
      </c>
      <c r="BN51" s="218">
        <f t="shared" si="16"/>
        <v>3.9E-06</v>
      </c>
      <c r="BO51" s="6">
        <f t="shared" si="16"/>
        <v>260000</v>
      </c>
      <c r="BP51" s="218">
        <f t="shared" si="17"/>
        <v>1.2E-06</v>
      </c>
      <c r="BQ51" s="6">
        <f t="shared" si="17"/>
        <v>830000</v>
      </c>
    </row>
    <row r="52" spans="1:69" ht="12.75">
      <c r="A52">
        <v>10</v>
      </c>
      <c r="B52" t="s">
        <v>65</v>
      </c>
      <c r="C52" s="5">
        <v>0.3211883333333341</v>
      </c>
      <c r="D52" s="20">
        <v>0.06968815639314722</v>
      </c>
      <c r="E52" s="30">
        <v>445699.3444865418</v>
      </c>
      <c r="F52" s="5">
        <v>24.579343234759094</v>
      </c>
      <c r="G52" s="5">
        <v>2.446694166666682</v>
      </c>
      <c r="H52" s="20">
        <v>0.07386891142122308</v>
      </c>
      <c r="I52" s="6">
        <v>95391019.35214664</v>
      </c>
      <c r="J52" s="5">
        <v>14.665329887665896</v>
      </c>
      <c r="K52" s="5">
        <v>2.7049575000000146</v>
      </c>
      <c r="L52" s="20">
        <v>0.07438092664570475</v>
      </c>
      <c r="M52" s="6">
        <v>100011141.21384336</v>
      </c>
      <c r="N52" s="5">
        <v>12.694798926308989</v>
      </c>
      <c r="O52" s="5">
        <v>5.088884166666643</v>
      </c>
      <c r="P52" s="20">
        <v>0.07931563888206904</v>
      </c>
      <c r="Q52" s="6">
        <v>190821433.9286798</v>
      </c>
      <c r="R52" s="5">
        <v>9.761190605458903</v>
      </c>
      <c r="S52" s="2">
        <v>5.088884166666643</v>
      </c>
      <c r="T52" s="20">
        <v>0.07931563888206904</v>
      </c>
      <c r="U52" s="6">
        <v>190821433.9286798</v>
      </c>
      <c r="V52" s="5">
        <v>9.761190605458903</v>
      </c>
      <c r="W52" s="5">
        <v>7.063930000000058</v>
      </c>
      <c r="X52" s="20">
        <v>0.0830384624569347</v>
      </c>
      <c r="Y52" s="6">
        <v>271924437.82194823</v>
      </c>
      <c r="Z52" s="20">
        <v>9.4203834865127</v>
      </c>
      <c r="AA52" s="5">
        <v>7.657931666666697</v>
      </c>
      <c r="AB52" s="20">
        <v>0.08411368850097484</v>
      </c>
      <c r="AC52" s="6">
        <v>293234729.2272489</v>
      </c>
      <c r="AD52" s="5">
        <v>10.472561210375732</v>
      </c>
      <c r="AE52" s="5">
        <v>17.264002500000025</v>
      </c>
      <c r="AF52" s="20">
        <v>0.09862122106595397</v>
      </c>
      <c r="AG52" s="6">
        <v>312664140.5237909</v>
      </c>
      <c r="AH52" s="5">
        <v>4.901388460115186</v>
      </c>
      <c r="AI52" s="5">
        <v>17.311365833333305</v>
      </c>
      <c r="AJ52" s="20">
        <v>0.09929495426741373</v>
      </c>
      <c r="AK52" s="6">
        <v>321790425.0920566</v>
      </c>
      <c r="AL52" s="5">
        <v>16.21830020175556</v>
      </c>
      <c r="AM52" s="5">
        <v>24.32076250000014</v>
      </c>
      <c r="AN52" s="20">
        <v>0.1117305454334173</v>
      </c>
      <c r="AO52" s="6">
        <v>339343304.11180365</v>
      </c>
      <c r="AP52" s="5">
        <v>4.850721435349849</v>
      </c>
      <c r="AQ52" s="127">
        <v>25.258442154556317</v>
      </c>
      <c r="AR52" s="42">
        <v>8.623156888890444</v>
      </c>
      <c r="AS52" s="43">
        <v>2858269.5261577046</v>
      </c>
      <c r="AT52">
        <v>3.21752</v>
      </c>
      <c r="AU52">
        <v>0.023124512166753524</v>
      </c>
      <c r="AV52" t="s">
        <v>65</v>
      </c>
      <c r="AX52" s="185" t="s">
        <v>282</v>
      </c>
      <c r="AY52" s="246" t="str">
        <f t="shared" si="14"/>
        <v>N</v>
      </c>
      <c r="AZ52" s="247">
        <f>AU52*$AZ$38*Inputs!$D$23</f>
        <v>347725.8109248629</v>
      </c>
      <c r="BB52">
        <v>0.3</v>
      </c>
      <c r="BC52">
        <f t="shared" si="15"/>
        <v>301919.11508678325</v>
      </c>
      <c r="BD52">
        <f t="shared" si="15"/>
        <v>293211.45759195485</v>
      </c>
      <c r="BG52" t="s">
        <v>459</v>
      </c>
      <c r="BH52" s="249">
        <f>AU72*Inputs!$D$23</f>
        <v>3.2898972627680967E-06</v>
      </c>
      <c r="BI52">
        <f>1/BH52</f>
        <v>303960.8596040494</v>
      </c>
      <c r="BJ52">
        <f>BH52/3.22</f>
        <v>1.0217072244621419E-06</v>
      </c>
      <c r="BK52">
        <f>1/BJ52</f>
        <v>978753.9679250392</v>
      </c>
      <c r="BM52" t="s">
        <v>459</v>
      </c>
      <c r="BN52" s="218">
        <f t="shared" si="16"/>
        <v>3.3E-06</v>
      </c>
      <c r="BO52" s="6">
        <f t="shared" si="16"/>
        <v>300000</v>
      </c>
      <c r="BP52" s="218">
        <f t="shared" si="17"/>
        <v>1E-06</v>
      </c>
      <c r="BQ52" s="6">
        <f t="shared" si="17"/>
        <v>980000</v>
      </c>
    </row>
    <row r="53" spans="1:56" ht="12.75">
      <c r="A53">
        <v>11</v>
      </c>
      <c r="B53" t="s">
        <v>65</v>
      </c>
      <c r="C53" s="5">
        <v>0.3192541666666656</v>
      </c>
      <c r="D53" s="20">
        <v>0.06965610127737056</v>
      </c>
      <c r="E53" s="30">
        <v>158048.98831563324</v>
      </c>
      <c r="F53" s="5">
        <v>24.579670259397837</v>
      </c>
      <c r="G53" s="5">
        <v>2.4447375000000156</v>
      </c>
      <c r="H53" s="20">
        <v>0.07233276901232819</v>
      </c>
      <c r="I53" s="6">
        <v>1240454.8707839127</v>
      </c>
      <c r="J53" s="5">
        <v>9.61050902704909</v>
      </c>
      <c r="K53" s="5">
        <v>2.7029758333333493</v>
      </c>
      <c r="L53" s="20">
        <v>0.07275177557974338</v>
      </c>
      <c r="M53" s="6">
        <v>1584782.5296667279</v>
      </c>
      <c r="N53" s="5">
        <v>9.59059047816241</v>
      </c>
      <c r="O53" s="5">
        <v>5.086904999999977</v>
      </c>
      <c r="P53" s="20">
        <v>0.07661683163750732</v>
      </c>
      <c r="Q53" s="6">
        <v>15289460.251653275</v>
      </c>
      <c r="R53" s="5">
        <v>7.671885732929745</v>
      </c>
      <c r="S53" s="2">
        <v>0.024761652777763547</v>
      </c>
      <c r="T53" s="20">
        <v>1</v>
      </c>
      <c r="U53" s="6">
        <v>14618.49422</v>
      </c>
      <c r="V53" s="5">
        <v>57.00475246245686</v>
      </c>
      <c r="W53" s="5">
        <v>7.104173267359158</v>
      </c>
      <c r="X53" s="20">
        <v>1</v>
      </c>
      <c r="Y53" s="6">
        <v>21970367.783285324</v>
      </c>
      <c r="Z53" s="20">
        <v>8.218366532676471</v>
      </c>
      <c r="AA53" s="5">
        <v>7.698139934025763</v>
      </c>
      <c r="AB53" s="20">
        <v>1</v>
      </c>
      <c r="AC53" s="6">
        <v>28202972.91446077</v>
      </c>
      <c r="AD53" s="5">
        <v>10.188805500937873</v>
      </c>
      <c r="AE53" s="5">
        <v>17.30421243403168</v>
      </c>
      <c r="AF53" s="20">
        <v>1</v>
      </c>
      <c r="AG53" s="6">
        <v>30787084.907206967</v>
      </c>
      <c r="AH53" s="5">
        <v>4.8906402299655705</v>
      </c>
      <c r="AI53" s="5">
        <v>17.351569100698253</v>
      </c>
      <c r="AJ53" s="20">
        <v>1</v>
      </c>
      <c r="AK53" s="6">
        <v>32813917.901702665</v>
      </c>
      <c r="AL53" s="5">
        <v>16.211406620772724</v>
      </c>
      <c r="AM53" s="5">
        <v>24.361005767368137</v>
      </c>
      <c r="AN53" s="20">
        <v>1</v>
      </c>
      <c r="AO53" s="6">
        <v>35265661.23434248</v>
      </c>
      <c r="AP53" s="5">
        <v>4.8507223212960975</v>
      </c>
      <c r="AQ53" s="127">
        <v>25.258442154556317</v>
      </c>
      <c r="AR53" s="42">
        <v>8.623156888890444</v>
      </c>
      <c r="AS53" s="43">
        <v>308022.73087433056</v>
      </c>
      <c r="AT53">
        <v>3.21752</v>
      </c>
      <c r="AU53">
        <v>0.0017285359134187586</v>
      </c>
      <c r="AV53" t="s">
        <v>65</v>
      </c>
      <c r="AX53" s="185" t="str">
        <f t="shared" si="13"/>
        <v>Storage at 45F within 1.5 days</v>
      </c>
      <c r="AY53" s="246" t="str">
        <f t="shared" si="14"/>
        <v>3 Logs</v>
      </c>
      <c r="AZ53" s="247">
        <f>AU53*$AZ$38*Inputs!$D$23</f>
        <v>25992.183007883512</v>
      </c>
      <c r="BB53">
        <v>0.4</v>
      </c>
      <c r="BC53">
        <f t="shared" si="15"/>
        <v>286668.57532475</v>
      </c>
      <c r="BD53">
        <f t="shared" si="15"/>
        <v>275058.3653316455</v>
      </c>
    </row>
    <row r="54" spans="1:56" ht="12.75">
      <c r="A54">
        <v>12</v>
      </c>
      <c r="B54" t="s">
        <v>65</v>
      </c>
      <c r="C54" s="5">
        <v>0.3114333333333323</v>
      </c>
      <c r="D54" s="20">
        <v>0.06959005904223849</v>
      </c>
      <c r="E54" s="30">
        <v>39483.08112504751</v>
      </c>
      <c r="F54" s="5">
        <v>24.581319636184972</v>
      </c>
      <c r="G54" s="5">
        <v>2.4369000000000023</v>
      </c>
      <c r="H54" s="20">
        <v>0.07228568905926308</v>
      </c>
      <c r="I54" s="6">
        <v>958704.6863379492</v>
      </c>
      <c r="J54" s="5">
        <v>9.610730596452532</v>
      </c>
      <c r="K54" s="5">
        <v>2.6951600000000133</v>
      </c>
      <c r="L54" s="20">
        <v>0.07268519687648627</v>
      </c>
      <c r="M54" s="6">
        <v>1288915.744155358</v>
      </c>
      <c r="N54" s="5">
        <v>9.590778754525356</v>
      </c>
      <c r="O54" s="5">
        <v>5.079024999999981</v>
      </c>
      <c r="P54" s="20">
        <v>0.07654850872683396</v>
      </c>
      <c r="Q54" s="6">
        <v>13651348.063791389</v>
      </c>
      <c r="R54" s="5">
        <v>7.6719468207193104</v>
      </c>
      <c r="S54" s="2">
        <v>0.024761631944430214</v>
      </c>
      <c r="T54" s="20">
        <v>1</v>
      </c>
      <c r="U54" s="6">
        <v>13050.36382</v>
      </c>
      <c r="V54" s="5">
        <v>57.00474999797248</v>
      </c>
      <c r="W54" s="5">
        <v>7.096449847220262</v>
      </c>
      <c r="X54" s="20">
        <v>1</v>
      </c>
      <c r="Y54" s="6">
        <v>20164387.06109847</v>
      </c>
      <c r="Z54" s="20">
        <v>8.218377316683684</v>
      </c>
      <c r="AA54" s="5">
        <v>7.690369013886828</v>
      </c>
      <c r="AB54" s="20">
        <v>1</v>
      </c>
      <c r="AC54" s="6">
        <v>25669448.212173577</v>
      </c>
      <c r="AD54" s="5">
        <v>10.188575687555147</v>
      </c>
      <c r="AE54" s="5">
        <v>17.296393180559402</v>
      </c>
      <c r="AF54" s="20">
        <v>1</v>
      </c>
      <c r="AG54" s="6">
        <v>28464497.318862524</v>
      </c>
      <c r="AH54" s="5">
        <v>4.8906390764367496</v>
      </c>
      <c r="AI54" s="5">
        <v>17.343779013892753</v>
      </c>
      <c r="AJ54" s="20">
        <v>1</v>
      </c>
      <c r="AK54" s="6">
        <v>29940280.403197523</v>
      </c>
      <c r="AL54" s="5">
        <v>16.210467142154155</v>
      </c>
      <c r="AM54" s="5">
        <v>24.35320984722923</v>
      </c>
      <c r="AN54" s="20">
        <v>1</v>
      </c>
      <c r="AO54" s="6">
        <v>31442654.000712577</v>
      </c>
      <c r="AP54" s="5">
        <v>4.850718180839627</v>
      </c>
      <c r="AQ54" s="127">
        <v>25.258442154556317</v>
      </c>
      <c r="AR54" s="42">
        <v>8.623156888890444</v>
      </c>
      <c r="AS54" s="43">
        <v>233229.17340457597</v>
      </c>
      <c r="AT54">
        <v>3.21752</v>
      </c>
      <c r="AU54">
        <v>0.0016170037812017742</v>
      </c>
      <c r="AV54" t="s">
        <v>65</v>
      </c>
      <c r="AX54" s="185" t="str">
        <f t="shared" si="13"/>
        <v>Storage at 45F within 1.0 days</v>
      </c>
      <c r="AY54" s="246" t="str">
        <f t="shared" si="14"/>
        <v>3 Logs</v>
      </c>
      <c r="AZ54" s="247">
        <f>AU54*$AZ$38*Inputs!$D$23</f>
        <v>24315.06217438596</v>
      </c>
      <c r="BB54">
        <v>0.5</v>
      </c>
      <c r="BC54">
        <f t="shared" si="15"/>
        <v>271418.03556271666</v>
      </c>
      <c r="BD54">
        <f t="shared" si="15"/>
        <v>256905.27307133604</v>
      </c>
    </row>
    <row r="55" spans="1:56" ht="12.75">
      <c r="A55">
        <v>13</v>
      </c>
      <c r="B55" t="s">
        <v>65</v>
      </c>
      <c r="C55" s="5">
        <v>0.26479750000000396</v>
      </c>
      <c r="D55" s="20">
        <v>0.0691616124135652</v>
      </c>
      <c r="E55" s="30">
        <v>1691.1315303021704</v>
      </c>
      <c r="F55" s="5">
        <v>24.60726459959128</v>
      </c>
      <c r="G55" s="5">
        <v>2.3903833333333266</v>
      </c>
      <c r="H55" s="20">
        <v>0.07187517568540941</v>
      </c>
      <c r="I55" s="6">
        <v>880979.078012123</v>
      </c>
      <c r="J55" s="5">
        <v>9.614392248002767</v>
      </c>
      <c r="K55" s="5">
        <v>2.6487133333333284</v>
      </c>
      <c r="L55" s="20">
        <v>0.07225515613097841</v>
      </c>
      <c r="M55" s="6">
        <v>1098372.5327896448</v>
      </c>
      <c r="N55" s="5">
        <v>9.594469126545379</v>
      </c>
      <c r="O55" s="5">
        <v>5.032508333333362</v>
      </c>
      <c r="P55" s="20">
        <v>0.07607165454060869</v>
      </c>
      <c r="Q55" s="6">
        <v>10448552.106428348</v>
      </c>
      <c r="R55" s="5">
        <v>7.672590917820232</v>
      </c>
      <c r="S55" s="2">
        <v>0.024761534722207993</v>
      </c>
      <c r="T55" s="20">
        <v>1</v>
      </c>
      <c r="U55" s="6">
        <v>9877.31972</v>
      </c>
      <c r="V55" s="5">
        <v>57.004749296735845</v>
      </c>
      <c r="W55" s="5">
        <v>7.049834305553579</v>
      </c>
      <c r="X55" s="20">
        <v>1</v>
      </c>
      <c r="Y55" s="6">
        <v>16330771.501324078</v>
      </c>
      <c r="Z55" s="20">
        <v>8.218126428296145</v>
      </c>
      <c r="AA55" s="5">
        <v>7.6438484722201885</v>
      </c>
      <c r="AB55" s="20">
        <v>1</v>
      </c>
      <c r="AC55" s="6">
        <v>21151163.945035458</v>
      </c>
      <c r="AD55" s="5">
        <v>10.18935074373896</v>
      </c>
      <c r="AE55" s="5">
        <v>17.249872638892775</v>
      </c>
      <c r="AF55" s="20">
        <v>1</v>
      </c>
      <c r="AG55" s="6">
        <v>23440873.71835912</v>
      </c>
      <c r="AH55" s="5">
        <v>4.890622895145198</v>
      </c>
      <c r="AI55" s="5">
        <v>17.29710180555962</v>
      </c>
      <c r="AJ55" s="20">
        <v>1</v>
      </c>
      <c r="AK55" s="6">
        <v>24031666.032184683</v>
      </c>
      <c r="AL55" s="5">
        <v>16.19318976680436</v>
      </c>
      <c r="AM55" s="5">
        <v>24.306562638895794</v>
      </c>
      <c r="AN55" s="20">
        <v>1</v>
      </c>
      <c r="AO55" s="6">
        <v>25065767.489371005</v>
      </c>
      <c r="AP55" s="5">
        <v>4.850718349114038</v>
      </c>
      <c r="AQ55" s="127">
        <v>25.258442154556317</v>
      </c>
      <c r="AR55" s="42">
        <v>8.623156888890444</v>
      </c>
      <c r="AS55" s="43">
        <v>32677.589011391825</v>
      </c>
      <c r="AT55">
        <v>3.21752</v>
      </c>
      <c r="AU55">
        <v>0.001185183929580105</v>
      </c>
      <c r="AV55" t="s">
        <v>65</v>
      </c>
      <c r="AX55" s="185" t="str">
        <f t="shared" si="13"/>
        <v>Storage at 45F within 0.5 days</v>
      </c>
      <c r="AY55" s="246" t="str">
        <f t="shared" si="14"/>
        <v>3 Logs</v>
      </c>
      <c r="AZ55" s="247">
        <f>AU55*$AZ$38*Inputs!$D$23</f>
        <v>17821.739980351573</v>
      </c>
      <c r="BB55">
        <v>0.6</v>
      </c>
      <c r="BC55">
        <f t="shared" si="15"/>
        <v>256167.49580068333</v>
      </c>
      <c r="BD55">
        <f t="shared" si="15"/>
        <v>238752.1808110266</v>
      </c>
    </row>
    <row r="56" spans="1:56" ht="12.75">
      <c r="A56">
        <v>14</v>
      </c>
      <c r="B56" t="s">
        <v>65</v>
      </c>
      <c r="C56" s="5">
        <v>0.3192541666666656</v>
      </c>
      <c r="D56" s="20">
        <v>0.06965610127737056</v>
      </c>
      <c r="E56" s="30">
        <v>158048.98831563324</v>
      </c>
      <c r="F56" s="5">
        <v>24.579670259397837</v>
      </c>
      <c r="G56" s="5">
        <v>2.4447375000000156</v>
      </c>
      <c r="H56" s="20">
        <v>0.07316966661483629</v>
      </c>
      <c r="I56" s="6">
        <v>7768453.743614486</v>
      </c>
      <c r="J56" s="5">
        <v>13.445021815933686</v>
      </c>
      <c r="K56" s="5">
        <v>2.7029758333333493</v>
      </c>
      <c r="L56" s="20">
        <v>0.07365887167425872</v>
      </c>
      <c r="M56" s="6">
        <v>8177909.728741579</v>
      </c>
      <c r="N56" s="5">
        <v>13.430239545165014</v>
      </c>
      <c r="O56" s="5">
        <v>5.086904999999977</v>
      </c>
      <c r="P56" s="20">
        <v>0.07888681658409157</v>
      </c>
      <c r="Q56" s="6">
        <v>97918803.22919187</v>
      </c>
      <c r="R56" s="5">
        <v>12.001779593222077</v>
      </c>
      <c r="S56" s="2">
        <v>0.024088249999991727</v>
      </c>
      <c r="T56" s="20">
        <v>1</v>
      </c>
      <c r="U56" s="6">
        <v>96994.17692</v>
      </c>
      <c r="V56" s="5">
        <v>56.98766971238093</v>
      </c>
      <c r="W56" s="5">
        <v>7.102898041667499</v>
      </c>
      <c r="X56" s="20">
        <v>1</v>
      </c>
      <c r="Y56" s="6">
        <v>186538711.53302133</v>
      </c>
      <c r="Z56" s="20">
        <v>12.642271675398753</v>
      </c>
      <c r="AA56" s="5">
        <v>7.6968647083341715</v>
      </c>
      <c r="AB56" s="20">
        <v>1</v>
      </c>
      <c r="AC56" s="6">
        <v>211240448.39162698</v>
      </c>
      <c r="AD56" s="5">
        <v>11.986964363280025</v>
      </c>
      <c r="AE56" s="5">
        <v>17.302937208327435</v>
      </c>
      <c r="AF56" s="20">
        <v>1</v>
      </c>
      <c r="AG56" s="6">
        <v>234238032.82071677</v>
      </c>
      <c r="AH56" s="5">
        <v>4.928973695155683</v>
      </c>
      <c r="AI56" s="5">
        <v>17.350293874994033</v>
      </c>
      <c r="AJ56" s="20">
        <v>1</v>
      </c>
      <c r="AK56" s="6">
        <v>241035434.44694036</v>
      </c>
      <c r="AL56" s="5">
        <v>16.232183432520227</v>
      </c>
      <c r="AM56" s="5">
        <v>24.359730541662298</v>
      </c>
      <c r="AN56" s="20">
        <v>1</v>
      </c>
      <c r="AO56" s="6">
        <v>258940621.00732753</v>
      </c>
      <c r="AP56" s="5">
        <v>4.850722762356483</v>
      </c>
      <c r="AQ56" s="127">
        <v>25.258442154556317</v>
      </c>
      <c r="AR56" s="42">
        <v>8.623156888890444</v>
      </c>
      <c r="AS56" s="43">
        <v>1897011.0377714408</v>
      </c>
      <c r="AT56">
        <v>3.21752</v>
      </c>
      <c r="AU56">
        <v>0.010656780994343518</v>
      </c>
      <c r="AV56" t="s">
        <v>65</v>
      </c>
      <c r="AX56" s="185" t="str">
        <f t="shared" si="13"/>
        <v>Storage at 53F within 1.5 days</v>
      </c>
      <c r="AY56" s="246" t="str">
        <f t="shared" si="14"/>
        <v>3 Logs</v>
      </c>
      <c r="AZ56" s="247">
        <f>AU56*$AZ$38*Inputs!$D$23</f>
        <v>160247.1778165518</v>
      </c>
      <c r="BB56">
        <v>0.7</v>
      </c>
      <c r="BC56">
        <f t="shared" si="15"/>
        <v>240916.95603865007</v>
      </c>
      <c r="BD56">
        <f t="shared" si="15"/>
        <v>220599.08855071716</v>
      </c>
    </row>
    <row r="57" spans="1:65" ht="12.75">
      <c r="A57">
        <v>15</v>
      </c>
      <c r="B57" t="s">
        <v>65</v>
      </c>
      <c r="C57" s="5">
        <v>0.3114333333333323</v>
      </c>
      <c r="D57" s="20">
        <v>0.06959005904223849</v>
      </c>
      <c r="E57" s="30">
        <v>39483.08112504751</v>
      </c>
      <c r="F57" s="5">
        <v>24.581319636184972</v>
      </c>
      <c r="G57" s="5">
        <v>2.4369000000000023</v>
      </c>
      <c r="H57" s="20">
        <v>0.07310301967306293</v>
      </c>
      <c r="I57" s="6">
        <v>5334626.218294378</v>
      </c>
      <c r="J57" s="5">
        <v>13.445251447106402</v>
      </c>
      <c r="K57" s="5">
        <v>2.6951600000000133</v>
      </c>
      <c r="L57" s="20">
        <v>0.07357274576560124</v>
      </c>
      <c r="M57" s="6">
        <v>5451788.5141977165</v>
      </c>
      <c r="N57" s="5">
        <v>13.430435393705302</v>
      </c>
      <c r="O57" s="5">
        <v>5.079024999999981</v>
      </c>
      <c r="P57" s="20">
        <v>0.07881679567855471</v>
      </c>
      <c r="Q57" s="6">
        <v>93554378.34256288</v>
      </c>
      <c r="R57" s="5">
        <v>12.001819904521687</v>
      </c>
      <c r="S57" s="2">
        <v>0.024088246527769502</v>
      </c>
      <c r="T57" s="20">
        <v>1</v>
      </c>
      <c r="U57" s="6">
        <v>92691.41126</v>
      </c>
      <c r="V57" s="5">
        <v>56.98766965458415</v>
      </c>
      <c r="W57" s="5">
        <v>7.095174697917534</v>
      </c>
      <c r="X57" s="20">
        <v>1</v>
      </c>
      <c r="Y57" s="6">
        <v>180513179.1199006</v>
      </c>
      <c r="Z57" s="20">
        <v>12.6422649858364</v>
      </c>
      <c r="AA57" s="5">
        <v>7.689093864584192</v>
      </c>
      <c r="AB57" s="20">
        <v>1</v>
      </c>
      <c r="AC57" s="6">
        <v>207136457.76440367</v>
      </c>
      <c r="AD57" s="5">
        <v>11.986697969680892</v>
      </c>
      <c r="AE57" s="5">
        <v>17.29511803124412</v>
      </c>
      <c r="AF57" s="20">
        <v>1</v>
      </c>
      <c r="AG57" s="6">
        <v>230180307.0217206</v>
      </c>
      <c r="AH57" s="5">
        <v>4.928966865301707</v>
      </c>
      <c r="AI57" s="5">
        <v>17.34250386457736</v>
      </c>
      <c r="AJ57" s="20">
        <v>1</v>
      </c>
      <c r="AK57" s="6">
        <v>236504451.32817164</v>
      </c>
      <c r="AL57" s="5">
        <v>16.231257513176462</v>
      </c>
      <c r="AM57" s="5">
        <v>24.351934697912267</v>
      </c>
      <c r="AN57" s="20">
        <v>1</v>
      </c>
      <c r="AO57" s="6">
        <v>253197395.3083036</v>
      </c>
      <c r="AP57" s="5">
        <v>4.850718622669984</v>
      </c>
      <c r="AQ57" s="127">
        <v>25.258442154556317</v>
      </c>
      <c r="AR57" s="42">
        <v>8.623156888890444</v>
      </c>
      <c r="AS57" s="43">
        <v>1893251.3388051833</v>
      </c>
      <c r="AT57">
        <v>3.21752</v>
      </c>
      <c r="AU57">
        <v>0.01048293903665646</v>
      </c>
      <c r="AV57" t="s">
        <v>65</v>
      </c>
      <c r="AX57" s="185" t="str">
        <f t="shared" si="13"/>
        <v>Storage at 53F within 1.0 days</v>
      </c>
      <c r="AY57" s="246" t="str">
        <f t="shared" si="14"/>
        <v>3 Logs</v>
      </c>
      <c r="AZ57" s="247">
        <f>AU57*$AZ$38*Inputs!$D$23</f>
        <v>157633.09734326045</v>
      </c>
      <c r="BB57">
        <v>0.8</v>
      </c>
      <c r="BC57">
        <f t="shared" si="15"/>
        <v>225666.41627661674</v>
      </c>
      <c r="BD57">
        <f t="shared" si="15"/>
        <v>202445.99629040773</v>
      </c>
      <c r="BH57">
        <f>BH50*AZ38</f>
        <v>347725.8109248629</v>
      </c>
      <c r="BK57" s="242">
        <v>0</v>
      </c>
      <c r="BL57" s="6">
        <f>ROUND(BC45,$BH$47-1-INT(LOG10(ABS(BC45))))</f>
        <v>350000</v>
      </c>
      <c r="BM57" s="6">
        <f>ROUND(BD45,$BH$47-1-INT(LOG10(ABS(BD45))))</f>
        <v>350000</v>
      </c>
    </row>
    <row r="58" spans="1:65" ht="12.75">
      <c r="A58">
        <v>16</v>
      </c>
      <c r="B58" t="s">
        <v>65</v>
      </c>
      <c r="C58" s="5">
        <v>0.26479750000000396</v>
      </c>
      <c r="D58" s="20">
        <v>0.0691616124135652</v>
      </c>
      <c r="E58" s="30">
        <v>1691.1315303021704</v>
      </c>
      <c r="F58" s="5">
        <v>24.60726459959128</v>
      </c>
      <c r="G58" s="5">
        <v>2.3903833333333266</v>
      </c>
      <c r="H58" s="20">
        <v>0.07267221405039763</v>
      </c>
      <c r="I58" s="6">
        <v>4105752.0386562725</v>
      </c>
      <c r="J58" s="5">
        <v>13.448929678606628</v>
      </c>
      <c r="K58" s="5">
        <v>2.6487133333333284</v>
      </c>
      <c r="L58" s="20">
        <v>0.07308351286385724</v>
      </c>
      <c r="M58" s="6">
        <v>4071011.3132752366</v>
      </c>
      <c r="N58" s="5">
        <v>13.434128613826779</v>
      </c>
      <c r="O58" s="5">
        <v>5.032508333333362</v>
      </c>
      <c r="P58" s="20">
        <v>0.07827918042834944</v>
      </c>
      <c r="Q58" s="6">
        <v>81901179.92664348</v>
      </c>
      <c r="R58" s="5">
        <v>12.002484952085599</v>
      </c>
      <c r="S58" s="2">
        <v>0.024088128472213956</v>
      </c>
      <c r="T58" s="20">
        <v>1</v>
      </c>
      <c r="U58" s="6">
        <v>81086.50626</v>
      </c>
      <c r="V58" s="5">
        <v>56.98766696441066</v>
      </c>
      <c r="W58" s="5">
        <v>7.048559034723088</v>
      </c>
      <c r="X58" s="20">
        <v>1</v>
      </c>
      <c r="Y58" s="6">
        <v>156899231.24982592</v>
      </c>
      <c r="Z58" s="20">
        <v>12.642066770184396</v>
      </c>
      <c r="AA58" s="5">
        <v>7.642573201389725</v>
      </c>
      <c r="AB58" s="20">
        <v>1</v>
      </c>
      <c r="AC58" s="6">
        <v>179454916.1923274</v>
      </c>
      <c r="AD58" s="5">
        <v>11.987406664925786</v>
      </c>
      <c r="AE58" s="5">
        <v>17.248597368049698</v>
      </c>
      <c r="AF58" s="20">
        <v>1</v>
      </c>
      <c r="AG58" s="6">
        <v>201419337.99147722</v>
      </c>
      <c r="AH58" s="5">
        <v>4.9289494890543155</v>
      </c>
      <c r="AI58" s="5">
        <v>17.2958265347164</v>
      </c>
      <c r="AJ58" s="20">
        <v>1</v>
      </c>
      <c r="AK58" s="6">
        <v>210323703.28084996</v>
      </c>
      <c r="AL58" s="5">
        <v>16.21411894966461</v>
      </c>
      <c r="AM58" s="5">
        <v>24.305287368051335</v>
      </c>
      <c r="AN58" s="20">
        <v>1</v>
      </c>
      <c r="AO58" s="6">
        <v>224234216.47266707</v>
      </c>
      <c r="AP58" s="5">
        <v>4.850718804216231</v>
      </c>
      <c r="AQ58" s="127">
        <v>25.258442154556317</v>
      </c>
      <c r="AR58" s="42">
        <v>8.623156888890444</v>
      </c>
      <c r="AS58" s="43">
        <v>1411952.8061080643</v>
      </c>
      <c r="AT58">
        <v>3.21752</v>
      </c>
      <c r="AU58">
        <v>0.009823558367178369</v>
      </c>
      <c r="AV58" t="s">
        <v>65</v>
      </c>
      <c r="AX58" s="185" t="str">
        <f t="shared" si="13"/>
        <v>Storage at 53F within 0.5 days</v>
      </c>
      <c r="AY58" s="246" t="str">
        <f t="shared" si="14"/>
        <v>3 Logs</v>
      </c>
      <c r="AZ58" s="247">
        <f>AU58*$AZ$38*Inputs!$D$23</f>
        <v>147717.9183181179</v>
      </c>
      <c r="BB58">
        <v>0.9</v>
      </c>
      <c r="BC58">
        <f t="shared" si="15"/>
        <v>210415.87651458345</v>
      </c>
      <c r="BD58">
        <f t="shared" si="15"/>
        <v>184292.90403009832</v>
      </c>
      <c r="BK58" s="242">
        <v>0.0005</v>
      </c>
      <c r="BL58" s="6">
        <f aca="true" t="shared" si="18" ref="BL58:BL65">ROUND(BC46,$BH$47-1-INT(LOG10(ABS(BC46))))</f>
        <v>350000</v>
      </c>
      <c r="BM58" s="6">
        <f aca="true" t="shared" si="19" ref="BM58:BM65">ROUND(BD46,$BH$47-1-INT(LOG10(ABS(BD46))))</f>
        <v>350000</v>
      </c>
    </row>
    <row r="59" spans="1:65" ht="12.75">
      <c r="A59">
        <v>17</v>
      </c>
      <c r="B59" t="s">
        <v>65</v>
      </c>
      <c r="C59" s="5">
        <v>0.3192541666666656</v>
      </c>
      <c r="D59" s="20">
        <v>0.06965610127737056</v>
      </c>
      <c r="E59" s="30">
        <v>158048.98831563324</v>
      </c>
      <c r="F59" s="5">
        <v>24.579670259397837</v>
      </c>
      <c r="G59" s="5">
        <v>2.4447375000000156</v>
      </c>
      <c r="H59" s="20">
        <v>0.07412933374559678</v>
      </c>
      <c r="I59" s="6">
        <v>70686816.20411497</v>
      </c>
      <c r="J59" s="5">
        <v>16.800214792168145</v>
      </c>
      <c r="K59" s="5">
        <v>2.7029758333333493</v>
      </c>
      <c r="L59" s="20">
        <v>0.0747526612653909</v>
      </c>
      <c r="M59" s="6">
        <v>86477843.3732508</v>
      </c>
      <c r="N59" s="5">
        <v>16.789926757098794</v>
      </c>
      <c r="O59" s="5">
        <v>5.086904999999977</v>
      </c>
      <c r="P59" s="20">
        <v>0.08241552689501232</v>
      </c>
      <c r="Q59" s="6">
        <v>467663605.57642096</v>
      </c>
      <c r="R59" s="5">
        <v>15.790430268740801</v>
      </c>
      <c r="S59" s="2">
        <v>0.023577607638900645</v>
      </c>
      <c r="T59" s="20">
        <v>1</v>
      </c>
      <c r="U59" s="6">
        <v>459013.70142</v>
      </c>
      <c r="V59" s="5">
        <v>56.992553308087004</v>
      </c>
      <c r="W59" s="5">
        <v>7.101947315971911</v>
      </c>
      <c r="X59" s="20">
        <v>1</v>
      </c>
      <c r="Y59" s="6">
        <v>993597770.7705842</v>
      </c>
      <c r="Z59" s="20">
        <v>16.49731047850298</v>
      </c>
      <c r="AA59" s="5">
        <v>7.695913982639006</v>
      </c>
      <c r="AB59" s="20">
        <v>1</v>
      </c>
      <c r="AC59" s="6">
        <v>1129039177.441945</v>
      </c>
      <c r="AD59" s="5">
        <v>13.550801581230886</v>
      </c>
      <c r="AE59" s="5">
        <v>17.301986482641638</v>
      </c>
      <c r="AF59" s="20">
        <v>1</v>
      </c>
      <c r="AG59" s="6">
        <v>1184639382.0687578</v>
      </c>
      <c r="AH59" s="5">
        <v>4.963332051467565</v>
      </c>
      <c r="AI59" s="5">
        <v>17.34934314930822</v>
      </c>
      <c r="AJ59" s="20">
        <v>1</v>
      </c>
      <c r="AK59" s="6">
        <v>1204618056.6391237</v>
      </c>
      <c r="AL59" s="5">
        <v>16.250801145158434</v>
      </c>
      <c r="AM59" s="5">
        <v>24.358779815975563</v>
      </c>
      <c r="AN59" s="20">
        <v>1</v>
      </c>
      <c r="AO59" s="6">
        <v>1243447275.6791465</v>
      </c>
      <c r="AP59" s="5">
        <v>4.850723149311185</v>
      </c>
      <c r="AQ59" s="127">
        <v>25.258442154556317</v>
      </c>
      <c r="AR59" s="42">
        <v>8.623156888890444</v>
      </c>
      <c r="AS59" s="43">
        <v>13960812.067569453</v>
      </c>
      <c r="AT59">
        <v>3.21752</v>
      </c>
      <c r="AU59">
        <v>0.03700359716601744</v>
      </c>
      <c r="AV59" t="s">
        <v>65</v>
      </c>
      <c r="AX59" s="185" t="str">
        <f t="shared" si="13"/>
        <v>Storage at 60F within 1.5 days</v>
      </c>
      <c r="AY59" s="246" t="str">
        <f t="shared" si="14"/>
        <v>3 Logs</v>
      </c>
      <c r="AZ59" s="247">
        <f>AU59*$AZ$38*Inputs!$D$23</f>
        <v>556427.1254201685</v>
      </c>
      <c r="BB59">
        <v>0.95</v>
      </c>
      <c r="BC59">
        <f t="shared" si="15"/>
        <v>202790.60663356681</v>
      </c>
      <c r="BD59">
        <f t="shared" si="15"/>
        <v>175216.3578999436</v>
      </c>
      <c r="BK59" s="242">
        <v>0.001</v>
      </c>
      <c r="BL59" s="6">
        <f t="shared" si="18"/>
        <v>350000</v>
      </c>
      <c r="BM59" s="6">
        <f t="shared" si="19"/>
        <v>350000</v>
      </c>
    </row>
    <row r="60" spans="1:65" ht="12.75">
      <c r="A60">
        <v>18</v>
      </c>
      <c r="B60" t="s">
        <v>65</v>
      </c>
      <c r="C60" s="5">
        <v>0.3114333333333323</v>
      </c>
      <c r="D60" s="20">
        <v>0.06959005904223849</v>
      </c>
      <c r="E60" s="30">
        <v>39483.08112504751</v>
      </c>
      <c r="F60" s="5">
        <v>24.581319636184972</v>
      </c>
      <c r="G60" s="5">
        <v>2.4369000000000023</v>
      </c>
      <c r="H60" s="20">
        <v>0.07406236089514671</v>
      </c>
      <c r="I60" s="6">
        <v>65164170.65848593</v>
      </c>
      <c r="J60" s="5">
        <v>16.80045147737685</v>
      </c>
      <c r="K60" s="5">
        <v>2.6951600000000133</v>
      </c>
      <c r="L60" s="20">
        <v>0.0746855789074631</v>
      </c>
      <c r="M60" s="6">
        <v>79539581.9697587</v>
      </c>
      <c r="N60" s="5">
        <v>16.790129231283107</v>
      </c>
      <c r="O60" s="5">
        <v>5.079024999999981</v>
      </c>
      <c r="P60" s="20">
        <v>0.08234412753540897</v>
      </c>
      <c r="Q60" s="6">
        <v>459834676.0973073</v>
      </c>
      <c r="R60" s="5">
        <v>15.790452400642627</v>
      </c>
      <c r="S60" s="2">
        <v>0.02357761111112286</v>
      </c>
      <c r="T60" s="20">
        <v>1</v>
      </c>
      <c r="U60" s="6">
        <v>451363.16834</v>
      </c>
      <c r="V60" s="5">
        <v>56.992554002176185</v>
      </c>
      <c r="W60" s="5">
        <v>7.094223944444176</v>
      </c>
      <c r="X60" s="20">
        <v>1</v>
      </c>
      <c r="Y60" s="6">
        <v>989664170.3278363</v>
      </c>
      <c r="Z60" s="20">
        <v>16.49729343373541</v>
      </c>
      <c r="AA60" s="5">
        <v>7.688143111111243</v>
      </c>
      <c r="AB60" s="20">
        <v>1</v>
      </c>
      <c r="AC60" s="6">
        <v>1124503566.0660784</v>
      </c>
      <c r="AD60" s="5">
        <v>13.550506264003058</v>
      </c>
      <c r="AE60" s="5">
        <v>17.294167277780616</v>
      </c>
      <c r="AF60" s="20">
        <v>1</v>
      </c>
      <c r="AG60" s="6">
        <v>1179037763.533143</v>
      </c>
      <c r="AH60" s="5">
        <v>4.963328137451344</v>
      </c>
      <c r="AI60" s="5">
        <v>17.341553111113804</v>
      </c>
      <c r="AJ60" s="20">
        <v>1</v>
      </c>
      <c r="AK60" s="6">
        <v>1198600889.3810616</v>
      </c>
      <c r="AL60" s="5">
        <v>16.24989543466662</v>
      </c>
      <c r="AM60" s="5">
        <v>24.350983944447776</v>
      </c>
      <c r="AN60" s="20">
        <v>1</v>
      </c>
      <c r="AO60" s="6">
        <v>1237179915.9992628</v>
      </c>
      <c r="AP60" s="5">
        <v>4.850719010134561</v>
      </c>
      <c r="AQ60" s="127">
        <v>25.258442154556317</v>
      </c>
      <c r="AR60" s="42">
        <v>8.623156888890444</v>
      </c>
      <c r="AS60" s="43">
        <v>13958674.620804595</v>
      </c>
      <c r="AT60">
        <v>3.21752</v>
      </c>
      <c r="AU60">
        <v>0.036810165112322164</v>
      </c>
      <c r="AV60" t="s">
        <v>65</v>
      </c>
      <c r="AX60" s="185" t="str">
        <f t="shared" si="13"/>
        <v>Storage at 60F within 1.0 days</v>
      </c>
      <c r="AY60" s="246" t="str">
        <f t="shared" si="14"/>
        <v>3 Logs</v>
      </c>
      <c r="AZ60" s="247">
        <f>AU60*$AZ$38*Inputs!$D$23</f>
        <v>553518.4665371174</v>
      </c>
      <c r="BB60">
        <v>0.99</v>
      </c>
      <c r="BC60">
        <f t="shared" si="15"/>
        <v>196690.3907287535</v>
      </c>
      <c r="BD60">
        <f t="shared" si="15"/>
        <v>167955.12099581983</v>
      </c>
      <c r="BK60" s="242">
        <v>0.01</v>
      </c>
      <c r="BL60" s="6">
        <f t="shared" si="18"/>
        <v>350000</v>
      </c>
      <c r="BM60" s="6">
        <f t="shared" si="19"/>
        <v>350000</v>
      </c>
    </row>
    <row r="61" spans="1:65" ht="12.75">
      <c r="A61">
        <v>19</v>
      </c>
      <c r="B61" t="s">
        <v>65</v>
      </c>
      <c r="C61" s="5">
        <v>0.26479750000000396</v>
      </c>
      <c r="D61" s="20">
        <v>0.0691616124135652</v>
      </c>
      <c r="E61" s="30">
        <v>1691.1315303021704</v>
      </c>
      <c r="F61" s="5">
        <v>24.60726459959128</v>
      </c>
      <c r="G61" s="5">
        <v>2.3903833333333266</v>
      </c>
      <c r="H61" s="20">
        <v>0.0736489649274412</v>
      </c>
      <c r="I61" s="6">
        <v>51796077.51755563</v>
      </c>
      <c r="J61" s="5">
        <v>16.80414421630888</v>
      </c>
      <c r="K61" s="5">
        <v>2.6487133333333284</v>
      </c>
      <c r="L61" s="20">
        <v>0.07421348881469267</v>
      </c>
      <c r="M61" s="6">
        <v>60463038.00658303</v>
      </c>
      <c r="N61" s="5">
        <v>16.79382494348878</v>
      </c>
      <c r="O61" s="5">
        <v>5.032508333333362</v>
      </c>
      <c r="P61" s="20">
        <v>0.08182007508897818</v>
      </c>
      <c r="Q61" s="6">
        <v>417785751.32863414</v>
      </c>
      <c r="R61" s="5">
        <v>15.791135779830478</v>
      </c>
      <c r="S61" s="2">
        <v>0.023577520833345092</v>
      </c>
      <c r="T61" s="20">
        <v>1</v>
      </c>
      <c r="U61" s="6">
        <v>410078.82338</v>
      </c>
      <c r="V61" s="5">
        <v>56.99255703903987</v>
      </c>
      <c r="W61" s="5">
        <v>7.047608243055306</v>
      </c>
      <c r="X61" s="20">
        <v>1</v>
      </c>
      <c r="Y61" s="6">
        <v>948325486.3853881</v>
      </c>
      <c r="Z61" s="20">
        <v>16.497129025096402</v>
      </c>
      <c r="AA61" s="5">
        <v>7.641622409722388</v>
      </c>
      <c r="AB61" s="20">
        <v>1</v>
      </c>
      <c r="AC61" s="6">
        <v>1080054112.5061817</v>
      </c>
      <c r="AD61" s="5">
        <v>13.551146038617942</v>
      </c>
      <c r="AE61" s="5">
        <v>17.247646576391688</v>
      </c>
      <c r="AF61" s="20">
        <v>1</v>
      </c>
      <c r="AG61" s="6">
        <v>1139944758.9378445</v>
      </c>
      <c r="AH61" s="5">
        <v>4.963316894440156</v>
      </c>
      <c r="AI61" s="5">
        <v>17.294875743058274</v>
      </c>
      <c r="AJ61" s="20">
        <v>1</v>
      </c>
      <c r="AK61" s="6">
        <v>1159588998.3807251</v>
      </c>
      <c r="AL61" s="5">
        <v>16.23291909822365</v>
      </c>
      <c r="AM61" s="5">
        <v>24.304336576392256</v>
      </c>
      <c r="AN61" s="20">
        <v>1</v>
      </c>
      <c r="AO61" s="6">
        <v>1199044076.4115193</v>
      </c>
      <c r="AP61" s="5">
        <v>4.85071920340577</v>
      </c>
      <c r="AQ61" s="127">
        <v>25.258442154556317</v>
      </c>
      <c r="AR61" s="42">
        <v>8.623156888890444</v>
      </c>
      <c r="AS61" s="43">
        <v>13064942.614627676</v>
      </c>
      <c r="AT61">
        <v>3.21752</v>
      </c>
      <c r="AU61">
        <v>0.035885711756843436</v>
      </c>
      <c r="AV61" t="s">
        <v>65</v>
      </c>
      <c r="AX61" s="185" t="str">
        <f t="shared" si="13"/>
        <v>Storage at 60F within 0.5 days</v>
      </c>
      <c r="AY61" s="246" t="str">
        <f t="shared" si="14"/>
        <v>3 Logs</v>
      </c>
      <c r="AZ61" s="247">
        <f>AU61*$AZ$38*Inputs!$D$23</f>
        <v>539617.360629326</v>
      </c>
      <c r="BB61">
        <v>0.999</v>
      </c>
      <c r="BC61">
        <f t="shared" si="15"/>
        <v>195317.8421501705</v>
      </c>
      <c r="BD61">
        <f t="shared" si="15"/>
        <v>166321.34269239198</v>
      </c>
      <c r="BK61" s="242">
        <v>0.05</v>
      </c>
      <c r="BL61" s="6">
        <f t="shared" si="18"/>
        <v>340000</v>
      </c>
      <c r="BM61" s="6">
        <f t="shared" si="19"/>
        <v>340000</v>
      </c>
    </row>
    <row r="62" spans="1:65" ht="12.75">
      <c r="A62">
        <v>20</v>
      </c>
      <c r="B62" t="s">
        <v>65</v>
      </c>
      <c r="C62" s="5">
        <v>0.3211883333333341</v>
      </c>
      <c r="D62" s="20">
        <v>0.06968815639314722</v>
      </c>
      <c r="E62" s="30">
        <v>445699.3444865418</v>
      </c>
      <c r="F62" s="5">
        <v>24.579343234759094</v>
      </c>
      <c r="G62" s="5">
        <v>2.446694166666682</v>
      </c>
      <c r="H62" s="20">
        <v>0.07386891142122308</v>
      </c>
      <c r="I62" s="6">
        <v>95391019.35214664</v>
      </c>
      <c r="J62" s="5">
        <v>14.665329887665896</v>
      </c>
      <c r="K62" s="5">
        <v>2.7049575000000146</v>
      </c>
      <c r="L62" s="20">
        <v>0.07438092664570475</v>
      </c>
      <c r="M62" s="6">
        <v>100011141.21384336</v>
      </c>
      <c r="N62" s="5">
        <v>12.694798926308989</v>
      </c>
      <c r="O62" s="5">
        <v>5.088884166666643</v>
      </c>
      <c r="P62" s="20">
        <v>0.07931563888206904</v>
      </c>
      <c r="Q62" s="6">
        <v>190821433.9286798</v>
      </c>
      <c r="R62" s="5">
        <v>9.761190605458903</v>
      </c>
      <c r="S62" s="2">
        <v>0.02444395486110701</v>
      </c>
      <c r="T62" s="20">
        <v>1</v>
      </c>
      <c r="U62" s="6">
        <v>181820.8719</v>
      </c>
      <c r="V62" s="5">
        <v>57.00006076987036</v>
      </c>
      <c r="W62" s="5">
        <v>7.105145746527571</v>
      </c>
      <c r="X62" s="20">
        <v>1</v>
      </c>
      <c r="Y62" s="6">
        <v>284784572.6833978</v>
      </c>
      <c r="Z62" s="20">
        <v>10.300313790611932</v>
      </c>
      <c r="AA62" s="5">
        <v>7.699147413194182</v>
      </c>
      <c r="AB62" s="20">
        <v>1</v>
      </c>
      <c r="AC62" s="6">
        <v>313009878.1894247</v>
      </c>
      <c r="AD62" s="5">
        <v>11.043990322070634</v>
      </c>
      <c r="AE62" s="5">
        <v>17.30521824652804</v>
      </c>
      <c r="AF62" s="20">
        <v>1</v>
      </c>
      <c r="AG62" s="6">
        <v>334542374.1314005</v>
      </c>
      <c r="AH62" s="5">
        <v>4.909741703904963</v>
      </c>
      <c r="AI62" s="5">
        <v>17.352581579861067</v>
      </c>
      <c r="AJ62" s="20">
        <v>1</v>
      </c>
      <c r="AK62" s="6">
        <v>342838408.87082446</v>
      </c>
      <c r="AL62" s="5">
        <v>16.222788034124175</v>
      </c>
      <c r="AM62" s="5">
        <v>24.3619782465281</v>
      </c>
      <c r="AN62" s="20">
        <v>1</v>
      </c>
      <c r="AO62" s="6">
        <v>359612871.5385412</v>
      </c>
      <c r="AP62" s="5">
        <v>4.850721516984439</v>
      </c>
      <c r="AQ62" s="127">
        <v>25.258442154556317</v>
      </c>
      <c r="AR62" s="42">
        <v>8.623156888890444</v>
      </c>
      <c r="AS62" s="43">
        <v>3061366.954136245</v>
      </c>
      <c r="AT62">
        <v>3.21752</v>
      </c>
      <c r="AU62">
        <v>0.012980969515318798</v>
      </c>
      <c r="AV62" t="s">
        <v>65</v>
      </c>
      <c r="AX62" s="185" t="s">
        <v>282</v>
      </c>
      <c r="AY62" s="246" t="str">
        <f t="shared" si="14"/>
        <v>3 Logs</v>
      </c>
      <c r="AZ62" s="247">
        <f>AU62*$AZ$38*Inputs!$D$23</f>
        <v>195196.25403361986</v>
      </c>
      <c r="BB62">
        <v>1</v>
      </c>
      <c r="BC62">
        <f t="shared" si="15"/>
        <v>195165.33675255015</v>
      </c>
      <c r="BD62">
        <f t="shared" si="15"/>
        <v>166139.81176978888</v>
      </c>
      <c r="BK62" s="242">
        <v>0.1</v>
      </c>
      <c r="BL62" s="6">
        <f t="shared" si="18"/>
        <v>330000</v>
      </c>
      <c r="BM62" s="6">
        <f t="shared" si="19"/>
        <v>330000</v>
      </c>
    </row>
    <row r="63" spans="1:65" ht="12.75">
      <c r="A63">
        <v>21</v>
      </c>
      <c r="B63" t="s">
        <v>65</v>
      </c>
      <c r="C63" s="5">
        <v>0.3192541666666656</v>
      </c>
      <c r="D63" s="20">
        <v>0.06965610127737056</v>
      </c>
      <c r="E63" s="30">
        <v>158048.98831563324</v>
      </c>
      <c r="F63" s="5">
        <v>24.579670259397837</v>
      </c>
      <c r="G63" s="5">
        <v>2.4447375000000156</v>
      </c>
      <c r="H63" s="20">
        <v>0.07233276901232819</v>
      </c>
      <c r="I63" s="6">
        <v>1240454.8707839127</v>
      </c>
      <c r="J63" s="5">
        <v>9.61050902704909</v>
      </c>
      <c r="K63" s="5">
        <v>2.7029758333333493</v>
      </c>
      <c r="L63" s="20">
        <v>0.07275177557974338</v>
      </c>
      <c r="M63" s="6">
        <v>1584782.5296667279</v>
      </c>
      <c r="N63" s="5">
        <v>9.59059047816241</v>
      </c>
      <c r="O63" s="5">
        <v>5.086904999999977</v>
      </c>
      <c r="P63" s="20">
        <v>0.07661683163750732</v>
      </c>
      <c r="Q63" s="6">
        <v>15289460.251653275</v>
      </c>
      <c r="R63" s="5">
        <v>7.671885732929745</v>
      </c>
      <c r="S63" s="2">
        <v>0.03240829513891506</v>
      </c>
      <c r="T63" s="20">
        <v>1</v>
      </c>
      <c r="U63" s="6">
        <v>145.49948</v>
      </c>
      <c r="V63" s="5">
        <v>57.70358304232968</v>
      </c>
      <c r="W63" s="5">
        <v>7.111830114584057</v>
      </c>
      <c r="X63" s="20">
        <v>1</v>
      </c>
      <c r="Y63" s="6">
        <v>21981894.44746863</v>
      </c>
      <c r="Z63" s="20">
        <v>8.22906039361151</v>
      </c>
      <c r="AA63" s="5">
        <v>7.705796781251203</v>
      </c>
      <c r="AB63" s="20">
        <v>1</v>
      </c>
      <c r="AC63" s="6">
        <v>26914851.954788595</v>
      </c>
      <c r="AD63" s="5">
        <v>10.195696860938101</v>
      </c>
      <c r="AE63" s="5">
        <v>17.311869281246835</v>
      </c>
      <c r="AF63" s="20">
        <v>1</v>
      </c>
      <c r="AG63" s="6">
        <v>29254850.149198297</v>
      </c>
      <c r="AH63" s="5">
        <v>4.890739195259353</v>
      </c>
      <c r="AI63" s="5">
        <v>17.359225947913284</v>
      </c>
      <c r="AJ63" s="20">
        <v>1</v>
      </c>
      <c r="AK63" s="6">
        <v>30955366.649290197</v>
      </c>
      <c r="AL63" s="5">
        <v>16.211459448452327</v>
      </c>
      <c r="AM63" s="5">
        <v>24.368662614582888</v>
      </c>
      <c r="AN63" s="20">
        <v>1</v>
      </c>
      <c r="AO63" s="6">
        <v>33259890.843410987</v>
      </c>
      <c r="AP63" s="5">
        <v>4.850722322327168</v>
      </c>
      <c r="AQ63" s="127">
        <v>25.258442154556317</v>
      </c>
      <c r="AR63" s="42">
        <v>8.623156888890444</v>
      </c>
      <c r="AS63" s="43">
        <v>306692.05488171073</v>
      </c>
      <c r="AT63">
        <v>3.21752</v>
      </c>
      <c r="AU63">
        <v>0.0012232308208828498</v>
      </c>
      <c r="AV63" t="s">
        <v>65</v>
      </c>
      <c r="AX63" s="185" t="str">
        <f t="shared" si="13"/>
        <v>Storage at 45F within 1.5 days</v>
      </c>
      <c r="AY63" s="246" t="str">
        <f t="shared" si="14"/>
        <v>5 Logs</v>
      </c>
      <c r="AZ63" s="247">
        <f>AU63*$AZ$38*Inputs!$D$23</f>
        <v>18393.85523346545</v>
      </c>
      <c r="BK63" s="242">
        <v>0.2</v>
      </c>
      <c r="BL63" s="6">
        <f t="shared" si="18"/>
        <v>320000</v>
      </c>
      <c r="BM63" s="6">
        <f t="shared" si="19"/>
        <v>310000</v>
      </c>
    </row>
    <row r="64" spans="1:65" ht="12.75">
      <c r="A64">
        <v>22</v>
      </c>
      <c r="B64" t="s">
        <v>65</v>
      </c>
      <c r="C64" s="5">
        <v>0.3114333333333323</v>
      </c>
      <c r="D64" s="20">
        <v>0.06959005904223849</v>
      </c>
      <c r="E64" s="30">
        <v>39483.08112504751</v>
      </c>
      <c r="F64" s="5">
        <v>24.581319636184972</v>
      </c>
      <c r="G64" s="5">
        <v>2.4369000000000023</v>
      </c>
      <c r="H64" s="20">
        <v>0.07228568905926308</v>
      </c>
      <c r="I64" s="6">
        <v>958704.6863379492</v>
      </c>
      <c r="J64" s="5">
        <v>9.610730596452532</v>
      </c>
      <c r="K64" s="5">
        <v>2.6951600000000133</v>
      </c>
      <c r="L64" s="20">
        <v>0.07268519687648627</v>
      </c>
      <c r="M64" s="6">
        <v>1288915.744155358</v>
      </c>
      <c r="N64" s="5">
        <v>9.590778754525356</v>
      </c>
      <c r="O64" s="5">
        <v>5.079024999999981</v>
      </c>
      <c r="P64" s="20">
        <v>0.07654850872683396</v>
      </c>
      <c r="Q64" s="6">
        <v>13651348.063791389</v>
      </c>
      <c r="R64" s="5">
        <v>7.6719468207193104</v>
      </c>
      <c r="S64" s="2">
        <v>0.0324082847222484</v>
      </c>
      <c r="T64" s="20">
        <v>1</v>
      </c>
      <c r="U64" s="6">
        <v>130.01924</v>
      </c>
      <c r="V64" s="5">
        <v>57.70358281354792</v>
      </c>
      <c r="W64" s="5">
        <v>7.104106663195166</v>
      </c>
      <c r="X64" s="20">
        <v>1</v>
      </c>
      <c r="Y64" s="6">
        <v>20122422.12902887</v>
      </c>
      <c r="Z64" s="20">
        <v>8.229110761435669</v>
      </c>
      <c r="AA64" s="5">
        <v>7.69802582986227</v>
      </c>
      <c r="AB64" s="20">
        <v>1</v>
      </c>
      <c r="AC64" s="6">
        <v>24445686.918136206</v>
      </c>
      <c r="AD64" s="5">
        <v>10.19550930951506</v>
      </c>
      <c r="AE64" s="5">
        <v>17.304049996524657</v>
      </c>
      <c r="AF64" s="20">
        <v>1</v>
      </c>
      <c r="AG64" s="6">
        <v>27004687.419062216</v>
      </c>
      <c r="AH64" s="5">
        <v>4.890735123455086</v>
      </c>
      <c r="AI64" s="5">
        <v>17.351435829857806</v>
      </c>
      <c r="AJ64" s="20">
        <v>1</v>
      </c>
      <c r="AK64" s="6">
        <v>28145075.944699507</v>
      </c>
      <c r="AL64" s="5">
        <v>16.210517968879895</v>
      </c>
      <c r="AM64" s="5">
        <v>24.360866663193946</v>
      </c>
      <c r="AN64" s="20">
        <v>1</v>
      </c>
      <c r="AO64" s="6">
        <v>29460173.344593346</v>
      </c>
      <c r="AP64" s="5">
        <v>4.850718181868794</v>
      </c>
      <c r="AQ64" s="127">
        <v>25.258442154556317</v>
      </c>
      <c r="AR64" s="42">
        <v>8.623156888890444</v>
      </c>
      <c r="AS64" s="43">
        <v>232057.17435811786</v>
      </c>
      <c r="AT64">
        <v>3.21752</v>
      </c>
      <c r="AU64">
        <v>0.0011574027087630802</v>
      </c>
      <c r="AV64" t="s">
        <v>65</v>
      </c>
      <c r="AX64" s="185" t="str">
        <f t="shared" si="13"/>
        <v>Storage at 45F within 1.0 days</v>
      </c>
      <c r="AY64" s="246" t="str">
        <f t="shared" si="14"/>
        <v>5 Logs</v>
      </c>
      <c r="AZ64" s="247">
        <f>AU64*$AZ$38*Inputs!$D$23</f>
        <v>17403.990733689785</v>
      </c>
      <c r="BK64" s="242">
        <v>0.3</v>
      </c>
      <c r="BL64" s="6">
        <f t="shared" si="18"/>
        <v>300000</v>
      </c>
      <c r="BM64" s="6">
        <f t="shared" si="19"/>
        <v>290000</v>
      </c>
    </row>
    <row r="65" spans="1:65" ht="12.75">
      <c r="A65">
        <v>23</v>
      </c>
      <c r="B65" t="s">
        <v>65</v>
      </c>
      <c r="C65" s="5">
        <v>0.26479750000000396</v>
      </c>
      <c r="D65" s="20">
        <v>0.0691616124135652</v>
      </c>
      <c r="E65" s="30">
        <v>1691.1315303021704</v>
      </c>
      <c r="F65" s="5">
        <v>24.60726459959128</v>
      </c>
      <c r="G65" s="5">
        <v>2.3903833333333266</v>
      </c>
      <c r="H65" s="20">
        <v>0.07187517568540941</v>
      </c>
      <c r="I65" s="6">
        <v>880979.078012123</v>
      </c>
      <c r="J65" s="5">
        <v>9.614392248002767</v>
      </c>
      <c r="K65" s="5">
        <v>2.6487133333333284</v>
      </c>
      <c r="L65" s="20">
        <v>0.07225515613097841</v>
      </c>
      <c r="M65" s="6">
        <v>1098372.5327896448</v>
      </c>
      <c r="N65" s="5">
        <v>9.594469126545379</v>
      </c>
      <c r="O65" s="5">
        <v>5.032508333333362</v>
      </c>
      <c r="P65" s="20">
        <v>0.07607165454060869</v>
      </c>
      <c r="Q65" s="6">
        <v>10448552.106428348</v>
      </c>
      <c r="R65" s="5">
        <v>7.672590917820232</v>
      </c>
      <c r="S65" s="2">
        <v>0.032408229166692816</v>
      </c>
      <c r="T65" s="20">
        <v>1</v>
      </c>
      <c r="U65" s="6">
        <v>100.31842</v>
      </c>
      <c r="V65" s="5">
        <v>57.70358451608553</v>
      </c>
      <c r="W65" s="5">
        <v>7.057491180556148</v>
      </c>
      <c r="X65" s="20">
        <v>1</v>
      </c>
      <c r="Y65" s="6">
        <v>16214009.210957106</v>
      </c>
      <c r="Z65" s="20">
        <v>8.228828638934324</v>
      </c>
      <c r="AA65" s="5">
        <v>7.651505347223315</v>
      </c>
      <c r="AB65" s="20">
        <v>1</v>
      </c>
      <c r="AC65" s="6">
        <v>19283191.03152587</v>
      </c>
      <c r="AD65" s="5">
        <v>10.196276174668485</v>
      </c>
      <c r="AE65" s="5">
        <v>17.25752951388577</v>
      </c>
      <c r="AF65" s="20">
        <v>1</v>
      </c>
      <c r="AG65" s="6">
        <v>20270221.933169298</v>
      </c>
      <c r="AH65" s="5">
        <v>4.890722260829373</v>
      </c>
      <c r="AI65" s="5">
        <v>17.304758680552364</v>
      </c>
      <c r="AJ65" s="20">
        <v>1</v>
      </c>
      <c r="AK65" s="6">
        <v>20556625.726283062</v>
      </c>
      <c r="AL65" s="5">
        <v>16.193241286605847</v>
      </c>
      <c r="AM65" s="5">
        <v>24.31421951388814</v>
      </c>
      <c r="AN65" s="20">
        <v>1</v>
      </c>
      <c r="AO65" s="6">
        <v>21544335.844656475</v>
      </c>
      <c r="AP65" s="5">
        <v>4.85071835020093</v>
      </c>
      <c r="AQ65" s="127">
        <v>25.258442154556317</v>
      </c>
      <c r="AR65" s="42">
        <v>8.623156888890444</v>
      </c>
      <c r="AS65" s="43">
        <v>33160.83324907624</v>
      </c>
      <c r="AT65">
        <v>3.21752</v>
      </c>
      <c r="AU65">
        <v>0.000821901956474491</v>
      </c>
      <c r="AV65" t="s">
        <v>65</v>
      </c>
      <c r="AX65" s="185" t="str">
        <f t="shared" si="13"/>
        <v>Storage at 45F within 0.5 days</v>
      </c>
      <c r="AY65" s="246" t="str">
        <f t="shared" si="14"/>
        <v>5 Logs</v>
      </c>
      <c r="AZ65" s="247">
        <f>AU65*$AZ$38*Inputs!$D$23</f>
        <v>12359.029338863975</v>
      </c>
      <c r="BK65" s="242">
        <v>0.4</v>
      </c>
      <c r="BL65" s="6">
        <f t="shared" si="18"/>
        <v>290000</v>
      </c>
      <c r="BM65" s="6">
        <f t="shared" si="19"/>
        <v>280000</v>
      </c>
    </row>
    <row r="66" spans="1:65" ht="12.75">
      <c r="A66">
        <v>24</v>
      </c>
      <c r="B66" t="s">
        <v>65</v>
      </c>
      <c r="C66" s="5">
        <v>0.3192541666666656</v>
      </c>
      <c r="D66" s="20">
        <v>0.06965610127737056</v>
      </c>
      <c r="E66" s="30">
        <v>158048.98831563324</v>
      </c>
      <c r="F66" s="5">
        <v>24.579670259397837</v>
      </c>
      <c r="G66" s="5">
        <v>2.4447375000000156</v>
      </c>
      <c r="H66" s="20">
        <v>0.07316966661483629</v>
      </c>
      <c r="I66" s="6">
        <v>7768453.743614486</v>
      </c>
      <c r="J66" s="5">
        <v>13.445021815933686</v>
      </c>
      <c r="K66" s="5">
        <v>2.7029758333333493</v>
      </c>
      <c r="L66" s="20">
        <v>0.07365887167425872</v>
      </c>
      <c r="M66" s="6">
        <v>8177909.728741579</v>
      </c>
      <c r="N66" s="5">
        <v>13.430239545165014</v>
      </c>
      <c r="O66" s="5">
        <v>5.086904999999977</v>
      </c>
      <c r="P66" s="20">
        <v>0.07888681658409157</v>
      </c>
      <c r="Q66" s="6">
        <v>97918803.22919187</v>
      </c>
      <c r="R66" s="5">
        <v>12.001779593222077</v>
      </c>
      <c r="S66" s="2">
        <v>0.031895836805547244</v>
      </c>
      <c r="T66" s="20">
        <v>1</v>
      </c>
      <c r="U66" s="6">
        <v>933.1475</v>
      </c>
      <c r="V66" s="5">
        <v>57.70608757203132</v>
      </c>
      <c r="W66" s="5">
        <v>7.110871854164826</v>
      </c>
      <c r="X66" s="20">
        <v>1</v>
      </c>
      <c r="Y66" s="6">
        <v>169100895.27479595</v>
      </c>
      <c r="Z66" s="20">
        <v>12.632950357218443</v>
      </c>
      <c r="AA66" s="5">
        <v>7.704838520831106</v>
      </c>
      <c r="AB66" s="20">
        <v>1</v>
      </c>
      <c r="AC66" s="6">
        <v>190130535.72221008</v>
      </c>
      <c r="AD66" s="5">
        <v>11.980939744463845</v>
      </c>
      <c r="AE66" s="5">
        <v>17.310911020834563</v>
      </c>
      <c r="AF66" s="20">
        <v>1</v>
      </c>
      <c r="AG66" s="6">
        <v>206224135.23099765</v>
      </c>
      <c r="AH66" s="5">
        <v>4.928879422440955</v>
      </c>
      <c r="AI66" s="5">
        <v>17.3582676875015</v>
      </c>
      <c r="AJ66" s="20">
        <v>1</v>
      </c>
      <c r="AK66" s="6">
        <v>212013219.26912177</v>
      </c>
      <c r="AL66" s="5">
        <v>16.232134514990634</v>
      </c>
      <c r="AM66" s="5">
        <v>24.367704354170215</v>
      </c>
      <c r="AN66" s="20">
        <v>1</v>
      </c>
      <c r="AO66" s="6">
        <v>224446016.104596</v>
      </c>
      <c r="AP66" s="5">
        <v>4.850722761432074</v>
      </c>
      <c r="AQ66" s="127">
        <v>25.258442154556317</v>
      </c>
      <c r="AR66" s="42">
        <v>8.623156888890444</v>
      </c>
      <c r="AS66" s="43">
        <v>1740454.285153501</v>
      </c>
      <c r="AT66">
        <v>3.21752</v>
      </c>
      <c r="AU66">
        <v>0.008006604138115664</v>
      </c>
      <c r="AV66" t="s">
        <v>65</v>
      </c>
      <c r="AX66" s="185" t="str">
        <f t="shared" si="13"/>
        <v>Storage at 53F within 1.5 days</v>
      </c>
      <c r="AY66" s="246" t="str">
        <f t="shared" si="14"/>
        <v>5 Logs</v>
      </c>
      <c r="AZ66" s="247">
        <f>AU66*$AZ$38*Inputs!$D$23</f>
        <v>120396.17945685275</v>
      </c>
      <c r="BK66" s="242">
        <v>0.5</v>
      </c>
      <c r="BL66" s="6">
        <f>ROUND(BC54,$BH$47-1-INT(LOG10(ABS(BC54))))</f>
        <v>270000</v>
      </c>
      <c r="BM66" s="6">
        <f>ROUND(BD54,$BH$47-1-INT(LOG10(ABS(BD54))))</f>
        <v>260000</v>
      </c>
    </row>
    <row r="67" spans="1:65" ht="12.75">
      <c r="A67">
        <v>25</v>
      </c>
      <c r="B67" t="s">
        <v>65</v>
      </c>
      <c r="C67" s="5">
        <v>0.3114333333333323</v>
      </c>
      <c r="D67" s="20">
        <v>0.06959005904223849</v>
      </c>
      <c r="E67" s="30">
        <v>39483.08112504751</v>
      </c>
      <c r="F67" s="5">
        <v>24.581319636184972</v>
      </c>
      <c r="G67" s="5">
        <v>2.4369000000000023</v>
      </c>
      <c r="H67" s="20">
        <v>0.07310301967306293</v>
      </c>
      <c r="I67" s="6">
        <v>5334626.218294378</v>
      </c>
      <c r="J67" s="5">
        <v>13.445251447106402</v>
      </c>
      <c r="K67" s="5">
        <v>2.6951600000000133</v>
      </c>
      <c r="L67" s="20">
        <v>0.07357274576560124</v>
      </c>
      <c r="M67" s="6">
        <v>5451788.5141977165</v>
      </c>
      <c r="N67" s="5">
        <v>13.430435393705302</v>
      </c>
      <c r="O67" s="5">
        <v>5.079024999999981</v>
      </c>
      <c r="P67" s="20">
        <v>0.07881679567855471</v>
      </c>
      <c r="Q67" s="6">
        <v>93554378.34256288</v>
      </c>
      <c r="R67" s="5">
        <v>12.001819904521687</v>
      </c>
      <c r="S67" s="2">
        <v>0.03189585069443611</v>
      </c>
      <c r="T67" s="20">
        <v>1</v>
      </c>
      <c r="U67" s="6">
        <v>891.21938</v>
      </c>
      <c r="V67" s="5">
        <v>57.70608835593866</v>
      </c>
      <c r="W67" s="5">
        <v>7.10314843055376</v>
      </c>
      <c r="X67" s="20">
        <v>1</v>
      </c>
      <c r="Y67" s="6">
        <v>163255318.74591446</v>
      </c>
      <c r="Z67" s="20">
        <v>12.632980601957739</v>
      </c>
      <c r="AA67" s="5">
        <v>7.697067597220016</v>
      </c>
      <c r="AB67" s="20">
        <v>1</v>
      </c>
      <c r="AC67" s="6">
        <v>185525731.3889186</v>
      </c>
      <c r="AD67" s="5">
        <v>11.980685108639703</v>
      </c>
      <c r="AE67" s="5">
        <v>17.303091763890105</v>
      </c>
      <c r="AF67" s="20">
        <v>1</v>
      </c>
      <c r="AG67" s="6">
        <v>202037070.08964804</v>
      </c>
      <c r="AH67" s="5">
        <v>4.928873290369512</v>
      </c>
      <c r="AI67" s="5">
        <v>17.35047759722368</v>
      </c>
      <c r="AJ67" s="20">
        <v>1</v>
      </c>
      <c r="AK67" s="6">
        <v>206983557.18594962</v>
      </c>
      <c r="AL67" s="5">
        <v>16.23120883086786</v>
      </c>
      <c r="AM67" s="5">
        <v>24.35990843055902</v>
      </c>
      <c r="AN67" s="20">
        <v>1</v>
      </c>
      <c r="AO67" s="6">
        <v>218313709.6008742</v>
      </c>
      <c r="AP67" s="5">
        <v>4.850718621748478</v>
      </c>
      <c r="AQ67" s="127">
        <v>25.258442154556317</v>
      </c>
      <c r="AR67" s="42">
        <v>8.623156888890444</v>
      </c>
      <c r="AS67" s="43">
        <v>1720739.1450719165</v>
      </c>
      <c r="AT67">
        <v>3.21752</v>
      </c>
      <c r="AU67">
        <v>0.007930232392908031</v>
      </c>
      <c r="AV67" t="s">
        <v>65</v>
      </c>
      <c r="AX67" s="185" t="str">
        <f t="shared" si="13"/>
        <v>Storage at 53F within 1.0 days</v>
      </c>
      <c r="AY67" s="246" t="str">
        <f t="shared" si="14"/>
        <v>5 Logs</v>
      </c>
      <c r="AZ67" s="247">
        <f>AU67*$AZ$38*Inputs!$D$23</f>
        <v>119247.76919666784</v>
      </c>
      <c r="BK67" s="242">
        <v>0.6</v>
      </c>
      <c r="BL67" s="6">
        <f aca="true" t="shared" si="20" ref="BL67:BL73">ROUND(BC55,$BH$47-1-INT(LOG10(ABS(BC55))))</f>
        <v>260000</v>
      </c>
      <c r="BM67" s="6">
        <f aca="true" t="shared" si="21" ref="BM67:BM73">ROUND(BD55,$BH$47-1-INT(LOG10(ABS(BD55))))</f>
        <v>240000</v>
      </c>
    </row>
    <row r="68" spans="1:65" ht="12.75">
      <c r="A68">
        <v>26</v>
      </c>
      <c r="B68" t="s">
        <v>65</v>
      </c>
      <c r="C68" s="5">
        <v>0.26479750000000396</v>
      </c>
      <c r="D68" s="20">
        <v>0.0691616124135652</v>
      </c>
      <c r="E68" s="30">
        <v>1691.1315303021704</v>
      </c>
      <c r="F68" s="5">
        <v>24.60726459959128</v>
      </c>
      <c r="G68" s="5">
        <v>2.3903833333333266</v>
      </c>
      <c r="H68" s="20">
        <v>0.07267221405039763</v>
      </c>
      <c r="I68" s="6">
        <v>4105752.0386562725</v>
      </c>
      <c r="J68" s="5">
        <v>13.448929678606628</v>
      </c>
      <c r="K68" s="5">
        <v>2.6487133333333284</v>
      </c>
      <c r="L68" s="20">
        <v>0.07308351286385724</v>
      </c>
      <c r="M68" s="6">
        <v>4071011.3132752366</v>
      </c>
      <c r="N68" s="5">
        <v>13.434128613826779</v>
      </c>
      <c r="O68" s="5">
        <v>5.032508333333362</v>
      </c>
      <c r="P68" s="20">
        <v>0.07827918042834944</v>
      </c>
      <c r="Q68" s="6">
        <v>81901179.92664348</v>
      </c>
      <c r="R68" s="5">
        <v>12.002484952085599</v>
      </c>
      <c r="S68" s="2">
        <v>0.03189574305554724</v>
      </c>
      <c r="T68" s="20">
        <v>1</v>
      </c>
      <c r="U68" s="6">
        <v>780.06454</v>
      </c>
      <c r="V68" s="5">
        <v>57.70608805910594</v>
      </c>
      <c r="W68" s="5">
        <v>7.056532756942735</v>
      </c>
      <c r="X68" s="20">
        <v>1</v>
      </c>
      <c r="Y68" s="6">
        <v>141418181.54865032</v>
      </c>
      <c r="Z68" s="20">
        <v>12.632835890895981</v>
      </c>
      <c r="AA68" s="5">
        <v>7.650546923608885</v>
      </c>
      <c r="AB68" s="20">
        <v>1</v>
      </c>
      <c r="AC68" s="6">
        <v>161063894.95935434</v>
      </c>
      <c r="AD68" s="5">
        <v>11.981417305330726</v>
      </c>
      <c r="AE68" s="5">
        <v>17.256571090278992</v>
      </c>
      <c r="AF68" s="20">
        <v>1</v>
      </c>
      <c r="AG68" s="6">
        <v>175131747.97355264</v>
      </c>
      <c r="AH68" s="5">
        <v>4.928860519618154</v>
      </c>
      <c r="AI68" s="5">
        <v>17.303800256945593</v>
      </c>
      <c r="AJ68" s="20">
        <v>1</v>
      </c>
      <c r="AK68" s="6">
        <v>181712557.64821285</v>
      </c>
      <c r="AL68" s="5">
        <v>16.214071421308077</v>
      </c>
      <c r="AM68" s="5">
        <v>24.31326109028148</v>
      </c>
      <c r="AN68" s="20">
        <v>1</v>
      </c>
      <c r="AO68" s="6">
        <v>191027183.3917499</v>
      </c>
      <c r="AP68" s="5">
        <v>4.850718803298216</v>
      </c>
      <c r="AQ68" s="127">
        <v>25.258442154556317</v>
      </c>
      <c r="AR68" s="42">
        <v>8.623156888890444</v>
      </c>
      <c r="AS68" s="43">
        <v>1258361.134998815</v>
      </c>
      <c r="AT68">
        <v>3.21752</v>
      </c>
      <c r="AU68">
        <v>0.007223396504137446</v>
      </c>
      <c r="AV68" t="s">
        <v>65</v>
      </c>
      <c r="AX68" s="185" t="str">
        <f t="shared" si="13"/>
        <v>Storage at 53F within 0.5 days</v>
      </c>
      <c r="AY68" s="246" t="str">
        <f t="shared" si="14"/>
        <v>5 Logs</v>
      </c>
      <c r="AZ68" s="247">
        <f>AU68*$AZ$38*Inputs!$D$23</f>
        <v>108619.00086455498</v>
      </c>
      <c r="BK68" s="242">
        <v>0.7</v>
      </c>
      <c r="BL68" s="6">
        <f t="shared" si="20"/>
        <v>240000</v>
      </c>
      <c r="BM68" s="6">
        <f t="shared" si="21"/>
        <v>220000</v>
      </c>
    </row>
    <row r="69" spans="1:65" ht="12.75">
      <c r="A69">
        <v>27</v>
      </c>
      <c r="B69" t="s">
        <v>65</v>
      </c>
      <c r="C69" s="5">
        <v>0.3192541666666656</v>
      </c>
      <c r="D69" s="20">
        <v>0.06965610127737056</v>
      </c>
      <c r="E69" s="30">
        <v>158048.98831563324</v>
      </c>
      <c r="F69" s="5">
        <v>24.579670259397837</v>
      </c>
      <c r="G69" s="5">
        <v>2.4447375000000156</v>
      </c>
      <c r="H69" s="20">
        <v>0.07412933374559678</v>
      </c>
      <c r="I69" s="6">
        <v>70686816.20411497</v>
      </c>
      <c r="J69" s="5">
        <v>16.800214792168145</v>
      </c>
      <c r="K69" s="5">
        <v>2.7029758333333493</v>
      </c>
      <c r="L69" s="20">
        <v>0.0747526612653909</v>
      </c>
      <c r="M69" s="6">
        <v>86477843.3732508</v>
      </c>
      <c r="N69" s="5">
        <v>16.789926757098794</v>
      </c>
      <c r="O69" s="5">
        <v>5.086904999999977</v>
      </c>
      <c r="P69" s="20">
        <v>0.08241552689501232</v>
      </c>
      <c r="Q69" s="6">
        <v>467663605.57642096</v>
      </c>
      <c r="R69" s="5">
        <v>15.790430268740801</v>
      </c>
      <c r="S69" s="2">
        <v>0.03138528472225647</v>
      </c>
      <c r="T69" s="20">
        <v>1</v>
      </c>
      <c r="U69" s="6">
        <v>4394.339</v>
      </c>
      <c r="V69" s="5">
        <v>57.70750867088205</v>
      </c>
      <c r="W69" s="5">
        <v>7.109921184027898</v>
      </c>
      <c r="X69" s="20">
        <v>1</v>
      </c>
      <c r="Y69" s="6">
        <v>865580501.2242826</v>
      </c>
      <c r="Z69" s="20">
        <v>16.489250457277784</v>
      </c>
      <c r="AA69" s="5">
        <v>7.703887850694306</v>
      </c>
      <c r="AB69" s="20">
        <v>1</v>
      </c>
      <c r="AC69" s="6">
        <v>972497421.3536801</v>
      </c>
      <c r="AD69" s="5">
        <v>13.545580072691736</v>
      </c>
      <c r="AE69" s="5">
        <v>17.309960350691824</v>
      </c>
      <c r="AF69" s="20">
        <v>1</v>
      </c>
      <c r="AG69" s="6">
        <v>1012218725.0559105</v>
      </c>
      <c r="AH69" s="5">
        <v>4.96325397113287</v>
      </c>
      <c r="AI69" s="5">
        <v>17.35731701735842</v>
      </c>
      <c r="AJ69" s="20">
        <v>1</v>
      </c>
      <c r="AK69" s="6">
        <v>1026234220.2195998</v>
      </c>
      <c r="AL69" s="5">
        <v>16.250758770479205</v>
      </c>
      <c r="AM69" s="5">
        <v>24.36675368402455</v>
      </c>
      <c r="AN69" s="20">
        <v>1</v>
      </c>
      <c r="AO69" s="6">
        <v>1049493755.1233612</v>
      </c>
      <c r="AP69" s="5">
        <v>4.850723148472006</v>
      </c>
      <c r="AQ69" s="127">
        <v>25.258442154556317</v>
      </c>
      <c r="AR69" s="42">
        <v>8.623156888890444</v>
      </c>
      <c r="AS69" s="43">
        <v>12468587.111898484</v>
      </c>
      <c r="AT69">
        <v>3.21752</v>
      </c>
      <c r="AU69">
        <v>0.029453116702308234</v>
      </c>
      <c r="AV69" t="s">
        <v>65</v>
      </c>
      <c r="AX69" s="185" t="str">
        <f t="shared" si="13"/>
        <v>Storage at 60F within 1.5 days</v>
      </c>
      <c r="AY69" s="246" t="str">
        <f t="shared" si="14"/>
        <v>5 Logs</v>
      </c>
      <c r="AZ69" s="247">
        <f>AU69*$AZ$38*Inputs!$D$23</f>
        <v>442889.7273906292</v>
      </c>
      <c r="BK69" s="242">
        <v>0.8</v>
      </c>
      <c r="BL69" s="6">
        <f t="shared" si="20"/>
        <v>230000</v>
      </c>
      <c r="BM69" s="6">
        <f t="shared" si="21"/>
        <v>200000</v>
      </c>
    </row>
    <row r="70" spans="1:65" ht="12.75">
      <c r="A70">
        <v>28</v>
      </c>
      <c r="B70" t="s">
        <v>65</v>
      </c>
      <c r="C70" s="5">
        <v>0.3114333333333323</v>
      </c>
      <c r="D70" s="20">
        <v>0.06959005904223849</v>
      </c>
      <c r="E70" s="30">
        <v>39483.08112504751</v>
      </c>
      <c r="F70" s="5">
        <v>24.581319636184972</v>
      </c>
      <c r="G70" s="5">
        <v>2.4369000000000023</v>
      </c>
      <c r="H70" s="20">
        <v>0.07406236089514671</v>
      </c>
      <c r="I70" s="6">
        <v>65164170.65848593</v>
      </c>
      <c r="J70" s="5">
        <v>16.80045147737685</v>
      </c>
      <c r="K70" s="5">
        <v>2.6951600000000133</v>
      </c>
      <c r="L70" s="20">
        <v>0.0746855789074631</v>
      </c>
      <c r="M70" s="6">
        <v>79539581.9697587</v>
      </c>
      <c r="N70" s="5">
        <v>16.790129231283107</v>
      </c>
      <c r="O70" s="5">
        <v>5.079024999999981</v>
      </c>
      <c r="P70" s="20">
        <v>0.08234412753540897</v>
      </c>
      <c r="Q70" s="6">
        <v>459834676.0973073</v>
      </c>
      <c r="R70" s="5">
        <v>15.790452400642627</v>
      </c>
      <c r="S70" s="2">
        <v>0.03138525694447869</v>
      </c>
      <c r="T70" s="20">
        <v>1</v>
      </c>
      <c r="U70" s="6">
        <v>4320.44928</v>
      </c>
      <c r="V70" s="5">
        <v>57.70750741482504</v>
      </c>
      <c r="W70" s="5">
        <v>7.102197781250153</v>
      </c>
      <c r="X70" s="20">
        <v>1</v>
      </c>
      <c r="Y70" s="6">
        <v>860567159.2738751</v>
      </c>
      <c r="Z70" s="20">
        <v>16.48924785863148</v>
      </c>
      <c r="AA70" s="5">
        <v>7.696116947916551</v>
      </c>
      <c r="AB70" s="20">
        <v>1</v>
      </c>
      <c r="AC70" s="6">
        <v>966824171.2276675</v>
      </c>
      <c r="AD70" s="5">
        <v>13.545297450231514</v>
      </c>
      <c r="AE70" s="5">
        <v>17.302141114580824</v>
      </c>
      <c r="AF70" s="20">
        <v>1</v>
      </c>
      <c r="AG70" s="6">
        <v>1006051976.7316978</v>
      </c>
      <c r="AH70" s="5">
        <v>4.9632496758759</v>
      </c>
      <c r="AI70" s="5">
        <v>17.349526947914004</v>
      </c>
      <c r="AJ70" s="20">
        <v>1</v>
      </c>
      <c r="AK70" s="6">
        <v>1020065982.3940425</v>
      </c>
      <c r="AL70" s="5">
        <v>16.249853142461266</v>
      </c>
      <c r="AM70" s="5">
        <v>24.35895778124677</v>
      </c>
      <c r="AN70" s="20">
        <v>1</v>
      </c>
      <c r="AO70" s="6">
        <v>1043074580.6836932</v>
      </c>
      <c r="AP70" s="5">
        <v>4.850719009298154</v>
      </c>
      <c r="AQ70" s="127">
        <v>25.258442154556317</v>
      </c>
      <c r="AR70" s="42">
        <v>8.623156888890444</v>
      </c>
      <c r="AS70" s="43">
        <v>12365753.321761945</v>
      </c>
      <c r="AT70">
        <v>3.21752</v>
      </c>
      <c r="AU70">
        <v>0.028877451451758455</v>
      </c>
      <c r="AV70" t="s">
        <v>65</v>
      </c>
      <c r="AX70" s="185" t="str">
        <f t="shared" si="13"/>
        <v>Storage at 60F within 1.0 days</v>
      </c>
      <c r="AY70" s="246" t="str">
        <f t="shared" si="14"/>
        <v>5 Logs</v>
      </c>
      <c r="AZ70" s="247">
        <f>AU70*$AZ$38*Inputs!$D$23</f>
        <v>434233.38624815614</v>
      </c>
      <c r="BK70" s="242">
        <v>0.9</v>
      </c>
      <c r="BL70" s="6">
        <f t="shared" si="20"/>
        <v>210000</v>
      </c>
      <c r="BM70" s="6">
        <f t="shared" si="21"/>
        <v>180000</v>
      </c>
    </row>
    <row r="71" spans="1:65" ht="12.75">
      <c r="A71">
        <v>29</v>
      </c>
      <c r="B71" t="s">
        <v>65</v>
      </c>
      <c r="C71" s="5">
        <v>0.26479750000000396</v>
      </c>
      <c r="D71" s="20">
        <v>0.0691616124135652</v>
      </c>
      <c r="E71" s="30">
        <v>1691.1315303021704</v>
      </c>
      <c r="F71" s="5">
        <v>24.60726459959128</v>
      </c>
      <c r="G71" s="5">
        <v>2.3903833333333266</v>
      </c>
      <c r="H71" s="20">
        <v>0.0736489649274412</v>
      </c>
      <c r="I71" s="6">
        <v>51796077.51755563</v>
      </c>
      <c r="J71" s="5">
        <v>16.80414421630888</v>
      </c>
      <c r="K71" s="5">
        <v>2.6487133333333284</v>
      </c>
      <c r="L71" s="20">
        <v>0.07421348881469267</v>
      </c>
      <c r="M71" s="6">
        <v>60463038.00658303</v>
      </c>
      <c r="N71" s="5">
        <v>16.79382494348878</v>
      </c>
      <c r="O71" s="5">
        <v>5.032508333333362</v>
      </c>
      <c r="P71" s="20">
        <v>0.08182007508897818</v>
      </c>
      <c r="Q71" s="6">
        <v>417785751.32863414</v>
      </c>
      <c r="R71" s="5">
        <v>15.791135779830478</v>
      </c>
      <c r="S71" s="2">
        <v>0.03138513194447869</v>
      </c>
      <c r="T71" s="20">
        <v>1</v>
      </c>
      <c r="U71" s="6">
        <v>3926.47672</v>
      </c>
      <c r="V71" s="5">
        <v>57.70750671003625</v>
      </c>
      <c r="W71" s="5">
        <v>7.055581923611308</v>
      </c>
      <c r="X71" s="20">
        <v>1</v>
      </c>
      <c r="Y71" s="6">
        <v>817623675.9744561</v>
      </c>
      <c r="Z71" s="20">
        <v>16.489162282859027</v>
      </c>
      <c r="AA71" s="5">
        <v>7.649596090277657</v>
      </c>
      <c r="AB71" s="20">
        <v>1</v>
      </c>
      <c r="AC71" s="6">
        <v>921348228.4814196</v>
      </c>
      <c r="AD71" s="5">
        <v>13.545987746250512</v>
      </c>
      <c r="AE71" s="5">
        <v>17.255620256941885</v>
      </c>
      <c r="AF71" s="20">
        <v>1</v>
      </c>
      <c r="AG71" s="6">
        <v>966530631.6363031</v>
      </c>
      <c r="AH71" s="5">
        <v>4.963238795820859</v>
      </c>
      <c r="AI71" s="5">
        <v>17.302849423608453</v>
      </c>
      <c r="AJ71" s="20">
        <v>1</v>
      </c>
      <c r="AK71" s="6">
        <v>981856242.1131141</v>
      </c>
      <c r="AL71" s="5">
        <v>16.23287773496917</v>
      </c>
      <c r="AM71" s="5">
        <v>24.312310256941164</v>
      </c>
      <c r="AN71" s="20">
        <v>1</v>
      </c>
      <c r="AO71" s="6">
        <v>1005220074.6434845</v>
      </c>
      <c r="AP71" s="5">
        <v>4.8507192025641075</v>
      </c>
      <c r="AQ71" s="127">
        <v>25.258442154556317</v>
      </c>
      <c r="AR71" s="42">
        <v>8.623156888890444</v>
      </c>
      <c r="AS71" s="43">
        <v>10653184.375561906</v>
      </c>
      <c r="AT71">
        <v>3.21752</v>
      </c>
      <c r="AU71">
        <v>0.02796405594329145</v>
      </c>
      <c r="AV71" t="s">
        <v>65</v>
      </c>
      <c r="AX71" s="185" t="str">
        <f t="shared" si="13"/>
        <v>Storage at 60F within 0.5 days</v>
      </c>
      <c r="AY71" s="246" t="str">
        <f t="shared" si="14"/>
        <v>5 Logs</v>
      </c>
      <c r="AZ71" s="247">
        <f>AU71*$AZ$38*Inputs!$D$23</f>
        <v>420498.55839161645</v>
      </c>
      <c r="BK71" s="242">
        <v>0.95</v>
      </c>
      <c r="BL71" s="6">
        <f t="shared" si="20"/>
        <v>200000</v>
      </c>
      <c r="BM71" s="6">
        <f t="shared" si="21"/>
        <v>180000</v>
      </c>
    </row>
    <row r="72" spans="1:65" ht="12.75">
      <c r="A72">
        <v>30</v>
      </c>
      <c r="B72" t="s">
        <v>65</v>
      </c>
      <c r="C72" s="5">
        <v>0.3211883333333341</v>
      </c>
      <c r="D72" s="20">
        <v>0.06968815639314722</v>
      </c>
      <c r="E72" s="30">
        <v>445699.3444865418</v>
      </c>
      <c r="F72" s="5">
        <v>24.579343234759094</v>
      </c>
      <c r="G72" s="5">
        <v>2.446694166666682</v>
      </c>
      <c r="H72" s="20">
        <v>0.07386891142122308</v>
      </c>
      <c r="I72" s="6">
        <v>95391019.35214664</v>
      </c>
      <c r="J72" s="5">
        <v>14.665329887665896</v>
      </c>
      <c r="K72" s="5">
        <v>2.7049575000000146</v>
      </c>
      <c r="L72" s="20">
        <v>0.07438092664570475</v>
      </c>
      <c r="M72" s="6">
        <v>100011141.21384336</v>
      </c>
      <c r="N72" s="5">
        <v>12.694798926308989</v>
      </c>
      <c r="O72" s="5">
        <v>5.088884166666643</v>
      </c>
      <c r="P72" s="20">
        <v>0.07931563888206904</v>
      </c>
      <c r="Q72" s="6">
        <v>190821433.9286798</v>
      </c>
      <c r="R72" s="5">
        <v>9.761190605458903</v>
      </c>
      <c r="S72" s="2">
        <v>0.0321901041666717</v>
      </c>
      <c r="T72" s="20">
        <v>1</v>
      </c>
      <c r="U72" s="6">
        <v>1810.53598</v>
      </c>
      <c r="V72" s="5">
        <v>57.706843025007146</v>
      </c>
      <c r="W72" s="5">
        <v>7.112984427083406</v>
      </c>
      <c r="X72" s="20">
        <v>1</v>
      </c>
      <c r="Y72" s="6">
        <v>266014821.28668782</v>
      </c>
      <c r="Z72" s="20">
        <v>10.300339879674533</v>
      </c>
      <c r="AA72" s="5">
        <v>7.7069860937501335</v>
      </c>
      <c r="AB72" s="20">
        <v>1</v>
      </c>
      <c r="AC72" s="6">
        <v>289910944.46549666</v>
      </c>
      <c r="AD72" s="5">
        <v>11.043993251682139</v>
      </c>
      <c r="AE72" s="5">
        <v>17.31305692708334</v>
      </c>
      <c r="AF72" s="20">
        <v>1</v>
      </c>
      <c r="AG72" s="6">
        <v>308391884.5794832</v>
      </c>
      <c r="AH72" s="5">
        <v>4.909749308803759</v>
      </c>
      <c r="AI72" s="5">
        <v>17.360420260416483</v>
      </c>
      <c r="AJ72" s="20">
        <v>1</v>
      </c>
      <c r="AK72" s="6">
        <v>315326343.7952562</v>
      </c>
      <c r="AL72" s="5">
        <v>16.222790711854554</v>
      </c>
      <c r="AM72" s="5">
        <v>24.36981692708313</v>
      </c>
      <c r="AN72" s="20">
        <v>1</v>
      </c>
      <c r="AO72" s="6">
        <v>329641536.13518935</v>
      </c>
      <c r="AP72" s="5">
        <v>4.850721516393029</v>
      </c>
      <c r="AQ72" s="127">
        <v>25.258442154556317</v>
      </c>
      <c r="AR72" s="42">
        <v>8.623156888890444</v>
      </c>
      <c r="AS72" s="43">
        <v>2767869.492682585</v>
      </c>
      <c r="AT72">
        <v>3.21752</v>
      </c>
      <c r="AU72">
        <v>0.011050404071491719</v>
      </c>
      <c r="AV72" t="s">
        <v>65</v>
      </c>
      <c r="AX72" s="185" t="s">
        <v>282</v>
      </c>
      <c r="AY72" s="246" t="str">
        <f t="shared" si="14"/>
        <v>5 Logs</v>
      </c>
      <c r="AZ72" s="247">
        <f>AU72*$AZ$38*Inputs!$D$23</f>
        <v>166166.130947891</v>
      </c>
      <c r="BK72" s="242">
        <v>0.99</v>
      </c>
      <c r="BL72" s="6">
        <f t="shared" si="20"/>
        <v>200000</v>
      </c>
      <c r="BM72" s="6">
        <f t="shared" si="21"/>
        <v>170000</v>
      </c>
    </row>
    <row r="73" spans="3:65" ht="12.75">
      <c r="C73" s="5"/>
      <c r="D73" s="20"/>
      <c r="E73" s="30"/>
      <c r="F73" s="5"/>
      <c r="G73" s="5"/>
      <c r="H73" s="20"/>
      <c r="I73" s="6"/>
      <c r="J73" s="5"/>
      <c r="K73" s="5"/>
      <c r="L73" s="20"/>
      <c r="M73" s="6"/>
      <c r="N73" s="5"/>
      <c r="O73" s="5"/>
      <c r="P73" s="20"/>
      <c r="Q73" s="6"/>
      <c r="R73" s="5"/>
      <c r="S73" s="2"/>
      <c r="T73" s="20"/>
      <c r="U73" s="6"/>
      <c r="V73" s="5"/>
      <c r="W73" s="5"/>
      <c r="X73" s="20"/>
      <c r="Y73" s="6"/>
      <c r="Z73" s="20"/>
      <c r="AA73" s="5"/>
      <c r="AB73" s="20"/>
      <c r="AC73" s="6"/>
      <c r="AD73" s="5"/>
      <c r="AE73" s="5"/>
      <c r="AF73" s="20"/>
      <c r="AG73" s="6"/>
      <c r="AH73" s="5"/>
      <c r="AI73" s="5"/>
      <c r="AJ73" s="20"/>
      <c r="AK73" s="6"/>
      <c r="AL73" s="5"/>
      <c r="AM73" s="5"/>
      <c r="AN73" s="20"/>
      <c r="AO73" s="6"/>
      <c r="AP73" s="5"/>
      <c r="AQ73" s="127"/>
      <c r="AR73" s="42"/>
      <c r="AS73" s="43"/>
      <c r="BK73" s="242">
        <v>0.999</v>
      </c>
      <c r="BL73" s="6">
        <f t="shared" si="20"/>
        <v>200000</v>
      </c>
      <c r="BM73" s="6">
        <f t="shared" si="21"/>
        <v>170000</v>
      </c>
    </row>
    <row r="74" spans="1:65" ht="12.75">
      <c r="A74">
        <v>1</v>
      </c>
      <c r="B74" t="s">
        <v>64</v>
      </c>
      <c r="C74" s="5">
        <v>0.29166666666666663</v>
      </c>
      <c r="D74" s="20">
        <v>0.02489087582504307</v>
      </c>
      <c r="E74" s="30">
        <v>9.591833766551812</v>
      </c>
      <c r="F74" s="5">
        <v>24.099086428136296</v>
      </c>
      <c r="G74" s="5">
        <v>2.1666666666666674</v>
      </c>
      <c r="H74" s="20">
        <v>0.02642552411529203</v>
      </c>
      <c r="I74" s="6">
        <v>9.76630316588787</v>
      </c>
      <c r="J74" s="5">
        <v>7.222238087451611</v>
      </c>
      <c r="K74" s="5">
        <v>2.458333333333333</v>
      </c>
      <c r="L74" s="20">
        <v>0.026619506583160535</v>
      </c>
      <c r="M74" s="6">
        <v>9.7639664148177</v>
      </c>
      <c r="N74" s="5">
        <v>7.222234976069691</v>
      </c>
      <c r="O74" s="5">
        <v>3.9583333333333277</v>
      </c>
      <c r="P74" s="20">
        <v>0.02792027412986947</v>
      </c>
      <c r="Q74" s="6">
        <v>10.126818223815743</v>
      </c>
      <c r="R74" s="5">
        <v>7.222229210207852</v>
      </c>
      <c r="S74" s="2">
        <v>3.9583333333333277</v>
      </c>
      <c r="T74" s="20">
        <v>0.02792027412986947</v>
      </c>
      <c r="U74" s="6">
        <v>10.126818223815743</v>
      </c>
      <c r="V74" s="5">
        <v>7.222229210207852</v>
      </c>
      <c r="W74" s="5">
        <v>5.750000000000006</v>
      </c>
      <c r="X74" s="20">
        <v>0.02929132947601787</v>
      </c>
      <c r="Y74" s="6">
        <v>10.2353932460145</v>
      </c>
      <c r="Z74" s="20">
        <v>7.222226234921655</v>
      </c>
      <c r="AA74" s="5">
        <v>6.375000000000011</v>
      </c>
      <c r="AB74" s="20">
        <v>0.029829493475494517</v>
      </c>
      <c r="AC74" s="6">
        <v>10.382722046528787</v>
      </c>
      <c r="AD74" s="5">
        <v>8.724364037461179</v>
      </c>
      <c r="AE74" s="5">
        <v>15.208333333333252</v>
      </c>
      <c r="AF74" s="20">
        <v>0.036639496546703676</v>
      </c>
      <c r="AG74" s="6">
        <v>10.475021793493594</v>
      </c>
      <c r="AH74" s="5">
        <v>4</v>
      </c>
      <c r="AI74" s="5">
        <v>15.249999999999918</v>
      </c>
      <c r="AJ74" s="20">
        <v>0.03700343569747089</v>
      </c>
      <c r="AK74" s="6">
        <v>10.538135889677594</v>
      </c>
      <c r="AL74" s="5">
        <v>16.250167870449594</v>
      </c>
      <c r="AM74" s="5">
        <v>22.33333333333342</v>
      </c>
      <c r="AN74" s="20">
        <v>0.043309923157185626</v>
      </c>
      <c r="AO74" s="6">
        <v>10.624788235674348</v>
      </c>
      <c r="AP74" s="5">
        <v>4</v>
      </c>
      <c r="AQ74" s="127">
        <v>8.825833279662273</v>
      </c>
      <c r="AR74" s="42">
        <v>12</v>
      </c>
      <c r="AS74" s="43">
        <v>0.0001</v>
      </c>
      <c r="AT74">
        <v>2</v>
      </c>
      <c r="AU74">
        <v>0.0001</v>
      </c>
      <c r="AV74" t="s">
        <v>64</v>
      </c>
      <c r="BK74" s="242">
        <v>1</v>
      </c>
      <c r="BL74" s="6">
        <f>ROUND(BC62,$BH$47-1-INT(LOG10(ABS(BC62))))</f>
        <v>200000</v>
      </c>
      <c r="BM74" s="6">
        <f>ROUND(BD62,$BH$47-1-INT(LOG10(ABS(BD62))))</f>
        <v>170000</v>
      </c>
    </row>
    <row r="75" spans="1:48" ht="12.75">
      <c r="A75">
        <v>2</v>
      </c>
      <c r="B75" t="s">
        <v>64</v>
      </c>
      <c r="C75" s="5">
        <v>0.25</v>
      </c>
      <c r="D75" s="20">
        <v>0.02488416076631539</v>
      </c>
      <c r="E75" s="30">
        <v>9.57308042929222</v>
      </c>
      <c r="F75" s="5">
        <v>24.09988745115447</v>
      </c>
      <c r="G75" s="5">
        <v>2.1666666666666674</v>
      </c>
      <c r="H75" s="20">
        <v>0.026411174183861685</v>
      </c>
      <c r="I75" s="6">
        <v>9.747983669320355</v>
      </c>
      <c r="J75" s="5">
        <v>7.22223809421126</v>
      </c>
      <c r="K75" s="5">
        <v>2.458333333333333</v>
      </c>
      <c r="L75" s="20">
        <v>0.02660647845745595</v>
      </c>
      <c r="M75" s="6">
        <v>9.74423782042467</v>
      </c>
      <c r="N75" s="5">
        <v>7.222234970508596</v>
      </c>
      <c r="O75" s="5">
        <v>3.9583333333333277</v>
      </c>
      <c r="P75" s="20">
        <v>0.02790332416035185</v>
      </c>
      <c r="Q75" s="6">
        <v>10.100249063554914</v>
      </c>
      <c r="R75" s="5">
        <v>7.222229200021257</v>
      </c>
      <c r="S75" s="2">
        <v>3.9583333333333277</v>
      </c>
      <c r="T75" s="20">
        <v>0.02790332416035185</v>
      </c>
      <c r="U75" s="6">
        <v>10.100249063554914</v>
      </c>
      <c r="V75" s="5">
        <v>7.222229200021257</v>
      </c>
      <c r="W75" s="5">
        <v>5.750000000000006</v>
      </c>
      <c r="X75" s="20">
        <v>0.029270487113263022</v>
      </c>
      <c r="Y75" s="6">
        <v>10.20787777726408</v>
      </c>
      <c r="Z75" s="20">
        <v>7.2222262246604565</v>
      </c>
      <c r="AA75" s="5">
        <v>6.333333333333344</v>
      </c>
      <c r="AB75" s="20">
        <v>0.02980752166763162</v>
      </c>
      <c r="AC75" s="6">
        <v>10.3551154919073</v>
      </c>
      <c r="AD75" s="5">
        <v>8.724680899309952</v>
      </c>
      <c r="AE75" s="5">
        <v>15.208333333333252</v>
      </c>
      <c r="AF75" s="20">
        <v>0.03661091795805066</v>
      </c>
      <c r="AG75" s="6">
        <v>10.460760703064926</v>
      </c>
      <c r="AH75" s="5">
        <v>4</v>
      </c>
      <c r="AI75" s="5">
        <v>15.249999999999918</v>
      </c>
      <c r="AJ75" s="20">
        <v>0.03696824274085936</v>
      </c>
      <c r="AK75" s="6">
        <v>10.511920123909468</v>
      </c>
      <c r="AL75" s="5">
        <v>16.231168751211356</v>
      </c>
      <c r="AM75" s="5">
        <v>22.33333333333342</v>
      </c>
      <c r="AN75" s="20">
        <v>0.04327096473141112</v>
      </c>
      <c r="AO75" s="6">
        <v>10.603757549264808</v>
      </c>
      <c r="AP75" s="5">
        <v>4</v>
      </c>
      <c r="AQ75" s="127">
        <v>8.825833279662273</v>
      </c>
      <c r="AR75" s="42">
        <v>12</v>
      </c>
      <c r="AS75" s="43">
        <v>0.0001</v>
      </c>
      <c r="AT75">
        <v>2</v>
      </c>
      <c r="AU75">
        <v>0.0001</v>
      </c>
      <c r="AV75" t="s">
        <v>64</v>
      </c>
    </row>
    <row r="76" spans="1:48" ht="12.75">
      <c r="A76">
        <v>3</v>
      </c>
      <c r="B76" t="s">
        <v>64</v>
      </c>
      <c r="C76" s="5">
        <v>0.25</v>
      </c>
      <c r="D76" s="20">
        <v>0.02480348086839418</v>
      </c>
      <c r="E76" s="30">
        <v>9.422111319368309</v>
      </c>
      <c r="F76" s="5">
        <v>24.134778771873755</v>
      </c>
      <c r="G76" s="5">
        <v>2.125</v>
      </c>
      <c r="H76" s="20">
        <v>0.026303153190505635</v>
      </c>
      <c r="I76" s="6">
        <v>9.592314018821991</v>
      </c>
      <c r="J76" s="5">
        <v>7.222238076030759</v>
      </c>
      <c r="K76" s="5">
        <v>2.4166666666666665</v>
      </c>
      <c r="L76" s="20">
        <v>0.026500216926999</v>
      </c>
      <c r="M76" s="6">
        <v>9.567760058608306</v>
      </c>
      <c r="N76" s="5">
        <v>7.222234991628713</v>
      </c>
      <c r="O76" s="5">
        <v>3.916666666666661</v>
      </c>
      <c r="P76" s="20">
        <v>0.027766732386644177</v>
      </c>
      <c r="Q76" s="6">
        <v>9.957297844961856</v>
      </c>
      <c r="R76" s="5">
        <v>7.222229177648543</v>
      </c>
      <c r="S76" s="2">
        <v>3.916666666666661</v>
      </c>
      <c r="T76" s="20">
        <v>0.027766732386644177</v>
      </c>
      <c r="U76" s="6">
        <v>9.957297844961856</v>
      </c>
      <c r="V76" s="5">
        <v>7.222229177648543</v>
      </c>
      <c r="W76" s="5">
        <v>5.708333333333339</v>
      </c>
      <c r="X76" s="20">
        <v>0.02911767389060088</v>
      </c>
      <c r="Y76" s="6">
        <v>10.035253729926097</v>
      </c>
      <c r="Z76" s="20">
        <v>7.2222262337230765</v>
      </c>
      <c r="AA76" s="5">
        <v>6.291666666666677</v>
      </c>
      <c r="AB76" s="20">
        <v>0.029664754409241045</v>
      </c>
      <c r="AC76" s="6">
        <v>10.2113733438612</v>
      </c>
      <c r="AD76" s="5">
        <v>8.727761934754293</v>
      </c>
      <c r="AE76" s="5">
        <v>15.166666666666586</v>
      </c>
      <c r="AF76" s="20">
        <v>0.03641948632834091</v>
      </c>
      <c r="AG76" s="6">
        <v>10.319981024318794</v>
      </c>
      <c r="AH76" s="5">
        <v>4</v>
      </c>
      <c r="AI76" s="5">
        <v>15.208333333333252</v>
      </c>
      <c r="AJ76" s="20">
        <v>0.03675501568186723</v>
      </c>
      <c r="AK76" s="6">
        <v>10.379863313813644</v>
      </c>
      <c r="AL76" s="5">
        <v>16.246834753450802</v>
      </c>
      <c r="AM76" s="5">
        <v>22.291666666666753</v>
      </c>
      <c r="AN76" s="20">
        <v>0.043057715897469984</v>
      </c>
      <c r="AO76" s="6">
        <v>10.48256516576717</v>
      </c>
      <c r="AP76" s="5">
        <v>4</v>
      </c>
      <c r="AQ76" s="127">
        <v>8.825833279662273</v>
      </c>
      <c r="AR76" s="42">
        <v>12</v>
      </c>
      <c r="AS76" s="43">
        <v>0.0001</v>
      </c>
      <c r="AT76">
        <v>2</v>
      </c>
      <c r="AU76">
        <v>0.0001</v>
      </c>
      <c r="AV76" t="s">
        <v>64</v>
      </c>
    </row>
    <row r="77" spans="1:48" ht="12.75">
      <c r="A77">
        <v>4</v>
      </c>
      <c r="B77" t="s">
        <v>64</v>
      </c>
      <c r="C77" s="5">
        <v>0.29166666666666663</v>
      </c>
      <c r="D77" s="20">
        <v>0.02489087582504307</v>
      </c>
      <c r="E77" s="30">
        <v>9.591833766551812</v>
      </c>
      <c r="F77" s="5">
        <v>24.099086428136296</v>
      </c>
      <c r="G77" s="5">
        <v>2.1666666666666674</v>
      </c>
      <c r="H77" s="20">
        <v>0.026829145257990017</v>
      </c>
      <c r="I77" s="6">
        <v>10.644598789952575</v>
      </c>
      <c r="J77" s="5">
        <v>11.666686446438876</v>
      </c>
      <c r="K77" s="5">
        <v>2.458333333333333</v>
      </c>
      <c r="L77" s="20">
        <v>0.027086526815931045</v>
      </c>
      <c r="M77" s="6">
        <v>10.582776198080298</v>
      </c>
      <c r="N77" s="5">
        <v>11.666683036312495</v>
      </c>
      <c r="O77" s="5">
        <v>3.9583333333333277</v>
      </c>
      <c r="P77" s="20">
        <v>0.02873623189540042</v>
      </c>
      <c r="Q77" s="6">
        <v>11.858802760297317</v>
      </c>
      <c r="R77" s="5">
        <v>11.666676721281032</v>
      </c>
      <c r="S77" s="2">
        <v>3.9583333333333277</v>
      </c>
      <c r="T77" s="20">
        <v>0.02873623189540042</v>
      </c>
      <c r="U77" s="6">
        <v>11.858802760297317</v>
      </c>
      <c r="V77" s="5">
        <v>11.666676721281032</v>
      </c>
      <c r="W77" s="5">
        <v>5.750000000000006</v>
      </c>
      <c r="X77" s="20">
        <v>0.030533716672814848</v>
      </c>
      <c r="Y77" s="6">
        <v>12.726851515748894</v>
      </c>
      <c r="Z77" s="20">
        <v>11.666673375133778</v>
      </c>
      <c r="AA77" s="5">
        <v>6.375000000000011</v>
      </c>
      <c r="AB77" s="20">
        <v>0.031162565497685202</v>
      </c>
      <c r="AC77" s="6">
        <v>12.952888515475209</v>
      </c>
      <c r="AD77" s="5">
        <v>11.415981823995384</v>
      </c>
      <c r="AE77" s="5">
        <v>15.208333333333252</v>
      </c>
      <c r="AF77" s="20">
        <v>0.0382198509732099</v>
      </c>
      <c r="AG77" s="6">
        <v>13.142788049097494</v>
      </c>
      <c r="AH77" s="5">
        <v>4</v>
      </c>
      <c r="AI77" s="5">
        <v>15.249999999999918</v>
      </c>
      <c r="AJ77" s="20">
        <v>0.03855446273084018</v>
      </c>
      <c r="AK77" s="6">
        <v>13.194010160603057</v>
      </c>
      <c r="AL77" s="5">
        <v>16.26955538815975</v>
      </c>
      <c r="AM77" s="5">
        <v>22.33333333333342</v>
      </c>
      <c r="AN77" s="20">
        <v>0.04491029714399081</v>
      </c>
      <c r="AO77" s="6">
        <v>13.339349155042235</v>
      </c>
      <c r="AP77" s="5">
        <v>4</v>
      </c>
      <c r="AQ77" s="127">
        <v>8.825833279662273</v>
      </c>
      <c r="AR77" s="42">
        <v>12</v>
      </c>
      <c r="AS77" s="43">
        <v>0.0001</v>
      </c>
      <c r="AT77">
        <v>2</v>
      </c>
      <c r="AU77">
        <v>0.0001</v>
      </c>
      <c r="AV77" t="s">
        <v>64</v>
      </c>
    </row>
    <row r="78" spans="1:48" ht="12.75">
      <c r="A78">
        <v>5</v>
      </c>
      <c r="B78" t="s">
        <v>64</v>
      </c>
      <c r="C78" s="5">
        <v>0.25</v>
      </c>
      <c r="D78" s="20">
        <v>0.02488416076631539</v>
      </c>
      <c r="E78" s="30">
        <v>9.57308042929222</v>
      </c>
      <c r="F78" s="5">
        <v>24.09988745115447</v>
      </c>
      <c r="G78" s="5">
        <v>2.1666666666666674</v>
      </c>
      <c r="H78" s="20">
        <v>0.026816628803455755</v>
      </c>
      <c r="I78" s="6">
        <v>10.623693082779582</v>
      </c>
      <c r="J78" s="5">
        <v>11.666686436377663</v>
      </c>
      <c r="K78" s="5">
        <v>2.458333333333333</v>
      </c>
      <c r="L78" s="20">
        <v>0.027071788373773387</v>
      </c>
      <c r="M78" s="6">
        <v>10.570498503317221</v>
      </c>
      <c r="N78" s="5">
        <v>11.666683030597689</v>
      </c>
      <c r="O78" s="5">
        <v>3.9583333333333277</v>
      </c>
      <c r="P78" s="20">
        <v>0.028715217795128034</v>
      </c>
      <c r="Q78" s="6">
        <v>11.838519267494977</v>
      </c>
      <c r="R78" s="5">
        <v>11.666676709245213</v>
      </c>
      <c r="S78" s="2">
        <v>3.9583333333333277</v>
      </c>
      <c r="T78" s="20">
        <v>0.028715217795128034</v>
      </c>
      <c r="U78" s="6">
        <v>11.838519267494977</v>
      </c>
      <c r="V78" s="5">
        <v>11.666676709245213</v>
      </c>
      <c r="W78" s="5">
        <v>5.750000000000006</v>
      </c>
      <c r="X78" s="20">
        <v>0.030509741431091364</v>
      </c>
      <c r="Y78" s="6">
        <v>12.69813469013053</v>
      </c>
      <c r="Z78" s="20">
        <v>11.666673372263563</v>
      </c>
      <c r="AA78" s="5">
        <v>6.333333333333344</v>
      </c>
      <c r="AB78" s="20">
        <v>0.031136939646055017</v>
      </c>
      <c r="AC78" s="6">
        <v>12.919190111921367</v>
      </c>
      <c r="AD78" s="5">
        <v>11.417231473755983</v>
      </c>
      <c r="AE78" s="5">
        <v>15.208333333333252</v>
      </c>
      <c r="AF78" s="20">
        <v>0.0381864998922572</v>
      </c>
      <c r="AG78" s="6">
        <v>13.11430994045972</v>
      </c>
      <c r="AH78" s="5">
        <v>4</v>
      </c>
      <c r="AI78" s="5">
        <v>15.249999999999918</v>
      </c>
      <c r="AJ78" s="20">
        <v>0.03852401001213718</v>
      </c>
      <c r="AK78" s="6">
        <v>13.178776651321034</v>
      </c>
      <c r="AL78" s="5">
        <v>16.25400516436974</v>
      </c>
      <c r="AM78" s="5">
        <v>22.33333333333342</v>
      </c>
      <c r="AN78" s="20">
        <v>0.044866716315192456</v>
      </c>
      <c r="AO78" s="6">
        <v>13.306653670530114</v>
      </c>
      <c r="AP78" s="5">
        <v>4</v>
      </c>
      <c r="AQ78" s="127">
        <v>8.825833279662273</v>
      </c>
      <c r="AR78" s="42">
        <v>12</v>
      </c>
      <c r="AS78" s="43">
        <v>0.0001</v>
      </c>
      <c r="AT78">
        <v>2</v>
      </c>
      <c r="AU78">
        <v>0.0001</v>
      </c>
      <c r="AV78" t="s">
        <v>64</v>
      </c>
    </row>
    <row r="79" spans="1:48" ht="12.75">
      <c r="A79">
        <v>6</v>
      </c>
      <c r="B79" t="s">
        <v>64</v>
      </c>
      <c r="C79" s="5">
        <v>0.25</v>
      </c>
      <c r="D79" s="20">
        <v>0.02480348086839418</v>
      </c>
      <c r="E79" s="30">
        <v>9.422111319368309</v>
      </c>
      <c r="F79" s="5">
        <v>24.134778771873755</v>
      </c>
      <c r="G79" s="5">
        <v>2.125</v>
      </c>
      <c r="H79" s="20">
        <v>0.026703415038163425</v>
      </c>
      <c r="I79" s="6">
        <v>10.486376179803274</v>
      </c>
      <c r="J79" s="5">
        <v>11.666686436669561</v>
      </c>
      <c r="K79" s="5">
        <v>2.4166666666666665</v>
      </c>
      <c r="L79" s="20">
        <v>0.026958473805403727</v>
      </c>
      <c r="M79" s="6">
        <v>10.43955345313828</v>
      </c>
      <c r="N79" s="5">
        <v>11.666683085627568</v>
      </c>
      <c r="O79" s="5">
        <v>3.916666666666661</v>
      </c>
      <c r="P79" s="20">
        <v>0.028569563352101257</v>
      </c>
      <c r="Q79" s="6">
        <v>11.71511816914363</v>
      </c>
      <c r="R79" s="5">
        <v>11.666676726062777</v>
      </c>
      <c r="S79" s="2">
        <v>3.916666666666661</v>
      </c>
      <c r="T79" s="20">
        <v>0.028569563352101257</v>
      </c>
      <c r="U79" s="6">
        <v>11.71511816914363</v>
      </c>
      <c r="V79" s="5">
        <v>11.666676726062777</v>
      </c>
      <c r="W79" s="5">
        <v>5.708333333333339</v>
      </c>
      <c r="X79" s="20">
        <v>0.030345426618955618</v>
      </c>
      <c r="Y79" s="6">
        <v>12.557387111498883</v>
      </c>
      <c r="Z79" s="20">
        <v>11.666673369743862</v>
      </c>
      <c r="AA79" s="5">
        <v>6.291666666666677</v>
      </c>
      <c r="AB79" s="20">
        <v>0.03097545408093122</v>
      </c>
      <c r="AC79" s="6">
        <v>12.778922811731217</v>
      </c>
      <c r="AD79" s="5">
        <v>11.41774932914441</v>
      </c>
      <c r="AE79" s="5">
        <v>15.166666666666586</v>
      </c>
      <c r="AF79" s="20">
        <v>0.037989223642522774</v>
      </c>
      <c r="AG79" s="6">
        <v>12.94827342496215</v>
      </c>
      <c r="AH79" s="5">
        <v>4</v>
      </c>
      <c r="AI79" s="5">
        <v>15.208333333333252</v>
      </c>
      <c r="AJ79" s="20">
        <v>0.03832128433267907</v>
      </c>
      <c r="AK79" s="6">
        <v>13.009203081622752</v>
      </c>
      <c r="AL79" s="5">
        <v>16.26254666298597</v>
      </c>
      <c r="AM79" s="5">
        <v>22.291666666666753</v>
      </c>
      <c r="AN79" s="20">
        <v>0.04463931555828665</v>
      </c>
      <c r="AO79" s="6">
        <v>13.151605958976765</v>
      </c>
      <c r="AP79" s="5">
        <v>4</v>
      </c>
      <c r="AQ79" s="127">
        <v>8.825833279662273</v>
      </c>
      <c r="AR79" s="42">
        <v>12</v>
      </c>
      <c r="AS79" s="43">
        <v>0.0001</v>
      </c>
      <c r="AT79">
        <v>2</v>
      </c>
      <c r="AU79">
        <v>0.0001</v>
      </c>
      <c r="AV79" t="s">
        <v>64</v>
      </c>
    </row>
    <row r="80" spans="1:48" ht="12.75">
      <c r="A80">
        <v>7</v>
      </c>
      <c r="B80" t="s">
        <v>64</v>
      </c>
      <c r="C80" s="5">
        <v>0.29166666666666663</v>
      </c>
      <c r="D80" s="20">
        <v>0.02489087582504307</v>
      </c>
      <c r="E80" s="30">
        <v>9.591833766551812</v>
      </c>
      <c r="F80" s="5">
        <v>24.099086428136296</v>
      </c>
      <c r="G80" s="5">
        <v>2.1666666666666674</v>
      </c>
      <c r="H80" s="20">
        <v>0.027399527370548737</v>
      </c>
      <c r="I80" s="6">
        <v>11.903645268548381</v>
      </c>
      <c r="J80" s="5">
        <v>15.555570168859628</v>
      </c>
      <c r="K80" s="5">
        <v>2.458333333333333</v>
      </c>
      <c r="L80" s="20">
        <v>0.027741438833781773</v>
      </c>
      <c r="M80" s="6">
        <v>11.985964955598668</v>
      </c>
      <c r="N80" s="5">
        <v>15.555566838667476</v>
      </c>
      <c r="O80" s="5">
        <v>3.9583333333333277</v>
      </c>
      <c r="P80" s="20">
        <v>0.02989122718831</v>
      </c>
      <c r="Q80" s="6">
        <v>14.355375016825072</v>
      </c>
      <c r="R80" s="5">
        <v>15.555560803976704</v>
      </c>
      <c r="S80" s="2">
        <v>3.9583333333333277</v>
      </c>
      <c r="T80" s="20">
        <v>0.02989122718831</v>
      </c>
      <c r="U80" s="6">
        <v>14.355375016825072</v>
      </c>
      <c r="V80" s="5">
        <v>15.555560803976704</v>
      </c>
      <c r="W80" s="5">
        <v>5.750000000000006</v>
      </c>
      <c r="X80" s="20">
        <v>0.03235720947058812</v>
      </c>
      <c r="Y80" s="6">
        <v>16.032260288099646</v>
      </c>
      <c r="Z80" s="20">
        <v>15.555557551611095</v>
      </c>
      <c r="AA80" s="5">
        <v>6.375000000000011</v>
      </c>
      <c r="AB80" s="20">
        <v>0.033083602290377934</v>
      </c>
      <c r="AC80" s="6">
        <v>16.444538427838097</v>
      </c>
      <c r="AD80" s="5">
        <v>13.706100881785622</v>
      </c>
      <c r="AE80" s="5">
        <v>15.208333333333252</v>
      </c>
      <c r="AF80" s="20">
        <v>0.04044313765488561</v>
      </c>
      <c r="AG80" s="6">
        <v>16.62619584501843</v>
      </c>
      <c r="AH80" s="5">
        <v>4</v>
      </c>
      <c r="AI80" s="5">
        <v>15.249999999999918</v>
      </c>
      <c r="AJ80" s="20">
        <v>0.04078790625385619</v>
      </c>
      <c r="AK80" s="6">
        <v>16.66723767141442</v>
      </c>
      <c r="AL80" s="5">
        <v>16.28969095874806</v>
      </c>
      <c r="AM80" s="5">
        <v>22.33333333333342</v>
      </c>
      <c r="AN80" s="20">
        <v>0.047205970123431085</v>
      </c>
      <c r="AO80" s="6">
        <v>16.767262108567405</v>
      </c>
      <c r="AP80" s="5">
        <v>4</v>
      </c>
      <c r="AQ80" s="127">
        <v>8.825833279662273</v>
      </c>
      <c r="AR80" s="42">
        <v>12</v>
      </c>
      <c r="AS80" s="43">
        <v>0.0001</v>
      </c>
      <c r="AT80">
        <v>2</v>
      </c>
      <c r="AU80">
        <v>0.0001</v>
      </c>
      <c r="AV80" t="s">
        <v>64</v>
      </c>
    </row>
    <row r="81" spans="1:48" ht="12.75">
      <c r="A81">
        <v>8</v>
      </c>
      <c r="B81" t="s">
        <v>64</v>
      </c>
      <c r="C81" s="5">
        <v>0.25</v>
      </c>
      <c r="D81" s="20">
        <v>0.02488416076631539</v>
      </c>
      <c r="E81" s="30">
        <v>9.57308042929222</v>
      </c>
      <c r="F81" s="5">
        <v>24.09988745115447</v>
      </c>
      <c r="G81" s="5">
        <v>2.1666666666666674</v>
      </c>
      <c r="H81" s="20">
        <v>0.027382920880038353</v>
      </c>
      <c r="I81" s="6">
        <v>11.876112585108082</v>
      </c>
      <c r="J81" s="5">
        <v>15.555570160598384</v>
      </c>
      <c r="K81" s="5">
        <v>2.458333333333333</v>
      </c>
      <c r="L81" s="20">
        <v>0.027724492894191155</v>
      </c>
      <c r="M81" s="6">
        <v>11.966653389751945</v>
      </c>
      <c r="N81" s="5">
        <v>15.555566854418867</v>
      </c>
      <c r="O81" s="5">
        <v>3.9583333333333277</v>
      </c>
      <c r="P81" s="20">
        <v>0.02987373761580725</v>
      </c>
      <c r="Q81" s="6">
        <v>14.324438960368628</v>
      </c>
      <c r="R81" s="5">
        <v>15.555560812518696</v>
      </c>
      <c r="S81" s="2">
        <v>3.9583333333333277</v>
      </c>
      <c r="T81" s="20">
        <v>0.02987373761580725</v>
      </c>
      <c r="U81" s="6">
        <v>14.324438960368628</v>
      </c>
      <c r="V81" s="5">
        <v>15.555560812518696</v>
      </c>
      <c r="W81" s="5">
        <v>5.750000000000006</v>
      </c>
      <c r="X81" s="20">
        <v>0.03233191831189025</v>
      </c>
      <c r="Y81" s="6">
        <v>16.009601776047027</v>
      </c>
      <c r="Z81" s="20">
        <v>15.555557551611095</v>
      </c>
      <c r="AA81" s="5">
        <v>6.333333333333344</v>
      </c>
      <c r="AB81" s="20">
        <v>0.03305327424717042</v>
      </c>
      <c r="AC81" s="6">
        <v>16.409435187356895</v>
      </c>
      <c r="AD81" s="5">
        <v>13.707831972232405</v>
      </c>
      <c r="AE81" s="5">
        <v>15.208333333333252</v>
      </c>
      <c r="AF81" s="20">
        <v>0.040409902682681464</v>
      </c>
      <c r="AG81" s="6">
        <v>16.588288268384737</v>
      </c>
      <c r="AH81" s="5">
        <v>4</v>
      </c>
      <c r="AI81" s="5">
        <v>15.249999999999918</v>
      </c>
      <c r="AJ81" s="20">
        <v>0.04074505350858165</v>
      </c>
      <c r="AK81" s="6">
        <v>16.646814772069423</v>
      </c>
      <c r="AL81" s="5">
        <v>16.273038209090767</v>
      </c>
      <c r="AM81" s="5">
        <v>22.33333333333342</v>
      </c>
      <c r="AN81" s="20">
        <v>0.0471700047653813</v>
      </c>
      <c r="AO81" s="6">
        <v>16.747454095043885</v>
      </c>
      <c r="AP81" s="5">
        <v>4</v>
      </c>
      <c r="AQ81" s="127">
        <v>8.825833279662273</v>
      </c>
      <c r="AR81" s="42">
        <v>12</v>
      </c>
      <c r="AS81" s="43">
        <v>0.0001</v>
      </c>
      <c r="AT81">
        <v>2</v>
      </c>
      <c r="AU81">
        <v>0.0001</v>
      </c>
      <c r="AV81" t="s">
        <v>64</v>
      </c>
    </row>
    <row r="82" spans="1:48" ht="12.75">
      <c r="A82">
        <v>9</v>
      </c>
      <c r="B82" t="s">
        <v>64</v>
      </c>
      <c r="C82" s="5">
        <v>0.25</v>
      </c>
      <c r="D82" s="20">
        <v>0.02480348086839418</v>
      </c>
      <c r="E82" s="30">
        <v>9.422111319368309</v>
      </c>
      <c r="F82" s="5">
        <v>24.134778771873755</v>
      </c>
      <c r="G82" s="5">
        <v>2.125</v>
      </c>
      <c r="H82" s="20">
        <v>0.027257233259337932</v>
      </c>
      <c r="I82" s="6">
        <v>11.734596851858747</v>
      </c>
      <c r="J82" s="5">
        <v>15.555570193359156</v>
      </c>
      <c r="K82" s="5">
        <v>2.4166666666666665</v>
      </c>
      <c r="L82" s="20">
        <v>0.027597940322319547</v>
      </c>
      <c r="M82" s="6">
        <v>11.821068431447461</v>
      </c>
      <c r="N82" s="5">
        <v>15.555566882196375</v>
      </c>
      <c r="O82" s="5">
        <v>3.916666666666661</v>
      </c>
      <c r="P82" s="20">
        <v>0.029711283430503888</v>
      </c>
      <c r="Q82" s="6">
        <v>14.182985330749492</v>
      </c>
      <c r="R82" s="5">
        <v>15.555560825126792</v>
      </c>
      <c r="S82" s="2">
        <v>3.916666666666661</v>
      </c>
      <c r="T82" s="20">
        <v>0.029711283430503888</v>
      </c>
      <c r="U82" s="6">
        <v>14.182985330749492</v>
      </c>
      <c r="V82" s="5">
        <v>15.555560825126792</v>
      </c>
      <c r="W82" s="5">
        <v>5.708333333333339</v>
      </c>
      <c r="X82" s="20">
        <v>0.03215765512309077</v>
      </c>
      <c r="Y82" s="6">
        <v>15.839496419608583</v>
      </c>
      <c r="Z82" s="20">
        <v>15.555557541955965</v>
      </c>
      <c r="AA82" s="5">
        <v>6.291666666666677</v>
      </c>
      <c r="AB82" s="20">
        <v>0.03287017675246379</v>
      </c>
      <c r="AC82" s="6">
        <v>16.21681811732789</v>
      </c>
      <c r="AD82" s="5">
        <v>13.705543691956343</v>
      </c>
      <c r="AE82" s="5">
        <v>15.166666666666586</v>
      </c>
      <c r="AF82" s="20">
        <v>0.0402093619039135</v>
      </c>
      <c r="AG82" s="6">
        <v>16.400414219524844</v>
      </c>
      <c r="AH82" s="5">
        <v>4</v>
      </c>
      <c r="AI82" s="5">
        <v>15.208333333333252</v>
      </c>
      <c r="AJ82" s="20">
        <v>0.04053693828937577</v>
      </c>
      <c r="AK82" s="6">
        <v>16.47867173887088</v>
      </c>
      <c r="AL82" s="5">
        <v>16.281985965616272</v>
      </c>
      <c r="AM82" s="5">
        <v>22.291666666666753</v>
      </c>
      <c r="AN82" s="20">
        <v>0.046931304316834566</v>
      </c>
      <c r="AO82" s="6">
        <v>16.571289825976955</v>
      </c>
      <c r="AP82" s="5">
        <v>4</v>
      </c>
      <c r="AQ82" s="127">
        <v>8.825833279662273</v>
      </c>
      <c r="AR82" s="42">
        <v>12</v>
      </c>
      <c r="AS82" s="43">
        <v>0.0001</v>
      </c>
      <c r="AT82">
        <v>2</v>
      </c>
      <c r="AU82">
        <v>0.0001</v>
      </c>
      <c r="AV82" t="s">
        <v>64</v>
      </c>
    </row>
    <row r="83" spans="1:48" ht="12.75">
      <c r="A83">
        <v>10</v>
      </c>
      <c r="B83" t="s">
        <v>64</v>
      </c>
      <c r="C83" s="5">
        <v>0.29166666666666663</v>
      </c>
      <c r="D83" s="20">
        <v>0.024891798310676394</v>
      </c>
      <c r="E83" s="30">
        <v>9.596390107693587</v>
      </c>
      <c r="F83" s="5">
        <v>24.099086428136296</v>
      </c>
      <c r="G83" s="5">
        <v>2.1666666666666674</v>
      </c>
      <c r="H83" s="20">
        <v>0.02705269540255817</v>
      </c>
      <c r="I83" s="6">
        <v>11.195297409318464</v>
      </c>
      <c r="J83" s="5">
        <v>13.652672043358033</v>
      </c>
      <c r="K83" s="5">
        <v>2.458333333333333</v>
      </c>
      <c r="L83" s="20">
        <v>0.02731365858642787</v>
      </c>
      <c r="M83" s="6">
        <v>11.14245292080715</v>
      </c>
      <c r="N83" s="5">
        <v>11.313340656468606</v>
      </c>
      <c r="O83" s="5">
        <v>3.9583333333333277</v>
      </c>
      <c r="P83" s="20">
        <v>0.028920514149468557</v>
      </c>
      <c r="Q83" s="6">
        <v>12.087351409625802</v>
      </c>
      <c r="R83" s="5">
        <v>9.194863347514197</v>
      </c>
      <c r="S83" s="2">
        <v>3.9583333333333277</v>
      </c>
      <c r="T83" s="20">
        <v>0.028920514149468557</v>
      </c>
      <c r="U83" s="6">
        <v>12.087351409625802</v>
      </c>
      <c r="V83" s="5">
        <v>9.194863347514197</v>
      </c>
      <c r="W83" s="5">
        <v>5.750000000000006</v>
      </c>
      <c r="X83" s="20">
        <v>0.030591173619473666</v>
      </c>
      <c r="Y83" s="6">
        <v>12.569301496884773</v>
      </c>
      <c r="Z83" s="20">
        <v>9.051317049469416</v>
      </c>
      <c r="AA83" s="5">
        <v>6.375000000000011</v>
      </c>
      <c r="AB83" s="20">
        <v>0.031169015100012798</v>
      </c>
      <c r="AC83" s="6">
        <v>12.834382110910157</v>
      </c>
      <c r="AD83" s="5">
        <v>10.116188051322943</v>
      </c>
      <c r="AE83" s="5">
        <v>15.208333333333252</v>
      </c>
      <c r="AF83" s="20">
        <v>0.03817792414549209</v>
      </c>
      <c r="AG83" s="6">
        <v>12.9913706169304</v>
      </c>
      <c r="AH83" s="5">
        <v>4</v>
      </c>
      <c r="AI83" s="5">
        <v>15.249999999999918</v>
      </c>
      <c r="AJ83" s="20">
        <v>0.03852900440654783</v>
      </c>
      <c r="AK83" s="6">
        <v>13.062740402532986</v>
      </c>
      <c r="AL83" s="5">
        <v>16.267881075932657</v>
      </c>
      <c r="AM83" s="5">
        <v>22.33333333333342</v>
      </c>
      <c r="AN83" s="20">
        <v>0.044920313401375644</v>
      </c>
      <c r="AO83" s="6">
        <v>13.179087161807697</v>
      </c>
      <c r="AP83" s="5">
        <v>4</v>
      </c>
      <c r="AQ83" s="127">
        <v>8.825833279662273</v>
      </c>
      <c r="AR83" s="42">
        <v>12</v>
      </c>
      <c r="AS83" s="43">
        <v>0.0001</v>
      </c>
      <c r="AT83">
        <v>2</v>
      </c>
      <c r="AU83">
        <v>0.0001</v>
      </c>
      <c r="AV83" t="s">
        <v>64</v>
      </c>
    </row>
    <row r="84" spans="1:48" ht="12.75">
      <c r="A84">
        <v>11</v>
      </c>
      <c r="B84" t="s">
        <v>64</v>
      </c>
      <c r="C84" s="5">
        <v>0.29166666666666663</v>
      </c>
      <c r="D84" s="20">
        <v>0.02489087582504307</v>
      </c>
      <c r="E84" s="30">
        <v>9.591833766551812</v>
      </c>
      <c r="F84" s="5">
        <v>24.099086428136296</v>
      </c>
      <c r="G84" s="5">
        <v>2.1666666666666674</v>
      </c>
      <c r="H84" s="20">
        <v>0.02642552411529203</v>
      </c>
      <c r="I84" s="6">
        <v>9.76630316588787</v>
      </c>
      <c r="J84" s="5">
        <v>7.222238087451611</v>
      </c>
      <c r="K84" s="5">
        <v>2.458333333333333</v>
      </c>
      <c r="L84" s="20">
        <v>0.026619506583160535</v>
      </c>
      <c r="M84" s="6">
        <v>9.7639664148177</v>
      </c>
      <c r="N84" s="5">
        <v>7.222234976069691</v>
      </c>
      <c r="O84" s="5">
        <v>3.9583333333333277</v>
      </c>
      <c r="P84" s="20">
        <v>0.02792027412986947</v>
      </c>
      <c r="Q84" s="6">
        <v>10.126818223815743</v>
      </c>
      <c r="R84" s="5">
        <v>7.222229210207852</v>
      </c>
      <c r="S84" s="2">
        <v>0.024826388888888832</v>
      </c>
      <c r="T84" s="20">
        <v>1</v>
      </c>
      <c r="U84" s="6">
        <v>0.0001</v>
      </c>
      <c r="V84" s="5">
        <v>57.0050285606107</v>
      </c>
      <c r="W84" s="5">
        <v>5.79270833333334</v>
      </c>
      <c r="X84" s="20">
        <v>1</v>
      </c>
      <c r="Y84" s="6">
        <v>0.0001</v>
      </c>
      <c r="Z84" s="20">
        <v>7.63585387369663</v>
      </c>
      <c r="AA84" s="5">
        <v>6.406597222222233</v>
      </c>
      <c r="AB84" s="20">
        <v>1</v>
      </c>
      <c r="AC84" s="6">
        <v>0.0001</v>
      </c>
      <c r="AD84" s="5">
        <v>9.668277792246137</v>
      </c>
      <c r="AE84" s="5">
        <v>15.251041666666586</v>
      </c>
      <c r="AF84" s="20">
        <v>1</v>
      </c>
      <c r="AG84" s="6">
        <v>0.0001</v>
      </c>
      <c r="AH84" s="5">
        <v>4</v>
      </c>
      <c r="AI84" s="5">
        <v>15.292708333333252</v>
      </c>
      <c r="AJ84" s="20">
        <v>1</v>
      </c>
      <c r="AK84" s="6">
        <v>0.0001</v>
      </c>
      <c r="AL84" s="5">
        <v>16.25400516436974</v>
      </c>
      <c r="AM84" s="5">
        <v>22.376041666666758</v>
      </c>
      <c r="AN84" s="20">
        <v>1</v>
      </c>
      <c r="AO84" s="6">
        <v>0.0001</v>
      </c>
      <c r="AP84" s="5">
        <v>4</v>
      </c>
      <c r="AQ84" s="127">
        <v>8.825833279662273</v>
      </c>
      <c r="AR84" s="42">
        <v>12</v>
      </c>
      <c r="AS84" s="43">
        <v>0.0001</v>
      </c>
      <c r="AT84">
        <v>2</v>
      </c>
      <c r="AU84">
        <v>0.0001</v>
      </c>
      <c r="AV84" t="s">
        <v>64</v>
      </c>
    </row>
    <row r="85" spans="1:48" ht="12.75">
      <c r="A85">
        <v>12</v>
      </c>
      <c r="B85" t="s">
        <v>64</v>
      </c>
      <c r="C85" s="5">
        <v>0.25</v>
      </c>
      <c r="D85" s="20">
        <v>0.02488416076631539</v>
      </c>
      <c r="E85" s="30">
        <v>9.57308042929222</v>
      </c>
      <c r="F85" s="5">
        <v>24.09988745115447</v>
      </c>
      <c r="G85" s="5">
        <v>2.1666666666666674</v>
      </c>
      <c r="H85" s="20">
        <v>0.026411174183861685</v>
      </c>
      <c r="I85" s="6">
        <v>9.747983669320355</v>
      </c>
      <c r="J85" s="5">
        <v>7.22223809421126</v>
      </c>
      <c r="K85" s="5">
        <v>2.458333333333333</v>
      </c>
      <c r="L85" s="20">
        <v>0.02660647845745595</v>
      </c>
      <c r="M85" s="6">
        <v>9.74423782042467</v>
      </c>
      <c r="N85" s="5">
        <v>7.222234970508596</v>
      </c>
      <c r="O85" s="5">
        <v>3.9583333333333277</v>
      </c>
      <c r="P85" s="20">
        <v>0.02790332416035185</v>
      </c>
      <c r="Q85" s="6">
        <v>10.100249063554914</v>
      </c>
      <c r="R85" s="5">
        <v>7.222229200021257</v>
      </c>
      <c r="S85" s="2">
        <v>0.024826388888888832</v>
      </c>
      <c r="T85" s="20">
        <v>1</v>
      </c>
      <c r="U85" s="6">
        <v>0.0001</v>
      </c>
      <c r="V85" s="5">
        <v>57.005028560835896</v>
      </c>
      <c r="W85" s="5">
        <v>5.79270833333334</v>
      </c>
      <c r="X85" s="20">
        <v>1</v>
      </c>
      <c r="Y85" s="6">
        <v>0.0001</v>
      </c>
      <c r="Z85" s="20">
        <v>7.635496542620246</v>
      </c>
      <c r="AA85" s="5">
        <v>6.376041666666678</v>
      </c>
      <c r="AB85" s="20">
        <v>1</v>
      </c>
      <c r="AC85" s="6">
        <v>0.0001</v>
      </c>
      <c r="AD85" s="5">
        <v>9.667433123481157</v>
      </c>
      <c r="AE85" s="5">
        <v>15.251041666666586</v>
      </c>
      <c r="AF85" s="20">
        <v>1</v>
      </c>
      <c r="AG85" s="6">
        <v>0.0001</v>
      </c>
      <c r="AH85" s="5">
        <v>4</v>
      </c>
      <c r="AI85" s="5">
        <v>15.292708333333252</v>
      </c>
      <c r="AJ85" s="20">
        <v>1</v>
      </c>
      <c r="AK85" s="6">
        <v>0.0001</v>
      </c>
      <c r="AL85" s="5">
        <v>16.235348279263466</v>
      </c>
      <c r="AM85" s="5">
        <v>22.376041666666758</v>
      </c>
      <c r="AN85" s="20">
        <v>1</v>
      </c>
      <c r="AO85" s="6">
        <v>0.0001</v>
      </c>
      <c r="AP85" s="5">
        <v>4</v>
      </c>
      <c r="AQ85" s="127">
        <v>8.825833279662273</v>
      </c>
      <c r="AR85" s="42">
        <v>12</v>
      </c>
      <c r="AS85" s="43">
        <v>0.0001</v>
      </c>
      <c r="AT85">
        <v>2</v>
      </c>
      <c r="AU85">
        <v>0.0001</v>
      </c>
      <c r="AV85" t="s">
        <v>64</v>
      </c>
    </row>
    <row r="86" spans="1:48" ht="12.75">
      <c r="A86">
        <v>13</v>
      </c>
      <c r="B86" t="s">
        <v>64</v>
      </c>
      <c r="C86" s="5">
        <v>0.25</v>
      </c>
      <c r="D86" s="20">
        <v>0.02480348086839418</v>
      </c>
      <c r="E86" s="30">
        <v>9.422111319368309</v>
      </c>
      <c r="F86" s="5">
        <v>24.134778771873755</v>
      </c>
      <c r="G86" s="5">
        <v>2.125</v>
      </c>
      <c r="H86" s="20">
        <v>0.026303153190505635</v>
      </c>
      <c r="I86" s="6">
        <v>9.592314018821991</v>
      </c>
      <c r="J86" s="5">
        <v>7.222238076030759</v>
      </c>
      <c r="K86" s="5">
        <v>2.4166666666666665</v>
      </c>
      <c r="L86" s="20">
        <v>0.026500216926999</v>
      </c>
      <c r="M86" s="6">
        <v>9.567760058608306</v>
      </c>
      <c r="N86" s="5">
        <v>7.222234991628713</v>
      </c>
      <c r="O86" s="5">
        <v>3.916666666666661</v>
      </c>
      <c r="P86" s="20">
        <v>0.027766732386644177</v>
      </c>
      <c r="Q86" s="6">
        <v>9.957297844961856</v>
      </c>
      <c r="R86" s="5">
        <v>7.222229177648543</v>
      </c>
      <c r="S86" s="2">
        <v>0.024826388888888832</v>
      </c>
      <c r="T86" s="20">
        <v>1</v>
      </c>
      <c r="U86" s="6">
        <v>0.0001</v>
      </c>
      <c r="V86" s="5">
        <v>57.00502856073382</v>
      </c>
      <c r="W86" s="5">
        <v>5.751041666666673</v>
      </c>
      <c r="X86" s="20">
        <v>1</v>
      </c>
      <c r="Y86" s="6">
        <v>0.0001</v>
      </c>
      <c r="Z86" s="20">
        <v>7.634160745422815</v>
      </c>
      <c r="AA86" s="5">
        <v>6.334375000000011</v>
      </c>
      <c r="AB86" s="20">
        <v>1</v>
      </c>
      <c r="AC86" s="6">
        <v>0.0001</v>
      </c>
      <c r="AD86" s="5">
        <v>9.67031851664613</v>
      </c>
      <c r="AE86" s="5">
        <v>15.20937499999992</v>
      </c>
      <c r="AF86" s="20">
        <v>1</v>
      </c>
      <c r="AG86" s="6">
        <v>0.0001</v>
      </c>
      <c r="AH86" s="5">
        <v>4</v>
      </c>
      <c r="AI86" s="5">
        <v>15.251041666666586</v>
      </c>
      <c r="AJ86" s="20">
        <v>1</v>
      </c>
      <c r="AK86" s="6">
        <v>0.0001</v>
      </c>
      <c r="AL86" s="5">
        <v>16.249963465714337</v>
      </c>
      <c r="AM86" s="5">
        <v>22.33437500000009</v>
      </c>
      <c r="AN86" s="20">
        <v>1</v>
      </c>
      <c r="AO86" s="6">
        <v>0.0001</v>
      </c>
      <c r="AP86" s="5">
        <v>4</v>
      </c>
      <c r="AQ86" s="127">
        <v>8.825833279662273</v>
      </c>
      <c r="AR86" s="42">
        <v>12</v>
      </c>
      <c r="AS86" s="43">
        <v>0.0001</v>
      </c>
      <c r="AT86">
        <v>2</v>
      </c>
      <c r="AU86">
        <v>0.0001</v>
      </c>
      <c r="AV86" t="s">
        <v>64</v>
      </c>
    </row>
    <row r="87" spans="1:48" ht="12.75">
      <c r="A87">
        <v>14</v>
      </c>
      <c r="B87" t="s">
        <v>64</v>
      </c>
      <c r="C87" s="5">
        <v>0.29166666666666663</v>
      </c>
      <c r="D87" s="20">
        <v>0.02489087582504307</v>
      </c>
      <c r="E87" s="30">
        <v>9.591833766551812</v>
      </c>
      <c r="F87" s="5">
        <v>24.099086428136296</v>
      </c>
      <c r="G87" s="5">
        <v>2.1666666666666674</v>
      </c>
      <c r="H87" s="20">
        <v>0.026829145257990017</v>
      </c>
      <c r="I87" s="6">
        <v>10.644598789952575</v>
      </c>
      <c r="J87" s="5">
        <v>11.666686446438876</v>
      </c>
      <c r="K87" s="5">
        <v>2.458333333333333</v>
      </c>
      <c r="L87" s="20">
        <v>0.027086526815931045</v>
      </c>
      <c r="M87" s="6">
        <v>10.582776198080298</v>
      </c>
      <c r="N87" s="5">
        <v>11.666683036312495</v>
      </c>
      <c r="O87" s="5">
        <v>3.9583333333333277</v>
      </c>
      <c r="P87" s="20">
        <v>0.02873623189540042</v>
      </c>
      <c r="Q87" s="6">
        <v>11.858802760297317</v>
      </c>
      <c r="R87" s="5">
        <v>11.666676721281032</v>
      </c>
      <c r="S87" s="2">
        <v>0.02413194444444439</v>
      </c>
      <c r="T87" s="20">
        <v>1</v>
      </c>
      <c r="U87" s="6">
        <v>0.0001</v>
      </c>
      <c r="V87" s="5">
        <v>56.98654891130846</v>
      </c>
      <c r="W87" s="5">
        <v>5.791319444444451</v>
      </c>
      <c r="X87" s="20">
        <v>1</v>
      </c>
      <c r="Y87" s="6">
        <v>0.0001</v>
      </c>
      <c r="Z87" s="20">
        <v>12.081736917165681</v>
      </c>
      <c r="AA87" s="5">
        <v>6.407118055555567</v>
      </c>
      <c r="AB87" s="20">
        <v>1</v>
      </c>
      <c r="AC87" s="6">
        <v>0.0001</v>
      </c>
      <c r="AD87" s="5">
        <v>12.231162999987166</v>
      </c>
      <c r="AE87" s="5">
        <v>15.249652777777698</v>
      </c>
      <c r="AF87" s="20">
        <v>1</v>
      </c>
      <c r="AG87" s="6">
        <v>0.0001</v>
      </c>
      <c r="AH87" s="5">
        <v>4</v>
      </c>
      <c r="AI87" s="5">
        <v>15.291319444444364</v>
      </c>
      <c r="AJ87" s="20">
        <v>1</v>
      </c>
      <c r="AK87" s="6">
        <v>0.0001</v>
      </c>
      <c r="AL87" s="5">
        <v>16.276174541457316</v>
      </c>
      <c r="AM87" s="5">
        <v>22.374652777777868</v>
      </c>
      <c r="AN87" s="20">
        <v>1</v>
      </c>
      <c r="AO87" s="6">
        <v>0.0001</v>
      </c>
      <c r="AP87" s="5">
        <v>4</v>
      </c>
      <c r="AQ87" s="127">
        <v>8.825833279662273</v>
      </c>
      <c r="AR87" s="42">
        <v>12</v>
      </c>
      <c r="AS87" s="43">
        <v>0.0001</v>
      </c>
      <c r="AT87">
        <v>2</v>
      </c>
      <c r="AU87">
        <v>0.0001</v>
      </c>
      <c r="AV87" t="s">
        <v>64</v>
      </c>
    </row>
    <row r="88" spans="1:48" ht="12.75">
      <c r="A88">
        <v>15</v>
      </c>
      <c r="B88" t="s">
        <v>64</v>
      </c>
      <c r="C88" s="5">
        <v>0.25</v>
      </c>
      <c r="D88" s="20">
        <v>0.02488416076631539</v>
      </c>
      <c r="E88" s="30">
        <v>9.57308042929222</v>
      </c>
      <c r="F88" s="5">
        <v>24.09988745115447</v>
      </c>
      <c r="G88" s="5">
        <v>2.1666666666666674</v>
      </c>
      <c r="H88" s="20">
        <v>0.026816628803455755</v>
      </c>
      <c r="I88" s="6">
        <v>10.623693082779582</v>
      </c>
      <c r="J88" s="5">
        <v>11.666686436377663</v>
      </c>
      <c r="K88" s="5">
        <v>2.458333333333333</v>
      </c>
      <c r="L88" s="20">
        <v>0.027071788373773387</v>
      </c>
      <c r="M88" s="6">
        <v>10.570498503317221</v>
      </c>
      <c r="N88" s="5">
        <v>11.666683030597689</v>
      </c>
      <c r="O88" s="5">
        <v>3.9583333333333277</v>
      </c>
      <c r="P88" s="20">
        <v>0.028715217795128034</v>
      </c>
      <c r="Q88" s="6">
        <v>11.838519267494977</v>
      </c>
      <c r="R88" s="5">
        <v>11.666676709245213</v>
      </c>
      <c r="S88" s="2">
        <v>0.02413194444444439</v>
      </c>
      <c r="T88" s="20">
        <v>1</v>
      </c>
      <c r="U88" s="6">
        <v>0.0001</v>
      </c>
      <c r="V88" s="5">
        <v>56.98654891106278</v>
      </c>
      <c r="W88" s="5">
        <v>5.791319444444451</v>
      </c>
      <c r="X88" s="20">
        <v>1</v>
      </c>
      <c r="Y88" s="6">
        <v>0.0001</v>
      </c>
      <c r="Z88" s="20">
        <v>12.081271880133116</v>
      </c>
      <c r="AA88" s="5">
        <v>6.374652777777789</v>
      </c>
      <c r="AB88" s="20">
        <v>1</v>
      </c>
      <c r="AC88" s="6">
        <v>0.0001</v>
      </c>
      <c r="AD88" s="5">
        <v>12.230158214590944</v>
      </c>
      <c r="AE88" s="5">
        <v>15.249652777777698</v>
      </c>
      <c r="AF88" s="20">
        <v>1</v>
      </c>
      <c r="AG88" s="6">
        <v>0.0001</v>
      </c>
      <c r="AH88" s="5">
        <v>4</v>
      </c>
      <c r="AI88" s="5">
        <v>15.291319444444364</v>
      </c>
      <c r="AJ88" s="20">
        <v>1</v>
      </c>
      <c r="AK88" s="6">
        <v>0.0001</v>
      </c>
      <c r="AL88" s="5">
        <v>16.25735574844881</v>
      </c>
      <c r="AM88" s="5">
        <v>22.374652777777868</v>
      </c>
      <c r="AN88" s="20">
        <v>1</v>
      </c>
      <c r="AO88" s="6">
        <v>0.0001</v>
      </c>
      <c r="AP88" s="5">
        <v>4</v>
      </c>
      <c r="AQ88" s="127">
        <v>8.825833279662273</v>
      </c>
      <c r="AR88" s="42">
        <v>12</v>
      </c>
      <c r="AS88" s="43">
        <v>0.0001</v>
      </c>
      <c r="AT88">
        <v>2</v>
      </c>
      <c r="AU88">
        <v>0.0001</v>
      </c>
      <c r="AV88" t="s">
        <v>64</v>
      </c>
    </row>
    <row r="89" spans="1:48" ht="12.75">
      <c r="A89">
        <v>16</v>
      </c>
      <c r="B89" t="s">
        <v>64</v>
      </c>
      <c r="C89" s="5">
        <v>0.25</v>
      </c>
      <c r="D89" s="20">
        <v>0.02480348086839418</v>
      </c>
      <c r="E89" s="30">
        <v>9.422111319368309</v>
      </c>
      <c r="F89" s="5">
        <v>24.134778771873755</v>
      </c>
      <c r="G89" s="5">
        <v>2.125</v>
      </c>
      <c r="H89" s="20">
        <v>0.026703415038163425</v>
      </c>
      <c r="I89" s="6">
        <v>10.486376179803274</v>
      </c>
      <c r="J89" s="5">
        <v>11.666686436669561</v>
      </c>
      <c r="K89" s="5">
        <v>2.4166666666666665</v>
      </c>
      <c r="L89" s="20">
        <v>0.026958473805403727</v>
      </c>
      <c r="M89" s="6">
        <v>10.43955345313828</v>
      </c>
      <c r="N89" s="5">
        <v>11.666683085627568</v>
      </c>
      <c r="O89" s="5">
        <v>3.916666666666661</v>
      </c>
      <c r="P89" s="20">
        <v>0.028569563352101257</v>
      </c>
      <c r="Q89" s="6">
        <v>11.71511816914363</v>
      </c>
      <c r="R89" s="5">
        <v>11.666676726062777</v>
      </c>
      <c r="S89" s="2">
        <v>0.02413194444444439</v>
      </c>
      <c r="T89" s="20">
        <v>1</v>
      </c>
      <c r="U89" s="6">
        <v>0.0001</v>
      </c>
      <c r="V89" s="5">
        <v>56.986548911457334</v>
      </c>
      <c r="W89" s="5">
        <v>5.749652777777784</v>
      </c>
      <c r="X89" s="20">
        <v>1</v>
      </c>
      <c r="Y89" s="6">
        <v>0.0001</v>
      </c>
      <c r="Z89" s="20">
        <v>12.080714559309111</v>
      </c>
      <c r="AA89" s="5">
        <v>6.332986111111122</v>
      </c>
      <c r="AB89" s="20">
        <v>1</v>
      </c>
      <c r="AC89" s="6">
        <v>0.0001</v>
      </c>
      <c r="AD89" s="5">
        <v>12.232231848365245</v>
      </c>
      <c r="AE89" s="5">
        <v>15.207986111111031</v>
      </c>
      <c r="AF89" s="20">
        <v>1</v>
      </c>
      <c r="AG89" s="6">
        <v>0.0001</v>
      </c>
      <c r="AH89" s="5">
        <v>4</v>
      </c>
      <c r="AI89" s="5">
        <v>15.249652777777698</v>
      </c>
      <c r="AJ89" s="20">
        <v>1</v>
      </c>
      <c r="AK89" s="6">
        <v>0.0001</v>
      </c>
      <c r="AL89" s="5">
        <v>16.266655486278005</v>
      </c>
      <c r="AM89" s="5">
        <v>22.332986111111197</v>
      </c>
      <c r="AN89" s="20">
        <v>1</v>
      </c>
      <c r="AO89" s="6">
        <v>0.0001</v>
      </c>
      <c r="AP89" s="5">
        <v>4</v>
      </c>
      <c r="AQ89" s="127">
        <v>8.825833279662273</v>
      </c>
      <c r="AR89" s="42">
        <v>12</v>
      </c>
      <c r="AS89" s="43">
        <v>0.0001</v>
      </c>
      <c r="AT89">
        <v>2</v>
      </c>
      <c r="AU89">
        <v>0.0001</v>
      </c>
      <c r="AV89" t="s">
        <v>64</v>
      </c>
    </row>
    <row r="90" spans="1:48" ht="12.75">
      <c r="A90">
        <v>17</v>
      </c>
      <c r="B90" t="s">
        <v>64</v>
      </c>
      <c r="C90" s="5">
        <v>0.29166666666666663</v>
      </c>
      <c r="D90" s="20">
        <v>0.02489087582504307</v>
      </c>
      <c r="E90" s="30">
        <v>9.591833766551812</v>
      </c>
      <c r="F90" s="5">
        <v>24.099086428136296</v>
      </c>
      <c r="G90" s="5">
        <v>2.1666666666666674</v>
      </c>
      <c r="H90" s="20">
        <v>0.027399527370548737</v>
      </c>
      <c r="I90" s="6">
        <v>11.903645268548381</v>
      </c>
      <c r="J90" s="5">
        <v>15.555570168859628</v>
      </c>
      <c r="K90" s="5">
        <v>2.458333333333333</v>
      </c>
      <c r="L90" s="20">
        <v>0.027741438833781773</v>
      </c>
      <c r="M90" s="6">
        <v>11.985964955598668</v>
      </c>
      <c r="N90" s="5">
        <v>15.555566838667476</v>
      </c>
      <c r="O90" s="5">
        <v>3.9583333333333277</v>
      </c>
      <c r="P90" s="20">
        <v>0.02989122718831</v>
      </c>
      <c r="Q90" s="6">
        <v>14.355375016825072</v>
      </c>
      <c r="R90" s="5">
        <v>15.555560803976704</v>
      </c>
      <c r="S90" s="2">
        <v>0.02361111111111106</v>
      </c>
      <c r="T90" s="20">
        <v>1</v>
      </c>
      <c r="U90" s="6">
        <v>0.0001</v>
      </c>
      <c r="V90" s="5">
        <v>56.99177040510709</v>
      </c>
      <c r="W90" s="5">
        <v>5.790277777777784</v>
      </c>
      <c r="X90" s="20">
        <v>1</v>
      </c>
      <c r="Y90" s="6">
        <v>0.0001</v>
      </c>
      <c r="Z90" s="20">
        <v>15.963163957379619</v>
      </c>
      <c r="AA90" s="5">
        <v>6.407552083333345</v>
      </c>
      <c r="AB90" s="20">
        <v>1</v>
      </c>
      <c r="AC90" s="6">
        <v>0.0001</v>
      </c>
      <c r="AD90" s="5">
        <v>14.248501309351646</v>
      </c>
      <c r="AE90" s="5">
        <v>15.24861111111103</v>
      </c>
      <c r="AF90" s="20">
        <v>1</v>
      </c>
      <c r="AG90" s="6">
        <v>0.0001</v>
      </c>
      <c r="AH90" s="5">
        <v>4</v>
      </c>
      <c r="AI90" s="5">
        <v>15.290277777777696</v>
      </c>
      <c r="AJ90" s="20">
        <v>1</v>
      </c>
      <c r="AK90" s="6">
        <v>0.0001</v>
      </c>
      <c r="AL90" s="5">
        <v>16.29308722750424</v>
      </c>
      <c r="AM90" s="5">
        <v>22.3736111111112</v>
      </c>
      <c r="AN90" s="20">
        <v>1</v>
      </c>
      <c r="AO90" s="6">
        <v>0.0001</v>
      </c>
      <c r="AP90" s="5">
        <v>4</v>
      </c>
      <c r="AQ90" s="127">
        <v>8.825833279662273</v>
      </c>
      <c r="AR90" s="42">
        <v>12</v>
      </c>
      <c r="AS90" s="43">
        <v>0.0001</v>
      </c>
      <c r="AT90">
        <v>2</v>
      </c>
      <c r="AU90">
        <v>0.0001</v>
      </c>
      <c r="AV90" t="s">
        <v>64</v>
      </c>
    </row>
    <row r="91" spans="1:48" ht="12.75">
      <c r="A91">
        <v>18</v>
      </c>
      <c r="B91" t="s">
        <v>64</v>
      </c>
      <c r="C91" s="5">
        <v>0.25</v>
      </c>
      <c r="D91" s="20">
        <v>0.02488416076631539</v>
      </c>
      <c r="E91" s="30">
        <v>9.57308042929222</v>
      </c>
      <c r="F91" s="5">
        <v>24.09988745115447</v>
      </c>
      <c r="G91" s="5">
        <v>2.1666666666666674</v>
      </c>
      <c r="H91" s="20">
        <v>0.027382920880038353</v>
      </c>
      <c r="I91" s="6">
        <v>11.876112585108082</v>
      </c>
      <c r="J91" s="5">
        <v>15.555570160598384</v>
      </c>
      <c r="K91" s="5">
        <v>2.458333333333333</v>
      </c>
      <c r="L91" s="20">
        <v>0.027724492894191155</v>
      </c>
      <c r="M91" s="6">
        <v>11.966653389751945</v>
      </c>
      <c r="N91" s="5">
        <v>15.555566854418867</v>
      </c>
      <c r="O91" s="5">
        <v>3.9583333333333277</v>
      </c>
      <c r="P91" s="20">
        <v>0.02987373761580725</v>
      </c>
      <c r="Q91" s="6">
        <v>14.324438960368628</v>
      </c>
      <c r="R91" s="5">
        <v>15.555560812518696</v>
      </c>
      <c r="S91" s="2">
        <v>0.02361111111111106</v>
      </c>
      <c r="T91" s="20">
        <v>1</v>
      </c>
      <c r="U91" s="6">
        <v>0.0001</v>
      </c>
      <c r="V91" s="5">
        <v>56.991770404857974</v>
      </c>
      <c r="W91" s="5">
        <v>5.790277777777784</v>
      </c>
      <c r="X91" s="20">
        <v>1</v>
      </c>
      <c r="Y91" s="6">
        <v>0.0001</v>
      </c>
      <c r="Z91" s="20">
        <v>15.962858443166057</v>
      </c>
      <c r="AA91" s="5">
        <v>6.373611111111122</v>
      </c>
      <c r="AB91" s="20">
        <v>1</v>
      </c>
      <c r="AC91" s="6">
        <v>0.0001</v>
      </c>
      <c r="AD91" s="5">
        <v>14.248369097746346</v>
      </c>
      <c r="AE91" s="5">
        <v>15.24861111111103</v>
      </c>
      <c r="AF91" s="20">
        <v>1</v>
      </c>
      <c r="AG91" s="6">
        <v>0.0001</v>
      </c>
      <c r="AH91" s="5">
        <v>4</v>
      </c>
      <c r="AI91" s="5">
        <v>15.290277777777696</v>
      </c>
      <c r="AJ91" s="20">
        <v>1</v>
      </c>
      <c r="AK91" s="6">
        <v>0.0001</v>
      </c>
      <c r="AL91" s="5">
        <v>16.277926954018923</v>
      </c>
      <c r="AM91" s="5">
        <v>22.3736111111112</v>
      </c>
      <c r="AN91" s="20">
        <v>1</v>
      </c>
      <c r="AO91" s="6">
        <v>0.0001</v>
      </c>
      <c r="AP91" s="5">
        <v>4</v>
      </c>
      <c r="AQ91" s="127">
        <v>8.825833279662273</v>
      </c>
      <c r="AR91" s="42">
        <v>12</v>
      </c>
      <c r="AS91" s="43">
        <v>0.0001</v>
      </c>
      <c r="AT91">
        <v>2</v>
      </c>
      <c r="AU91">
        <v>0.0001</v>
      </c>
      <c r="AV91" t="s">
        <v>64</v>
      </c>
    </row>
    <row r="92" spans="1:48" ht="12.75">
      <c r="A92">
        <v>19</v>
      </c>
      <c r="B92" t="s">
        <v>64</v>
      </c>
      <c r="C92" s="5">
        <v>0.25</v>
      </c>
      <c r="D92" s="20">
        <v>0.02480348086839418</v>
      </c>
      <c r="E92" s="30">
        <v>9.422111319368309</v>
      </c>
      <c r="F92" s="5">
        <v>24.134778771873755</v>
      </c>
      <c r="G92" s="5">
        <v>2.125</v>
      </c>
      <c r="H92" s="20">
        <v>0.027257233259337932</v>
      </c>
      <c r="I92" s="6">
        <v>11.734596851858747</v>
      </c>
      <c r="J92" s="5">
        <v>15.555570193359156</v>
      </c>
      <c r="K92" s="5">
        <v>2.4166666666666665</v>
      </c>
      <c r="L92" s="20">
        <v>0.027597940322319547</v>
      </c>
      <c r="M92" s="6">
        <v>11.821068431447461</v>
      </c>
      <c r="N92" s="5">
        <v>15.555566882196375</v>
      </c>
      <c r="O92" s="5">
        <v>3.916666666666661</v>
      </c>
      <c r="P92" s="20">
        <v>0.029711283430503888</v>
      </c>
      <c r="Q92" s="6">
        <v>14.182985330749492</v>
      </c>
      <c r="R92" s="5">
        <v>15.555560825126792</v>
      </c>
      <c r="S92" s="2">
        <v>0.02361111111111106</v>
      </c>
      <c r="T92" s="20">
        <v>1</v>
      </c>
      <c r="U92" s="6">
        <v>0.0001</v>
      </c>
      <c r="V92" s="5">
        <v>56.99177040473397</v>
      </c>
      <c r="W92" s="5">
        <v>5.748611111111117</v>
      </c>
      <c r="X92" s="20">
        <v>1</v>
      </c>
      <c r="Y92" s="6">
        <v>0.0001</v>
      </c>
      <c r="Z92" s="20">
        <v>15.96277752535289</v>
      </c>
      <c r="AA92" s="5">
        <v>6.3319444444444555</v>
      </c>
      <c r="AB92" s="20">
        <v>1</v>
      </c>
      <c r="AC92" s="6">
        <v>0.0001</v>
      </c>
      <c r="AD92" s="5">
        <v>14.244597462649518</v>
      </c>
      <c r="AE92" s="5">
        <v>15.206944444444364</v>
      </c>
      <c r="AF92" s="20">
        <v>1</v>
      </c>
      <c r="AG92" s="6">
        <v>0.0001</v>
      </c>
      <c r="AH92" s="5">
        <v>4</v>
      </c>
      <c r="AI92" s="5">
        <v>15.24861111111103</v>
      </c>
      <c r="AJ92" s="20">
        <v>1</v>
      </c>
      <c r="AK92" s="6">
        <v>0.0001</v>
      </c>
      <c r="AL92" s="5">
        <v>16.285876427942547</v>
      </c>
      <c r="AM92" s="5">
        <v>22.33194444444453</v>
      </c>
      <c r="AN92" s="20">
        <v>1</v>
      </c>
      <c r="AO92" s="6">
        <v>0.0001</v>
      </c>
      <c r="AP92" s="5">
        <v>4</v>
      </c>
      <c r="AQ92" s="127">
        <v>8.825833279662273</v>
      </c>
      <c r="AR92" s="42">
        <v>12</v>
      </c>
      <c r="AS92" s="43">
        <v>0.0001</v>
      </c>
      <c r="AT92">
        <v>2</v>
      </c>
      <c r="AU92">
        <v>0.0001</v>
      </c>
      <c r="AV92" t="s">
        <v>64</v>
      </c>
    </row>
    <row r="93" spans="1:48" ht="12.75">
      <c r="A93">
        <v>20</v>
      </c>
      <c r="B93" t="s">
        <v>64</v>
      </c>
      <c r="C93" s="5">
        <v>0.29166666666666663</v>
      </c>
      <c r="D93" s="20">
        <v>0.024891798310676394</v>
      </c>
      <c r="E93" s="30">
        <v>9.596390107693587</v>
      </c>
      <c r="F93" s="5">
        <v>24.099086428136296</v>
      </c>
      <c r="G93" s="5">
        <v>2.1666666666666674</v>
      </c>
      <c r="H93" s="20">
        <v>0.02705269540255817</v>
      </c>
      <c r="I93" s="6">
        <v>11.195297409318464</v>
      </c>
      <c r="J93" s="5">
        <v>13.652672043358033</v>
      </c>
      <c r="K93" s="5">
        <v>2.458333333333333</v>
      </c>
      <c r="L93" s="20">
        <v>0.02731365858642787</v>
      </c>
      <c r="M93" s="6">
        <v>11.14245292080715</v>
      </c>
      <c r="N93" s="5">
        <v>11.313340656468606</v>
      </c>
      <c r="O93" s="5">
        <v>3.9583333333333277</v>
      </c>
      <c r="P93" s="20">
        <v>0.028920514149468557</v>
      </c>
      <c r="Q93" s="6">
        <v>12.087351409625802</v>
      </c>
      <c r="R93" s="5">
        <v>9.194863347514197</v>
      </c>
      <c r="S93" s="2">
        <v>0.02447916666666661</v>
      </c>
      <c r="T93" s="20">
        <v>1</v>
      </c>
      <c r="U93" s="6">
        <v>0.0001</v>
      </c>
      <c r="V93" s="5">
        <v>56.9990667557022</v>
      </c>
      <c r="W93" s="5">
        <v>5.791666666666673</v>
      </c>
      <c r="X93" s="20">
        <v>1</v>
      </c>
      <c r="Y93" s="6">
        <v>0.0001</v>
      </c>
      <c r="Z93" s="20">
        <v>10.022732732934191</v>
      </c>
      <c r="AA93" s="5">
        <v>6.4145833333333435</v>
      </c>
      <c r="AB93" s="20">
        <v>1</v>
      </c>
      <c r="AC93" s="6">
        <v>0.0001</v>
      </c>
      <c r="AD93" s="5">
        <v>10.75626785497735</v>
      </c>
      <c r="AE93" s="5">
        <v>15.25034722222214</v>
      </c>
      <c r="AF93" s="20">
        <v>1</v>
      </c>
      <c r="AG93" s="6">
        <v>0.0001</v>
      </c>
      <c r="AH93" s="5">
        <v>4</v>
      </c>
      <c r="AI93" s="5">
        <v>15.29236111111103</v>
      </c>
      <c r="AJ93" s="20">
        <v>1</v>
      </c>
      <c r="AK93" s="6">
        <v>0.0001</v>
      </c>
      <c r="AL93" s="5">
        <v>16.27228079460734</v>
      </c>
      <c r="AM93" s="5">
        <v>22.375086805555647</v>
      </c>
      <c r="AN93" s="20">
        <v>1</v>
      </c>
      <c r="AO93" s="6">
        <v>0.0001</v>
      </c>
      <c r="AP93" s="5">
        <v>4</v>
      </c>
      <c r="AQ93" s="127">
        <v>8.825833279662273</v>
      </c>
      <c r="AR93" s="42">
        <v>12</v>
      </c>
      <c r="AS93" s="43">
        <v>0.0001</v>
      </c>
      <c r="AT93">
        <v>2</v>
      </c>
      <c r="AU93">
        <v>0.0001</v>
      </c>
      <c r="AV93" t="s">
        <v>64</v>
      </c>
    </row>
    <row r="94" spans="1:48" ht="12.75">
      <c r="A94">
        <v>21</v>
      </c>
      <c r="B94" t="s">
        <v>64</v>
      </c>
      <c r="C94" s="5">
        <v>0.29166666666666663</v>
      </c>
      <c r="D94" s="20">
        <v>0.02489087582504307</v>
      </c>
      <c r="E94" s="30">
        <v>9.591833766551812</v>
      </c>
      <c r="F94" s="5">
        <v>24.099086428136296</v>
      </c>
      <c r="G94" s="5">
        <v>2.1666666666666674</v>
      </c>
      <c r="H94" s="20">
        <v>0.02642552411529203</v>
      </c>
      <c r="I94" s="6">
        <v>9.76630316588787</v>
      </c>
      <c r="J94" s="5">
        <v>7.222238087451611</v>
      </c>
      <c r="K94" s="5">
        <v>2.458333333333333</v>
      </c>
      <c r="L94" s="20">
        <v>0.026619506583160535</v>
      </c>
      <c r="M94" s="6">
        <v>9.7639664148177</v>
      </c>
      <c r="N94" s="5">
        <v>7.222234976069691</v>
      </c>
      <c r="O94" s="5">
        <v>3.9583333333333277</v>
      </c>
      <c r="P94" s="20">
        <v>0.02792027412986947</v>
      </c>
      <c r="Q94" s="6">
        <v>10.126818223815743</v>
      </c>
      <c r="R94" s="5">
        <v>7.222229210207852</v>
      </c>
      <c r="S94" s="2">
        <v>0.0324652777777777</v>
      </c>
      <c r="T94" s="20">
        <v>1</v>
      </c>
      <c r="U94" s="6">
        <v>0.0001</v>
      </c>
      <c r="V94" s="5">
        <v>57.70330224440486</v>
      </c>
      <c r="W94" s="5">
        <v>5.8003472222222285</v>
      </c>
      <c r="X94" s="20">
        <v>1</v>
      </c>
      <c r="Y94" s="6">
        <v>0.0001</v>
      </c>
      <c r="Z94" s="20">
        <v>7.640189857364225</v>
      </c>
      <c r="AA94" s="5">
        <v>6.414322916666678</v>
      </c>
      <c r="AB94" s="20">
        <v>1</v>
      </c>
      <c r="AC94" s="6">
        <v>0.0001</v>
      </c>
      <c r="AD94" s="5">
        <v>9.683467393655281</v>
      </c>
      <c r="AE94" s="5">
        <v>15.258680555555474</v>
      </c>
      <c r="AF94" s="20">
        <v>1</v>
      </c>
      <c r="AG94" s="6">
        <v>0.0001</v>
      </c>
      <c r="AH94" s="5">
        <v>4</v>
      </c>
      <c r="AI94" s="5">
        <v>15.300347222222141</v>
      </c>
      <c r="AJ94" s="20">
        <v>1</v>
      </c>
      <c r="AK94" s="6">
        <v>0.0001</v>
      </c>
      <c r="AL94" s="5">
        <v>16.25400516436974</v>
      </c>
      <c r="AM94" s="5">
        <v>22.383680555555646</v>
      </c>
      <c r="AN94" s="20">
        <v>1</v>
      </c>
      <c r="AO94" s="6">
        <v>0.0001</v>
      </c>
      <c r="AP94" s="5">
        <v>4</v>
      </c>
      <c r="AQ94" s="127">
        <v>8.825833279662273</v>
      </c>
      <c r="AR94" s="42">
        <v>12</v>
      </c>
      <c r="AS94" s="43">
        <v>0.0001</v>
      </c>
      <c r="AT94">
        <v>2</v>
      </c>
      <c r="AU94">
        <v>0.0001</v>
      </c>
      <c r="AV94" t="s">
        <v>64</v>
      </c>
    </row>
    <row r="95" spans="1:48" ht="12.75">
      <c r="A95">
        <v>22</v>
      </c>
      <c r="B95" t="s">
        <v>64</v>
      </c>
      <c r="C95" s="5">
        <v>0.25</v>
      </c>
      <c r="D95" s="20">
        <v>0.02488416076631539</v>
      </c>
      <c r="E95" s="30">
        <v>9.57308042929222</v>
      </c>
      <c r="F95" s="5">
        <v>24.09988745115447</v>
      </c>
      <c r="G95" s="5">
        <v>2.1666666666666674</v>
      </c>
      <c r="H95" s="20">
        <v>0.026411174183861685</v>
      </c>
      <c r="I95" s="6">
        <v>9.747983669320355</v>
      </c>
      <c r="J95" s="5">
        <v>7.22223809421126</v>
      </c>
      <c r="K95" s="5">
        <v>2.458333333333333</v>
      </c>
      <c r="L95" s="20">
        <v>0.02660647845745595</v>
      </c>
      <c r="M95" s="6">
        <v>9.74423782042467</v>
      </c>
      <c r="N95" s="5">
        <v>7.222234970508596</v>
      </c>
      <c r="O95" s="5">
        <v>3.9583333333333277</v>
      </c>
      <c r="P95" s="20">
        <v>0.02790332416035185</v>
      </c>
      <c r="Q95" s="6">
        <v>10.100249063554914</v>
      </c>
      <c r="R95" s="5">
        <v>7.222229200021257</v>
      </c>
      <c r="S95" s="2">
        <v>0.0324652777777777</v>
      </c>
      <c r="T95" s="20">
        <v>1</v>
      </c>
      <c r="U95" s="6">
        <v>0.0001</v>
      </c>
      <c r="V95" s="5">
        <v>57.70330224442412</v>
      </c>
      <c r="W95" s="5">
        <v>5.8003472222222285</v>
      </c>
      <c r="X95" s="20">
        <v>1</v>
      </c>
      <c r="Y95" s="6">
        <v>0.0001</v>
      </c>
      <c r="Z95" s="20">
        <v>7.640083928635283</v>
      </c>
      <c r="AA95" s="5">
        <v>6.383680555555567</v>
      </c>
      <c r="AB95" s="20">
        <v>1</v>
      </c>
      <c r="AC95" s="6">
        <v>0.0001</v>
      </c>
      <c r="AD95" s="5">
        <v>9.68292049026602</v>
      </c>
      <c r="AE95" s="5">
        <v>15.258680555555474</v>
      </c>
      <c r="AF95" s="20">
        <v>1</v>
      </c>
      <c r="AG95" s="6">
        <v>0.0001</v>
      </c>
      <c r="AH95" s="5">
        <v>4</v>
      </c>
      <c r="AI95" s="5">
        <v>15.30034722222214</v>
      </c>
      <c r="AJ95" s="20">
        <v>1</v>
      </c>
      <c r="AK95" s="6">
        <v>0.0001</v>
      </c>
      <c r="AL95" s="5">
        <v>16.235348279263466</v>
      </c>
      <c r="AM95" s="5">
        <v>22.383680555555646</v>
      </c>
      <c r="AN95" s="20">
        <v>1</v>
      </c>
      <c r="AO95" s="6">
        <v>0.0001</v>
      </c>
      <c r="AP95" s="5">
        <v>4</v>
      </c>
      <c r="AQ95" s="127">
        <v>8.825833279662273</v>
      </c>
      <c r="AR95" s="42">
        <v>12</v>
      </c>
      <c r="AS95" s="43">
        <v>0.0001</v>
      </c>
      <c r="AT95">
        <v>2</v>
      </c>
      <c r="AU95">
        <v>0.0001</v>
      </c>
      <c r="AV95" t="s">
        <v>64</v>
      </c>
    </row>
    <row r="96" spans="1:48" ht="12.75">
      <c r="A96">
        <v>23</v>
      </c>
      <c r="B96" t="s">
        <v>64</v>
      </c>
      <c r="C96" s="5">
        <v>0.25</v>
      </c>
      <c r="D96" s="20">
        <v>0.02480348086839418</v>
      </c>
      <c r="E96" s="30">
        <v>9.422111319368309</v>
      </c>
      <c r="F96" s="5">
        <v>24.134778771873755</v>
      </c>
      <c r="G96" s="5">
        <v>2.125</v>
      </c>
      <c r="H96" s="20">
        <v>0.026303153190505635</v>
      </c>
      <c r="I96" s="6">
        <v>9.592314018821991</v>
      </c>
      <c r="J96" s="5">
        <v>7.222238076030759</v>
      </c>
      <c r="K96" s="5">
        <v>2.4166666666666665</v>
      </c>
      <c r="L96" s="20">
        <v>0.026500216926999</v>
      </c>
      <c r="M96" s="6">
        <v>9.567760058608306</v>
      </c>
      <c r="N96" s="5">
        <v>7.222234991628713</v>
      </c>
      <c r="O96" s="5">
        <v>3.916666666666661</v>
      </c>
      <c r="P96" s="20">
        <v>0.027766732386644177</v>
      </c>
      <c r="Q96" s="6">
        <v>9.957297844961856</v>
      </c>
      <c r="R96" s="5">
        <v>7.222229177648543</v>
      </c>
      <c r="S96" s="2">
        <v>0.0324652777777777</v>
      </c>
      <c r="T96" s="20">
        <v>1</v>
      </c>
      <c r="U96" s="6">
        <v>0.0001</v>
      </c>
      <c r="V96" s="5">
        <v>57.703302244314216</v>
      </c>
      <c r="W96" s="5">
        <v>5.758680555555562</v>
      </c>
      <c r="X96" s="20">
        <v>1</v>
      </c>
      <c r="Y96" s="6">
        <v>0.0001</v>
      </c>
      <c r="Z96" s="20">
        <v>7.6387981071802775</v>
      </c>
      <c r="AA96" s="5">
        <v>6.3420138888889</v>
      </c>
      <c r="AB96" s="20">
        <v>1</v>
      </c>
      <c r="AC96" s="6">
        <v>0.0001</v>
      </c>
      <c r="AD96" s="5">
        <v>9.684410947093728</v>
      </c>
      <c r="AE96" s="5">
        <v>15.217013888888808</v>
      </c>
      <c r="AF96" s="20">
        <v>1</v>
      </c>
      <c r="AG96" s="6">
        <v>0.0001</v>
      </c>
      <c r="AH96" s="5">
        <v>4</v>
      </c>
      <c r="AI96" s="5">
        <v>15.258680555555474</v>
      </c>
      <c r="AJ96" s="20">
        <v>1</v>
      </c>
      <c r="AK96" s="6">
        <v>0.0001</v>
      </c>
      <c r="AL96" s="5">
        <v>16.249963465714337</v>
      </c>
      <c r="AM96" s="5">
        <v>22.342013888888978</v>
      </c>
      <c r="AN96" s="20">
        <v>1</v>
      </c>
      <c r="AO96" s="6">
        <v>0.0001</v>
      </c>
      <c r="AP96" s="5">
        <v>4</v>
      </c>
      <c r="AQ96" s="127">
        <v>8.825833279662273</v>
      </c>
      <c r="AR96" s="42">
        <v>12</v>
      </c>
      <c r="AS96" s="43">
        <v>0.0001</v>
      </c>
      <c r="AT96">
        <v>2</v>
      </c>
      <c r="AU96">
        <v>0.0001</v>
      </c>
      <c r="AV96" t="s">
        <v>64</v>
      </c>
    </row>
    <row r="97" spans="1:48" ht="12.75">
      <c r="A97">
        <v>24</v>
      </c>
      <c r="B97" t="s">
        <v>64</v>
      </c>
      <c r="C97" s="5">
        <v>0.29166666666666663</v>
      </c>
      <c r="D97" s="20">
        <v>0.02489087582504307</v>
      </c>
      <c r="E97" s="30">
        <v>9.591833766551812</v>
      </c>
      <c r="F97" s="5">
        <v>24.099086428136296</v>
      </c>
      <c r="G97" s="5">
        <v>2.1666666666666674</v>
      </c>
      <c r="H97" s="20">
        <v>0.026829145257990017</v>
      </c>
      <c r="I97" s="6">
        <v>10.644598789952575</v>
      </c>
      <c r="J97" s="5">
        <v>11.666686446438876</v>
      </c>
      <c r="K97" s="5">
        <v>2.458333333333333</v>
      </c>
      <c r="L97" s="20">
        <v>0.027086526815931045</v>
      </c>
      <c r="M97" s="6">
        <v>10.582776198080298</v>
      </c>
      <c r="N97" s="5">
        <v>11.666683036312495</v>
      </c>
      <c r="O97" s="5">
        <v>3.9583333333333277</v>
      </c>
      <c r="P97" s="20">
        <v>0.02873623189540042</v>
      </c>
      <c r="Q97" s="6">
        <v>11.858802760297317</v>
      </c>
      <c r="R97" s="5">
        <v>11.666676721281032</v>
      </c>
      <c r="S97" s="2">
        <v>0.031944444444444366</v>
      </c>
      <c r="T97" s="20">
        <v>1</v>
      </c>
      <c r="U97" s="6">
        <v>0.0001</v>
      </c>
      <c r="V97" s="5">
        <v>57.705989125339755</v>
      </c>
      <c r="W97" s="5">
        <v>5.799305555555562</v>
      </c>
      <c r="X97" s="20">
        <v>1</v>
      </c>
      <c r="Y97" s="6">
        <v>0.0001</v>
      </c>
      <c r="Z97" s="20">
        <v>12.076992602888778</v>
      </c>
      <c r="AA97" s="5">
        <v>6.414930555555567</v>
      </c>
      <c r="AB97" s="20">
        <v>1</v>
      </c>
      <c r="AC97" s="6">
        <v>0.0001</v>
      </c>
      <c r="AD97" s="5">
        <v>12.223328203795159</v>
      </c>
      <c r="AE97" s="5">
        <v>15.257638888888808</v>
      </c>
      <c r="AF97" s="20">
        <v>1</v>
      </c>
      <c r="AG97" s="6">
        <v>0.0001</v>
      </c>
      <c r="AH97" s="5">
        <v>4</v>
      </c>
      <c r="AI97" s="5">
        <v>15.299305555555474</v>
      </c>
      <c r="AJ97" s="20">
        <v>1</v>
      </c>
      <c r="AK97" s="6">
        <v>0.0001</v>
      </c>
      <c r="AL97" s="5">
        <v>16.276024071253943</v>
      </c>
      <c r="AM97" s="5">
        <v>22.38263888888898</v>
      </c>
      <c r="AN97" s="20">
        <v>1</v>
      </c>
      <c r="AO97" s="6">
        <v>0.0001</v>
      </c>
      <c r="AP97" s="5">
        <v>4</v>
      </c>
      <c r="AQ97" s="127">
        <v>8.825833279662273</v>
      </c>
      <c r="AR97" s="42">
        <v>12</v>
      </c>
      <c r="AS97" s="43">
        <v>0.0001</v>
      </c>
      <c r="AT97">
        <v>2</v>
      </c>
      <c r="AU97">
        <v>0.0001</v>
      </c>
      <c r="AV97" t="s">
        <v>64</v>
      </c>
    </row>
    <row r="98" spans="1:48" ht="12.75">
      <c r="A98">
        <v>25</v>
      </c>
      <c r="B98" t="s">
        <v>64</v>
      </c>
      <c r="C98" s="5">
        <v>0.25</v>
      </c>
      <c r="D98" s="20">
        <v>0.02488416076631539</v>
      </c>
      <c r="E98" s="30">
        <v>9.57308042929222</v>
      </c>
      <c r="F98" s="5">
        <v>24.09988745115447</v>
      </c>
      <c r="G98" s="5">
        <v>2.1666666666666674</v>
      </c>
      <c r="H98" s="20">
        <v>0.026816628803455755</v>
      </c>
      <c r="I98" s="6">
        <v>10.623693082779582</v>
      </c>
      <c r="J98" s="5">
        <v>11.666686436377663</v>
      </c>
      <c r="K98" s="5">
        <v>2.458333333333333</v>
      </c>
      <c r="L98" s="20">
        <v>0.027071788373773387</v>
      </c>
      <c r="M98" s="6">
        <v>10.570498503317221</v>
      </c>
      <c r="N98" s="5">
        <v>11.666683030597689</v>
      </c>
      <c r="O98" s="5">
        <v>3.9583333333333277</v>
      </c>
      <c r="P98" s="20">
        <v>0.028715217795128034</v>
      </c>
      <c r="Q98" s="6">
        <v>11.838519267494977</v>
      </c>
      <c r="R98" s="5">
        <v>11.666676709245213</v>
      </c>
      <c r="S98" s="2">
        <v>0.031944444444444366</v>
      </c>
      <c r="T98" s="20">
        <v>1</v>
      </c>
      <c r="U98" s="6">
        <v>0.0001</v>
      </c>
      <c r="V98" s="5">
        <v>57.705989125305464</v>
      </c>
      <c r="W98" s="5">
        <v>5.799305555555562</v>
      </c>
      <c r="X98" s="20">
        <v>1</v>
      </c>
      <c r="Y98" s="6">
        <v>0.0001</v>
      </c>
      <c r="Z98" s="20">
        <v>12.076401699888041</v>
      </c>
      <c r="AA98" s="5">
        <v>6.3826388888889</v>
      </c>
      <c r="AB98" s="20">
        <v>1</v>
      </c>
      <c r="AC98" s="6">
        <v>0.0001</v>
      </c>
      <c r="AD98" s="5">
        <v>12.222850284823334</v>
      </c>
      <c r="AE98" s="5">
        <v>15.257638888888808</v>
      </c>
      <c r="AF98" s="20">
        <v>1</v>
      </c>
      <c r="AG98" s="6">
        <v>0.0001</v>
      </c>
      <c r="AH98" s="5">
        <v>4</v>
      </c>
      <c r="AI98" s="5">
        <v>15.299305555555474</v>
      </c>
      <c r="AJ98" s="20">
        <v>1</v>
      </c>
      <c r="AK98" s="6">
        <v>0.0001</v>
      </c>
      <c r="AL98" s="5">
        <v>16.25735574844881</v>
      </c>
      <c r="AM98" s="5">
        <v>22.38263888888898</v>
      </c>
      <c r="AN98" s="20">
        <v>1</v>
      </c>
      <c r="AO98" s="6">
        <v>0.0001</v>
      </c>
      <c r="AP98" s="5">
        <v>4</v>
      </c>
      <c r="AQ98" s="127">
        <v>8.825833279662273</v>
      </c>
      <c r="AR98" s="42">
        <v>12</v>
      </c>
      <c r="AS98" s="43">
        <v>0.0001</v>
      </c>
      <c r="AT98">
        <v>2</v>
      </c>
      <c r="AU98">
        <v>0.0001</v>
      </c>
      <c r="AV98" t="s">
        <v>64</v>
      </c>
    </row>
    <row r="99" spans="1:48" ht="12.75">
      <c r="A99">
        <v>26</v>
      </c>
      <c r="B99" t="s">
        <v>64</v>
      </c>
      <c r="C99" s="5">
        <v>0.25</v>
      </c>
      <c r="D99" s="20">
        <v>0.02480348086839418</v>
      </c>
      <c r="E99" s="30">
        <v>9.422111319368309</v>
      </c>
      <c r="F99" s="5">
        <v>24.134778771873755</v>
      </c>
      <c r="G99" s="5">
        <v>2.125</v>
      </c>
      <c r="H99" s="20">
        <v>0.026703415038163425</v>
      </c>
      <c r="I99" s="6">
        <v>10.486376179803274</v>
      </c>
      <c r="J99" s="5">
        <v>11.666686436669561</v>
      </c>
      <c r="K99" s="5">
        <v>2.4166666666666665</v>
      </c>
      <c r="L99" s="20">
        <v>0.026958473805403727</v>
      </c>
      <c r="M99" s="6">
        <v>10.43955345313828</v>
      </c>
      <c r="N99" s="5">
        <v>11.666683085627568</v>
      </c>
      <c r="O99" s="5">
        <v>3.916666666666661</v>
      </c>
      <c r="P99" s="20">
        <v>0.028569563352101257</v>
      </c>
      <c r="Q99" s="6">
        <v>11.71511816914363</v>
      </c>
      <c r="R99" s="5">
        <v>11.666676726062777</v>
      </c>
      <c r="S99" s="2">
        <v>0.031944444444444366</v>
      </c>
      <c r="T99" s="20">
        <v>1</v>
      </c>
      <c r="U99" s="6">
        <v>0.0001</v>
      </c>
      <c r="V99" s="5">
        <v>57.705989125261965</v>
      </c>
      <c r="W99" s="5">
        <v>5.757638888888895</v>
      </c>
      <c r="X99" s="20">
        <v>1</v>
      </c>
      <c r="Y99" s="6">
        <v>0.0001</v>
      </c>
      <c r="Z99" s="20">
        <v>12.076158502391145</v>
      </c>
      <c r="AA99" s="5">
        <v>6.340972222222233</v>
      </c>
      <c r="AB99" s="20">
        <v>1</v>
      </c>
      <c r="AC99" s="6">
        <v>0.0001</v>
      </c>
      <c r="AD99" s="5">
        <v>12.224562149041102</v>
      </c>
      <c r="AE99" s="5">
        <v>15.215972222222142</v>
      </c>
      <c r="AF99" s="20">
        <v>1</v>
      </c>
      <c r="AG99" s="6">
        <v>0.0001</v>
      </c>
      <c r="AH99" s="5">
        <v>4</v>
      </c>
      <c r="AI99" s="5">
        <v>15.257638888888808</v>
      </c>
      <c r="AJ99" s="20">
        <v>1</v>
      </c>
      <c r="AK99" s="6">
        <v>0.0001</v>
      </c>
      <c r="AL99" s="5">
        <v>16.266751941206987</v>
      </c>
      <c r="AM99" s="5">
        <v>22.340972222222312</v>
      </c>
      <c r="AN99" s="20">
        <v>1</v>
      </c>
      <c r="AO99" s="6">
        <v>0.0001</v>
      </c>
      <c r="AP99" s="5">
        <v>4</v>
      </c>
      <c r="AQ99" s="127">
        <v>8.825833279662273</v>
      </c>
      <c r="AR99" s="42">
        <v>12</v>
      </c>
      <c r="AS99" s="43">
        <v>0.0001</v>
      </c>
      <c r="AT99">
        <v>2</v>
      </c>
      <c r="AU99">
        <v>0.0001</v>
      </c>
      <c r="AV99" t="s">
        <v>64</v>
      </c>
    </row>
    <row r="100" spans="1:48" ht="12.75">
      <c r="A100">
        <v>27</v>
      </c>
      <c r="B100" t="s">
        <v>64</v>
      </c>
      <c r="C100" s="5">
        <v>0.29166666666666663</v>
      </c>
      <c r="D100" s="20">
        <v>0.02489087582504307</v>
      </c>
      <c r="E100" s="30">
        <v>9.591833766551812</v>
      </c>
      <c r="F100" s="5">
        <v>24.099086428136296</v>
      </c>
      <c r="G100" s="5">
        <v>2.1666666666666674</v>
      </c>
      <c r="H100" s="20">
        <v>0.027399527370548737</v>
      </c>
      <c r="I100" s="6">
        <v>11.903645268548381</v>
      </c>
      <c r="J100" s="5">
        <v>15.555570168859628</v>
      </c>
      <c r="K100" s="5">
        <v>2.458333333333333</v>
      </c>
      <c r="L100" s="20">
        <v>0.027741438833781773</v>
      </c>
      <c r="M100" s="6">
        <v>11.985964955598668</v>
      </c>
      <c r="N100" s="5">
        <v>15.555566838667476</v>
      </c>
      <c r="O100" s="5">
        <v>3.9583333333333277</v>
      </c>
      <c r="P100" s="20">
        <v>0.02989122718831</v>
      </c>
      <c r="Q100" s="6">
        <v>14.355375016825072</v>
      </c>
      <c r="R100" s="5">
        <v>15.555560803976704</v>
      </c>
      <c r="S100" s="2">
        <v>0.031423611111111034</v>
      </c>
      <c r="T100" s="20">
        <v>1</v>
      </c>
      <c r="U100" s="6">
        <v>0.0001</v>
      </c>
      <c r="V100" s="5">
        <v>57.70750392051363</v>
      </c>
      <c r="W100" s="5">
        <v>5.798263888888895</v>
      </c>
      <c r="X100" s="20">
        <v>1</v>
      </c>
      <c r="Y100" s="6">
        <v>0.0001</v>
      </c>
      <c r="Z100" s="20">
        <v>15.959385514568574</v>
      </c>
      <c r="AA100" s="5">
        <v>6.415451388888901</v>
      </c>
      <c r="AB100" s="20">
        <v>1</v>
      </c>
      <c r="AC100" s="6">
        <v>0.0001</v>
      </c>
      <c r="AD100" s="5">
        <v>14.245440961834081</v>
      </c>
      <c r="AE100" s="5">
        <v>15.25659722222214</v>
      </c>
      <c r="AF100" s="20">
        <v>1</v>
      </c>
      <c r="AG100" s="6">
        <v>0.0001</v>
      </c>
      <c r="AH100" s="5">
        <v>4</v>
      </c>
      <c r="AI100" s="5">
        <v>15.298263888888807</v>
      </c>
      <c r="AJ100" s="20">
        <v>1</v>
      </c>
      <c r="AK100" s="6">
        <v>0.0001</v>
      </c>
      <c r="AL100" s="5">
        <v>16.29308722585349</v>
      </c>
      <c r="AM100" s="5">
        <v>22.38159722222231</v>
      </c>
      <c r="AN100" s="20">
        <v>1</v>
      </c>
      <c r="AO100" s="6">
        <v>0.0001</v>
      </c>
      <c r="AP100" s="5">
        <v>4</v>
      </c>
      <c r="AQ100" s="127">
        <v>8.825833279662273</v>
      </c>
      <c r="AR100" s="42">
        <v>12</v>
      </c>
      <c r="AS100" s="43">
        <v>0.0001</v>
      </c>
      <c r="AT100">
        <v>2</v>
      </c>
      <c r="AU100">
        <v>0.0001</v>
      </c>
      <c r="AV100" t="s">
        <v>64</v>
      </c>
    </row>
    <row r="101" spans="1:48" ht="12.75">
      <c r="A101">
        <v>28</v>
      </c>
      <c r="B101" t="s">
        <v>64</v>
      </c>
      <c r="C101" s="5">
        <v>0.25</v>
      </c>
      <c r="D101" s="20">
        <v>0.02488416076631539</v>
      </c>
      <c r="E101" s="30">
        <v>9.57308042929222</v>
      </c>
      <c r="F101" s="5">
        <v>24.09988745115447</v>
      </c>
      <c r="G101" s="5">
        <v>2.1666666666666674</v>
      </c>
      <c r="H101" s="20">
        <v>0.027382920880038353</v>
      </c>
      <c r="I101" s="6">
        <v>11.876112585108082</v>
      </c>
      <c r="J101" s="5">
        <v>15.555570160598384</v>
      </c>
      <c r="K101" s="5">
        <v>2.458333333333333</v>
      </c>
      <c r="L101" s="20">
        <v>0.027724492894191155</v>
      </c>
      <c r="M101" s="6">
        <v>11.966653389751945</v>
      </c>
      <c r="N101" s="5">
        <v>15.555566854418867</v>
      </c>
      <c r="O101" s="5">
        <v>3.9583333333333277</v>
      </c>
      <c r="P101" s="20">
        <v>0.02987373761580725</v>
      </c>
      <c r="Q101" s="6">
        <v>14.324438960368628</v>
      </c>
      <c r="R101" s="5">
        <v>15.555560812518696</v>
      </c>
      <c r="S101" s="2">
        <v>0.031423611111111034</v>
      </c>
      <c r="T101" s="20">
        <v>1</v>
      </c>
      <c r="U101" s="6">
        <v>0.0001</v>
      </c>
      <c r="V101" s="5">
        <v>57.707503920322495</v>
      </c>
      <c r="W101" s="5">
        <v>5.798263888888895</v>
      </c>
      <c r="X101" s="20">
        <v>1</v>
      </c>
      <c r="Y101" s="6">
        <v>0.0001</v>
      </c>
      <c r="Z101" s="20">
        <v>15.959114353225225</v>
      </c>
      <c r="AA101" s="5">
        <v>6.381597222222234</v>
      </c>
      <c r="AB101" s="20">
        <v>1</v>
      </c>
      <c r="AC101" s="6">
        <v>0.0001</v>
      </c>
      <c r="AD101" s="5">
        <v>14.244829633606722</v>
      </c>
      <c r="AE101" s="5">
        <v>15.25659722222214</v>
      </c>
      <c r="AF101" s="20">
        <v>1</v>
      </c>
      <c r="AG101" s="6">
        <v>0.0001</v>
      </c>
      <c r="AH101" s="5">
        <v>4</v>
      </c>
      <c r="AI101" s="5">
        <v>15.298263888888807</v>
      </c>
      <c r="AJ101" s="20">
        <v>1</v>
      </c>
      <c r="AK101" s="6">
        <v>0.0001</v>
      </c>
      <c r="AL101" s="5">
        <v>16.277925647878227</v>
      </c>
      <c r="AM101" s="5">
        <v>22.38159722222231</v>
      </c>
      <c r="AN101" s="20">
        <v>1</v>
      </c>
      <c r="AO101" s="6">
        <v>0.0001</v>
      </c>
      <c r="AP101" s="5">
        <v>4</v>
      </c>
      <c r="AQ101" s="127">
        <v>8.825833279662273</v>
      </c>
      <c r="AR101" s="42">
        <v>12</v>
      </c>
      <c r="AS101" s="43">
        <v>0.0001</v>
      </c>
      <c r="AT101">
        <v>2</v>
      </c>
      <c r="AU101">
        <v>0.0001</v>
      </c>
      <c r="AV101" t="s">
        <v>64</v>
      </c>
    </row>
    <row r="102" spans="1:48" ht="12.75">
      <c r="A102">
        <v>29</v>
      </c>
      <c r="B102" t="s">
        <v>64</v>
      </c>
      <c r="C102" s="5">
        <v>0.25</v>
      </c>
      <c r="D102" s="20">
        <v>0.02480348086839418</v>
      </c>
      <c r="E102" s="30">
        <v>9.422111319368309</v>
      </c>
      <c r="F102" s="5">
        <v>24.134778771873755</v>
      </c>
      <c r="G102" s="5">
        <v>2.125</v>
      </c>
      <c r="H102" s="20">
        <v>0.027257233259337932</v>
      </c>
      <c r="I102" s="6">
        <v>11.734596851858747</v>
      </c>
      <c r="J102" s="5">
        <v>15.555570193359156</v>
      </c>
      <c r="K102" s="5">
        <v>2.4166666666666665</v>
      </c>
      <c r="L102" s="20">
        <v>0.027597940322319547</v>
      </c>
      <c r="M102" s="6">
        <v>11.821068431447461</v>
      </c>
      <c r="N102" s="5">
        <v>15.555566882196375</v>
      </c>
      <c r="O102" s="5">
        <v>3.916666666666661</v>
      </c>
      <c r="P102" s="20">
        <v>0.029711283430503888</v>
      </c>
      <c r="Q102" s="6">
        <v>14.182985330749492</v>
      </c>
      <c r="R102" s="5">
        <v>15.555560825126792</v>
      </c>
      <c r="S102" s="2">
        <v>0.031423611111111034</v>
      </c>
      <c r="T102" s="20">
        <v>1</v>
      </c>
      <c r="U102" s="6">
        <v>0.0001</v>
      </c>
      <c r="V102" s="5">
        <v>57.70750392025673</v>
      </c>
      <c r="W102" s="5">
        <v>5.756597222222228</v>
      </c>
      <c r="X102" s="20">
        <v>1</v>
      </c>
      <c r="Y102" s="6">
        <v>0.0001</v>
      </c>
      <c r="Z102" s="20">
        <v>15.95881047106571</v>
      </c>
      <c r="AA102" s="5">
        <v>6.339930555555567</v>
      </c>
      <c r="AB102" s="20">
        <v>1</v>
      </c>
      <c r="AC102" s="6">
        <v>0.0001</v>
      </c>
      <c r="AD102" s="5">
        <v>14.24068123893394</v>
      </c>
      <c r="AE102" s="5">
        <v>15.214930555555474</v>
      </c>
      <c r="AF102" s="20">
        <v>1</v>
      </c>
      <c r="AG102" s="6">
        <v>0.0001</v>
      </c>
      <c r="AH102" s="5">
        <v>4</v>
      </c>
      <c r="AI102" s="5">
        <v>15.25659722222214</v>
      </c>
      <c r="AJ102" s="20">
        <v>1</v>
      </c>
      <c r="AK102" s="6">
        <v>0.0001</v>
      </c>
      <c r="AL102" s="5">
        <v>16.285876427942547</v>
      </c>
      <c r="AM102" s="5">
        <v>22.339930555555643</v>
      </c>
      <c r="AN102" s="20">
        <v>1</v>
      </c>
      <c r="AO102" s="6">
        <v>0.0001</v>
      </c>
      <c r="AP102" s="5">
        <v>4</v>
      </c>
      <c r="AQ102" s="127">
        <v>8.825833279662273</v>
      </c>
      <c r="AR102" s="42">
        <v>12</v>
      </c>
      <c r="AS102" s="43">
        <v>0.0001</v>
      </c>
      <c r="AT102">
        <v>2</v>
      </c>
      <c r="AU102">
        <v>0.0001</v>
      </c>
      <c r="AV102" t="s">
        <v>64</v>
      </c>
    </row>
    <row r="103" spans="1:48" ht="12.75">
      <c r="A103">
        <v>30</v>
      </c>
      <c r="B103" t="s">
        <v>64</v>
      </c>
      <c r="C103" s="5">
        <v>0.29166666666666663</v>
      </c>
      <c r="D103" s="20">
        <v>0.024891798310676394</v>
      </c>
      <c r="E103" s="30">
        <v>9.596390107693587</v>
      </c>
      <c r="F103" s="5">
        <v>24.099086428136296</v>
      </c>
      <c r="G103" s="5">
        <v>2.1666666666666674</v>
      </c>
      <c r="H103" s="20">
        <v>0.02705269540255817</v>
      </c>
      <c r="I103" s="6">
        <v>11.195297409318464</v>
      </c>
      <c r="J103" s="5">
        <v>13.652672043358033</v>
      </c>
      <c r="K103" s="5">
        <v>2.458333333333333</v>
      </c>
      <c r="L103" s="20">
        <v>0.02731365858642787</v>
      </c>
      <c r="M103" s="6">
        <v>11.14245292080715</v>
      </c>
      <c r="N103" s="5">
        <v>11.313340656468606</v>
      </c>
      <c r="O103" s="5">
        <v>3.9583333333333277</v>
      </c>
      <c r="P103" s="20">
        <v>0.028920514149468557</v>
      </c>
      <c r="Q103" s="6">
        <v>12.087351409625802</v>
      </c>
      <c r="R103" s="5">
        <v>9.194863347514197</v>
      </c>
      <c r="S103" s="2">
        <v>0.03229166666666659</v>
      </c>
      <c r="T103" s="20">
        <v>1</v>
      </c>
      <c r="U103" s="6">
        <v>0.0001</v>
      </c>
      <c r="V103" s="5">
        <v>57.70696690643325</v>
      </c>
      <c r="W103" s="5">
        <v>5.799479166666673</v>
      </c>
      <c r="X103" s="20">
        <v>1</v>
      </c>
      <c r="Y103" s="6">
        <v>0.0001</v>
      </c>
      <c r="Z103" s="20">
        <v>10.023111904250879</v>
      </c>
      <c r="AA103" s="5">
        <v>6.4223958333333435</v>
      </c>
      <c r="AB103" s="20">
        <v>1</v>
      </c>
      <c r="AC103" s="6">
        <v>0.0001</v>
      </c>
      <c r="AD103" s="5">
        <v>10.755337126678917</v>
      </c>
      <c r="AE103" s="5">
        <v>15.25815972222214</v>
      </c>
      <c r="AF103" s="20">
        <v>1</v>
      </c>
      <c r="AG103" s="6">
        <v>0.0001</v>
      </c>
      <c r="AH103" s="5">
        <v>4</v>
      </c>
      <c r="AI103" s="5">
        <v>15.299999999999919</v>
      </c>
      <c r="AJ103" s="20">
        <v>1</v>
      </c>
      <c r="AK103" s="6">
        <v>0.0001</v>
      </c>
      <c r="AL103" s="5">
        <v>16.273131704753045</v>
      </c>
      <c r="AM103" s="5">
        <v>22.3829861111112</v>
      </c>
      <c r="AN103" s="20">
        <v>1</v>
      </c>
      <c r="AO103" s="6">
        <v>0.0001</v>
      </c>
      <c r="AP103" s="5">
        <v>4</v>
      </c>
      <c r="AQ103" s="127">
        <v>8.825833279662273</v>
      </c>
      <c r="AR103" s="42">
        <v>12</v>
      </c>
      <c r="AS103" s="43">
        <v>0.0001</v>
      </c>
      <c r="AT103">
        <v>2</v>
      </c>
      <c r="AU103">
        <v>0.0001</v>
      </c>
      <c r="AV103" t="s">
        <v>64</v>
      </c>
    </row>
    <row r="104" spans="3:45" ht="12.75">
      <c r="C104" s="5"/>
      <c r="D104" s="20"/>
      <c r="E104" s="30"/>
      <c r="F104" s="5"/>
      <c r="G104" s="5"/>
      <c r="H104" s="20"/>
      <c r="I104" s="6"/>
      <c r="J104" s="5"/>
      <c r="K104" s="5"/>
      <c r="L104" s="20"/>
      <c r="M104" s="6"/>
      <c r="N104" s="5"/>
      <c r="O104" s="5"/>
      <c r="P104" s="20"/>
      <c r="Q104" s="6"/>
      <c r="R104" s="5"/>
      <c r="S104" s="2"/>
      <c r="T104" s="20"/>
      <c r="U104" s="6"/>
      <c r="V104" s="5"/>
      <c r="W104" s="5"/>
      <c r="X104" s="20"/>
      <c r="Y104" s="6"/>
      <c r="Z104" s="20"/>
      <c r="AA104" s="5"/>
      <c r="AB104" s="20"/>
      <c r="AC104" s="6"/>
      <c r="AD104" s="5"/>
      <c r="AE104" s="5"/>
      <c r="AF104" s="20"/>
      <c r="AG104" s="6"/>
      <c r="AH104" s="5"/>
      <c r="AI104" s="5"/>
      <c r="AJ104" s="20"/>
      <c r="AK104" s="6"/>
      <c r="AL104" s="5"/>
      <c r="AM104" s="5"/>
      <c r="AN104" s="20"/>
      <c r="AO104" s="6"/>
      <c r="AP104" s="5"/>
      <c r="AQ104" s="127"/>
      <c r="AR104" s="42"/>
      <c r="AS104" s="43"/>
    </row>
    <row r="105" spans="1:48" ht="12.75">
      <c r="A105">
        <v>1</v>
      </c>
      <c r="B105" t="s">
        <v>66</v>
      </c>
      <c r="C105" s="5">
        <v>0.1890971582975151</v>
      </c>
      <c r="D105" s="20">
        <v>0.20336441811362718</v>
      </c>
      <c r="E105" s="30">
        <v>19582930.056975413</v>
      </c>
      <c r="F105" s="5">
        <v>6.298383328800042</v>
      </c>
      <c r="G105" s="5">
        <v>1.6966503304502507</v>
      </c>
      <c r="H105" s="20">
        <v>0.20579274757396074</v>
      </c>
      <c r="I105" s="6">
        <v>178461152.86958045</v>
      </c>
      <c r="J105" s="5">
        <v>6.371677914175018</v>
      </c>
      <c r="K105" s="5">
        <v>1.7577366285170903</v>
      </c>
      <c r="L105" s="20">
        <v>0.20629759291056354</v>
      </c>
      <c r="M105" s="6">
        <v>197159174.22258487</v>
      </c>
      <c r="N105" s="5">
        <v>6.3719273977027955</v>
      </c>
      <c r="O105" s="5">
        <v>4.565892204288537</v>
      </c>
      <c r="P105" s="20">
        <v>0.21002411929944556</v>
      </c>
      <c r="Q105" s="6">
        <v>739091578.074827</v>
      </c>
      <c r="R105" s="5">
        <v>2.116751260280943</v>
      </c>
      <c r="S105" s="2">
        <v>4.565892204288537</v>
      </c>
      <c r="T105" s="20">
        <v>0.21002411929944556</v>
      </c>
      <c r="U105" s="6">
        <v>739091578.074827</v>
      </c>
      <c r="V105" s="5">
        <v>2.116751260280943</v>
      </c>
      <c r="W105" s="5">
        <v>5.253905306791352</v>
      </c>
      <c r="X105" s="20">
        <v>0.21283664648741646</v>
      </c>
      <c r="Y105" s="6">
        <v>793710793.1577584</v>
      </c>
      <c r="Z105" s="20">
        <v>0.942831083069103</v>
      </c>
      <c r="AA105" s="5">
        <v>5.266310238957399</v>
      </c>
      <c r="AB105" s="20">
        <v>0.2138265003869154</v>
      </c>
      <c r="AC105" s="6">
        <v>856304685.7085491</v>
      </c>
      <c r="AD105" s="5">
        <v>3.2483906512838416</v>
      </c>
      <c r="AE105" s="5">
        <v>8.962060749691467</v>
      </c>
      <c r="AF105" s="20">
        <v>0.2260245603861831</v>
      </c>
      <c r="AG105" s="6">
        <v>980917784.0691334</v>
      </c>
      <c r="AH105" s="5">
        <v>1.3389147923388929</v>
      </c>
      <c r="AI105" s="5">
        <v>8.962117909905611</v>
      </c>
      <c r="AJ105" s="20">
        <v>0.22656787757204958</v>
      </c>
      <c r="AK105" s="6">
        <v>1018222143.4639828</v>
      </c>
      <c r="AL105" s="5">
        <v>7.209479334410451</v>
      </c>
      <c r="AM105" s="5">
        <v>10.000805664670803</v>
      </c>
      <c r="AN105" s="20">
        <v>0.23670178563286504</v>
      </c>
      <c r="AO105" s="6">
        <v>1057352425.5220574</v>
      </c>
      <c r="AP105" s="5">
        <v>1.379306331719162</v>
      </c>
      <c r="AQ105" s="127">
        <v>53.32549947094313</v>
      </c>
      <c r="AR105" s="42">
        <v>3.902340721929154</v>
      </c>
      <c r="AS105" s="43">
        <v>40226079.72720621</v>
      </c>
      <c r="AT105">
        <v>4.621146194337828</v>
      </c>
      <c r="AU105">
        <v>0.11667618754110426</v>
      </c>
      <c r="AV105" t="s">
        <v>66</v>
      </c>
    </row>
    <row r="106" spans="1:48" ht="12.75">
      <c r="A106">
        <v>2</v>
      </c>
      <c r="B106" t="s">
        <v>66</v>
      </c>
      <c r="C106" s="5">
        <v>0.1703415630511485</v>
      </c>
      <c r="D106" s="20">
        <v>0.2033255036901764</v>
      </c>
      <c r="E106" s="30">
        <v>4749936.421597923</v>
      </c>
      <c r="F106" s="5">
        <v>6.297862560788873</v>
      </c>
      <c r="G106" s="5">
        <v>1.694894132711193</v>
      </c>
      <c r="H106" s="20">
        <v>0.20579662998598963</v>
      </c>
      <c r="I106" s="6">
        <v>175168214.751264</v>
      </c>
      <c r="J106" s="5">
        <v>6.372125023066465</v>
      </c>
      <c r="K106" s="5">
        <v>1.7560378018887195</v>
      </c>
      <c r="L106" s="20">
        <v>0.20625994531128614</v>
      </c>
      <c r="M106" s="6">
        <v>193891350.47674176</v>
      </c>
      <c r="N106" s="5">
        <v>6.372416238255199</v>
      </c>
      <c r="O106" s="5">
        <v>4.565188400511425</v>
      </c>
      <c r="P106" s="20">
        <v>0.20998687693083223</v>
      </c>
      <c r="Q106" s="6">
        <v>699370523.73882</v>
      </c>
      <c r="R106" s="5">
        <v>2.116572182754644</v>
      </c>
      <c r="S106" s="2">
        <v>4.565188400511425</v>
      </c>
      <c r="T106" s="20">
        <v>0.20998687693083223</v>
      </c>
      <c r="U106" s="6">
        <v>699370523.73882</v>
      </c>
      <c r="V106" s="5">
        <v>2.116572182754644</v>
      </c>
      <c r="W106" s="5">
        <v>5.2533713386033005</v>
      </c>
      <c r="X106" s="20">
        <v>0.21276079225286731</v>
      </c>
      <c r="Y106" s="6">
        <v>787409944.4110265</v>
      </c>
      <c r="Z106" s="20">
        <v>0.9421792297487188</v>
      </c>
      <c r="AA106" s="5">
        <v>5.265734973251796</v>
      </c>
      <c r="AB106" s="20">
        <v>0.21375131903106703</v>
      </c>
      <c r="AC106" s="6">
        <v>831943304.5125246</v>
      </c>
      <c r="AD106" s="5">
        <v>3.248267660837956</v>
      </c>
      <c r="AE106" s="5">
        <v>8.961765218563022</v>
      </c>
      <c r="AF106" s="20">
        <v>0.22595730698192681</v>
      </c>
      <c r="AG106" s="6">
        <v>947539050.2596209</v>
      </c>
      <c r="AH106" s="5">
        <v>1.3389346047423722</v>
      </c>
      <c r="AI106" s="5">
        <v>8.961834269741095</v>
      </c>
      <c r="AJ106" s="20">
        <v>0.22646498692988135</v>
      </c>
      <c r="AK106" s="6">
        <v>960636124.7967557</v>
      </c>
      <c r="AL106" s="5">
        <v>7.213901783590794</v>
      </c>
      <c r="AM106" s="5">
        <v>10.000491562205564</v>
      </c>
      <c r="AN106" s="20">
        <v>0.2367080998463929</v>
      </c>
      <c r="AO106" s="6">
        <v>987989434.5164144</v>
      </c>
      <c r="AP106" s="5">
        <v>1.379302445084856</v>
      </c>
      <c r="AQ106" s="127">
        <v>53.32549947094313</v>
      </c>
      <c r="AR106" s="42">
        <v>3.902340721929154</v>
      </c>
      <c r="AS106" s="43">
        <v>28975139.29969342</v>
      </c>
      <c r="AT106">
        <v>4.621146194337828</v>
      </c>
      <c r="AU106">
        <v>0.1153867255516074</v>
      </c>
      <c r="AV106" t="s">
        <v>66</v>
      </c>
    </row>
    <row r="107" spans="1:48" ht="12.75">
      <c r="A107">
        <v>3</v>
      </c>
      <c r="B107" t="s">
        <v>66</v>
      </c>
      <c r="C107" s="5">
        <v>0.10881042361798582</v>
      </c>
      <c r="D107" s="20">
        <v>0.20293849776455022</v>
      </c>
      <c r="E107" s="30">
        <v>145270.9499436648</v>
      </c>
      <c r="F107" s="5">
        <v>6.28961059081547</v>
      </c>
      <c r="G107" s="5">
        <v>1.690331763206823</v>
      </c>
      <c r="H107" s="20">
        <v>0.2054602982441249</v>
      </c>
      <c r="I107" s="6">
        <v>174853584.70886365</v>
      </c>
      <c r="J107" s="5">
        <v>6.37963840908621</v>
      </c>
      <c r="K107" s="5">
        <v>1.7516801707186371</v>
      </c>
      <c r="L107" s="20">
        <v>0.20588327839535522</v>
      </c>
      <c r="M107" s="6">
        <v>183156224.24104282</v>
      </c>
      <c r="N107" s="5">
        <v>6.379894337060712</v>
      </c>
      <c r="O107" s="5">
        <v>4.563651143589402</v>
      </c>
      <c r="P107" s="20">
        <v>0.20954069281494825</v>
      </c>
      <c r="Q107" s="6">
        <v>613871092.5915269</v>
      </c>
      <c r="R107" s="5">
        <v>2.1185176391396308</v>
      </c>
      <c r="S107" s="2">
        <v>4.563651143589402</v>
      </c>
      <c r="T107" s="20">
        <v>0.20954069281494825</v>
      </c>
      <c r="U107" s="6">
        <v>613871092.5915269</v>
      </c>
      <c r="V107" s="5">
        <v>2.1185176391396308</v>
      </c>
      <c r="W107" s="5">
        <v>5.251964680460417</v>
      </c>
      <c r="X107" s="20">
        <v>0.21232554683256097</v>
      </c>
      <c r="Y107" s="6">
        <v>694862049.1631659</v>
      </c>
      <c r="Z107" s="20">
        <v>0.9410725841739648</v>
      </c>
      <c r="AA107" s="5">
        <v>5.264428970385602</v>
      </c>
      <c r="AB107" s="20">
        <v>0.21339903312073183</v>
      </c>
      <c r="AC107" s="6">
        <v>738118260.7934105</v>
      </c>
      <c r="AD107" s="5">
        <v>3.2487710844233426</v>
      </c>
      <c r="AE107" s="5">
        <v>8.961102743459966</v>
      </c>
      <c r="AF107" s="20">
        <v>0.22553542689034645</v>
      </c>
      <c r="AG107" s="6">
        <v>859787213.6385545</v>
      </c>
      <c r="AH107" s="5">
        <v>1.3389261391891276</v>
      </c>
      <c r="AI107" s="5">
        <v>8.96099107223511</v>
      </c>
      <c r="AJ107" s="20">
        <v>0.22611785332577597</v>
      </c>
      <c r="AK107" s="6">
        <v>864056239.581677</v>
      </c>
      <c r="AL107" s="5">
        <v>7.229706381102873</v>
      </c>
      <c r="AM107" s="5">
        <v>9.999897440230702</v>
      </c>
      <c r="AN107" s="20">
        <v>0.23629414290496517</v>
      </c>
      <c r="AO107" s="6">
        <v>905387578.3732917</v>
      </c>
      <c r="AP107" s="5">
        <v>1.3793008459481306</v>
      </c>
      <c r="AQ107" s="127">
        <v>53.32549947094313</v>
      </c>
      <c r="AR107" s="42">
        <v>3.902340721929154</v>
      </c>
      <c r="AS107" s="43">
        <v>20513683.236485012</v>
      </c>
      <c r="AT107">
        <v>4.621146194337828</v>
      </c>
      <c r="AU107">
        <v>0.10609965862454707</v>
      </c>
      <c r="AV107" t="s">
        <v>66</v>
      </c>
    </row>
    <row r="108" spans="1:48" ht="12.75">
      <c r="A108">
        <v>4</v>
      </c>
      <c r="B108" t="s">
        <v>66</v>
      </c>
      <c r="C108" s="5">
        <v>0.1890971582975151</v>
      </c>
      <c r="D108" s="20">
        <v>0.20336441811362718</v>
      </c>
      <c r="E108" s="30">
        <v>19582930.056975413</v>
      </c>
      <c r="F108" s="5">
        <v>6.298383328800042</v>
      </c>
      <c r="G108" s="5">
        <v>1.6966503304502507</v>
      </c>
      <c r="H108" s="20">
        <v>0.20661931532740194</v>
      </c>
      <c r="I108" s="6">
        <v>519368174.87654537</v>
      </c>
      <c r="J108" s="5">
        <v>4.991551752472068</v>
      </c>
      <c r="K108" s="5">
        <v>1.7577366285170903</v>
      </c>
      <c r="L108" s="20">
        <v>0.20715099570907525</v>
      </c>
      <c r="M108" s="6">
        <v>534100149.16099244</v>
      </c>
      <c r="N108" s="5">
        <v>4.991267447674646</v>
      </c>
      <c r="O108" s="5">
        <v>4.565892204288537</v>
      </c>
      <c r="P108" s="20">
        <v>0.21224977494597266</v>
      </c>
      <c r="Q108" s="6">
        <v>1903076431.3121908</v>
      </c>
      <c r="R108" s="5">
        <v>1.6512874081097715</v>
      </c>
      <c r="S108" s="2">
        <v>4.565892204288537</v>
      </c>
      <c r="T108" s="20">
        <v>0.21224977494597266</v>
      </c>
      <c r="U108" s="6">
        <v>1903076431.3121908</v>
      </c>
      <c r="V108" s="5">
        <v>1.6512874081097715</v>
      </c>
      <c r="W108" s="5">
        <v>5.253905306791352</v>
      </c>
      <c r="X108" s="20">
        <v>0.21619400196021424</v>
      </c>
      <c r="Y108" s="6">
        <v>2662309934.6053023</v>
      </c>
      <c r="Z108" s="20">
        <v>0.7325430797758222</v>
      </c>
      <c r="AA108" s="5">
        <v>5.266310238957399</v>
      </c>
      <c r="AB108" s="20">
        <v>0.21721730241665305</v>
      </c>
      <c r="AC108" s="6">
        <v>2830241298.6290116</v>
      </c>
      <c r="AD108" s="5">
        <v>2.9795265921678142</v>
      </c>
      <c r="AE108" s="5">
        <v>8.962060749691467</v>
      </c>
      <c r="AF108" s="20">
        <v>0.22907998940725768</v>
      </c>
      <c r="AG108" s="6">
        <v>2940061093.8172913</v>
      </c>
      <c r="AH108" s="5">
        <v>1.4079595411286934</v>
      </c>
      <c r="AI108" s="5">
        <v>8.962117909905611</v>
      </c>
      <c r="AJ108" s="20">
        <v>0.22978531948107472</v>
      </c>
      <c r="AK108" s="6">
        <v>2989167181.1863503</v>
      </c>
      <c r="AL108" s="5">
        <v>7.204012442061402</v>
      </c>
      <c r="AM108" s="5">
        <v>10.000805664670803</v>
      </c>
      <c r="AN108" s="20">
        <v>0.23945957161655856</v>
      </c>
      <c r="AO108" s="6">
        <v>3096648092.9226923</v>
      </c>
      <c r="AP108" s="5">
        <v>1.379306754691056</v>
      </c>
      <c r="AQ108" s="127">
        <v>53.32549947094313</v>
      </c>
      <c r="AR108" s="42">
        <v>3.902340721929154</v>
      </c>
      <c r="AS108" s="43">
        <v>90935460.14037453</v>
      </c>
      <c r="AT108">
        <v>4.621146194337828</v>
      </c>
      <c r="AU108">
        <v>0.26003008202993166</v>
      </c>
      <c r="AV108" t="s">
        <v>66</v>
      </c>
    </row>
    <row r="109" spans="1:48" ht="12.75">
      <c r="A109">
        <v>5</v>
      </c>
      <c r="B109" t="s">
        <v>66</v>
      </c>
      <c r="C109" s="5">
        <v>0.1703415630511485</v>
      </c>
      <c r="D109" s="20">
        <v>0.2033255036901764</v>
      </c>
      <c r="E109" s="30">
        <v>4749936.421597923</v>
      </c>
      <c r="F109" s="5">
        <v>6.297862560788873</v>
      </c>
      <c r="G109" s="5">
        <v>1.694894132711193</v>
      </c>
      <c r="H109" s="20">
        <v>0.20658180501299092</v>
      </c>
      <c r="I109" s="6">
        <v>431560761.57662964</v>
      </c>
      <c r="J109" s="5">
        <v>4.9919661335123475</v>
      </c>
      <c r="K109" s="5">
        <v>1.7560378018887195</v>
      </c>
      <c r="L109" s="20">
        <v>0.2070723524871797</v>
      </c>
      <c r="M109" s="6">
        <v>433868473.092121</v>
      </c>
      <c r="N109" s="5">
        <v>4.991716470908453</v>
      </c>
      <c r="O109" s="5">
        <v>4.565188400511425</v>
      </c>
      <c r="P109" s="20">
        <v>0.2122128752031005</v>
      </c>
      <c r="Q109" s="6">
        <v>1860339899.934243</v>
      </c>
      <c r="R109" s="5">
        <v>1.6510211152699041</v>
      </c>
      <c r="S109" s="2">
        <v>4.565188400511425</v>
      </c>
      <c r="T109" s="20">
        <v>0.2122128752031005</v>
      </c>
      <c r="U109" s="6">
        <v>1860339899.934243</v>
      </c>
      <c r="V109" s="5">
        <v>1.6510211152699041</v>
      </c>
      <c r="W109" s="5">
        <v>5.2533713386033005</v>
      </c>
      <c r="X109" s="20">
        <v>0.2160809933430854</v>
      </c>
      <c r="Y109" s="6">
        <v>2615150126.902155</v>
      </c>
      <c r="Z109" s="20">
        <v>0.7320069818242328</v>
      </c>
      <c r="AA109" s="5">
        <v>5.265734973251796</v>
      </c>
      <c r="AB109" s="20">
        <v>0.21722088927413152</v>
      </c>
      <c r="AC109" s="6">
        <v>2775318446.965546</v>
      </c>
      <c r="AD109" s="5">
        <v>2.9795762892967974</v>
      </c>
      <c r="AE109" s="5">
        <v>8.961765218563022</v>
      </c>
      <c r="AF109" s="20">
        <v>0.22901417238137642</v>
      </c>
      <c r="AG109" s="6">
        <v>2887437249.328279</v>
      </c>
      <c r="AH109" s="5">
        <v>1.407952581008549</v>
      </c>
      <c r="AI109" s="5">
        <v>8.961834269741095</v>
      </c>
      <c r="AJ109" s="20">
        <v>0.22961429152777274</v>
      </c>
      <c r="AK109" s="6">
        <v>2948174211.9514437</v>
      </c>
      <c r="AL109" s="5">
        <v>7.208524999372894</v>
      </c>
      <c r="AM109" s="5">
        <v>10.000491562205564</v>
      </c>
      <c r="AN109" s="20">
        <v>0.2394658361270705</v>
      </c>
      <c r="AO109" s="6">
        <v>3052355212.935785</v>
      </c>
      <c r="AP109" s="5">
        <v>1.3793028686156616</v>
      </c>
      <c r="AQ109" s="127">
        <v>53.32549947094313</v>
      </c>
      <c r="AR109" s="42">
        <v>3.902340721929154</v>
      </c>
      <c r="AS109" s="43">
        <v>90636956.56671512</v>
      </c>
      <c r="AT109">
        <v>4.621146194337828</v>
      </c>
      <c r="AU109">
        <v>0.25778745705519546</v>
      </c>
      <c r="AV109" t="s">
        <v>66</v>
      </c>
    </row>
    <row r="110" spans="1:48" ht="12.75">
      <c r="A110">
        <v>6</v>
      </c>
      <c r="B110" t="s">
        <v>66</v>
      </c>
      <c r="C110" s="5">
        <v>0.10881042361798582</v>
      </c>
      <c r="D110" s="20">
        <v>0.20293849776455022</v>
      </c>
      <c r="E110" s="30">
        <v>145270.9499436648</v>
      </c>
      <c r="F110" s="5">
        <v>6.28961059081547</v>
      </c>
      <c r="G110" s="5">
        <v>1.690331763206823</v>
      </c>
      <c r="H110" s="20">
        <v>0.20620642014781873</v>
      </c>
      <c r="I110" s="6">
        <v>390548880.348254</v>
      </c>
      <c r="J110" s="5">
        <v>4.998704131426008</v>
      </c>
      <c r="K110" s="5">
        <v>1.7516801707186371</v>
      </c>
      <c r="L110" s="20">
        <v>0.20657416052306754</v>
      </c>
      <c r="M110" s="6">
        <v>389732672.4578315</v>
      </c>
      <c r="N110" s="5">
        <v>4.998428403726838</v>
      </c>
      <c r="O110" s="5">
        <v>4.563651143589402</v>
      </c>
      <c r="P110" s="20">
        <v>0.2116546617839486</v>
      </c>
      <c r="Q110" s="6">
        <v>1739584288.2142825</v>
      </c>
      <c r="R110" s="5">
        <v>1.6528370949568063</v>
      </c>
      <c r="S110" s="2">
        <v>4.563651143589402</v>
      </c>
      <c r="T110" s="20">
        <v>0.2116546617839486</v>
      </c>
      <c r="U110" s="6">
        <v>1739584288.2142825</v>
      </c>
      <c r="V110" s="5">
        <v>1.6528370949568063</v>
      </c>
      <c r="W110" s="5">
        <v>5.251964680460417</v>
      </c>
      <c r="X110" s="20">
        <v>0.2156187364039012</v>
      </c>
      <c r="Y110" s="6">
        <v>2460487260.739898</v>
      </c>
      <c r="Z110" s="20">
        <v>0.7314854271307115</v>
      </c>
      <c r="AA110" s="5">
        <v>5.264428970385602</v>
      </c>
      <c r="AB110" s="20">
        <v>0.21664722316195595</v>
      </c>
      <c r="AC110" s="6">
        <v>2610087168.445873</v>
      </c>
      <c r="AD110" s="5">
        <v>2.9797515822744534</v>
      </c>
      <c r="AE110" s="5">
        <v>8.961102743459966</v>
      </c>
      <c r="AF110" s="20">
        <v>0.22870979673018926</v>
      </c>
      <c r="AG110" s="6">
        <v>2721628588.4777474</v>
      </c>
      <c r="AH110" s="5">
        <v>1.4079460693915837</v>
      </c>
      <c r="AI110" s="5">
        <v>8.96099107223511</v>
      </c>
      <c r="AJ110" s="20">
        <v>0.22931241316085937</v>
      </c>
      <c r="AK110" s="6">
        <v>2758067972.2747507</v>
      </c>
      <c r="AL110" s="5">
        <v>7.223889786975726</v>
      </c>
      <c r="AM110" s="5">
        <v>9.999897440230702</v>
      </c>
      <c r="AN110" s="20">
        <v>0.23916111296967413</v>
      </c>
      <c r="AO110" s="6">
        <v>2865234614.610077</v>
      </c>
      <c r="AP110" s="5">
        <v>1.3793013141886534</v>
      </c>
      <c r="AQ110" s="127">
        <v>53.32549947094313</v>
      </c>
      <c r="AR110" s="42">
        <v>3.902340721929154</v>
      </c>
      <c r="AS110" s="43">
        <v>80505833.47313379</v>
      </c>
      <c r="AT110">
        <v>4.621146194337828</v>
      </c>
      <c r="AU110">
        <v>0.24543372587907783</v>
      </c>
      <c r="AV110" t="s">
        <v>66</v>
      </c>
    </row>
    <row r="111" spans="1:48" ht="12.75">
      <c r="A111">
        <v>7</v>
      </c>
      <c r="B111" t="s">
        <v>66</v>
      </c>
      <c r="C111" s="5">
        <v>0.1890971582975151</v>
      </c>
      <c r="D111" s="20">
        <v>0.20336441811362718</v>
      </c>
      <c r="E111" s="30">
        <v>19582930.056975413</v>
      </c>
      <c r="F111" s="5">
        <v>6.298383328800042</v>
      </c>
      <c r="G111" s="5">
        <v>1.6966503304502507</v>
      </c>
      <c r="H111" s="20">
        <v>0.20727822903210186</v>
      </c>
      <c r="I111" s="6">
        <v>1578290585.2534769</v>
      </c>
      <c r="J111" s="5">
        <v>3.867720172638744</v>
      </c>
      <c r="K111" s="5">
        <v>1.7577366285170903</v>
      </c>
      <c r="L111" s="20">
        <v>0.20791326059654136</v>
      </c>
      <c r="M111" s="6">
        <v>1748359783.6993413</v>
      </c>
      <c r="N111" s="5">
        <v>3.8668756452348005</v>
      </c>
      <c r="O111" s="5">
        <v>4.565892204288537</v>
      </c>
      <c r="P111" s="20">
        <v>0.21579976987588567</v>
      </c>
      <c r="Q111" s="6">
        <v>4159548578.2983437</v>
      </c>
      <c r="R111" s="5">
        <v>1.2702643250381322</v>
      </c>
      <c r="S111" s="2">
        <v>4.565892204288537</v>
      </c>
      <c r="T111" s="20">
        <v>0.21579976987588567</v>
      </c>
      <c r="U111" s="6">
        <v>4159548578.2983437</v>
      </c>
      <c r="V111" s="5">
        <v>1.2702643250381322</v>
      </c>
      <c r="W111" s="5">
        <v>5.253905306791352</v>
      </c>
      <c r="X111" s="20">
        <v>0.2211523522002759</v>
      </c>
      <c r="Y111" s="6">
        <v>5537676559.246192</v>
      </c>
      <c r="Z111" s="20">
        <v>0.5606443596308038</v>
      </c>
      <c r="AA111" s="5">
        <v>5.266310238957399</v>
      </c>
      <c r="AB111" s="20">
        <v>0.22195698199151928</v>
      </c>
      <c r="AC111" s="6">
        <v>5856238639.877488</v>
      </c>
      <c r="AD111" s="5">
        <v>3.3307078771124403</v>
      </c>
      <c r="AE111" s="5">
        <v>8.962060749691467</v>
      </c>
      <c r="AF111" s="20">
        <v>0.23391046509774224</v>
      </c>
      <c r="AG111" s="6">
        <v>6005046496.266669</v>
      </c>
      <c r="AH111" s="5">
        <v>1.5022191110603704</v>
      </c>
      <c r="AI111" s="5">
        <v>8.962117909905611</v>
      </c>
      <c r="AJ111" s="20">
        <v>0.23438410232008908</v>
      </c>
      <c r="AK111" s="6">
        <v>6059749901.670228</v>
      </c>
      <c r="AL111" s="5">
        <v>7.201418576069614</v>
      </c>
      <c r="AM111" s="5">
        <v>10.000805664670803</v>
      </c>
      <c r="AN111" s="20">
        <v>0.24369512989211212</v>
      </c>
      <c r="AO111" s="6">
        <v>6145124850.2567005</v>
      </c>
      <c r="AP111" s="5">
        <v>1.3793071265839814</v>
      </c>
      <c r="AQ111" s="127">
        <v>53.32549947094313</v>
      </c>
      <c r="AR111" s="42">
        <v>3.902340721929154</v>
      </c>
      <c r="AS111" s="43">
        <v>430261949.7080997</v>
      </c>
      <c r="AT111">
        <v>4.621146194337828</v>
      </c>
      <c r="AU111">
        <v>0.4476756262913542</v>
      </c>
      <c r="AV111" t="s">
        <v>66</v>
      </c>
    </row>
    <row r="112" spans="1:48" ht="12.75">
      <c r="A112">
        <v>8</v>
      </c>
      <c r="B112" t="s">
        <v>66</v>
      </c>
      <c r="C112" s="5">
        <v>0.1703415630511485</v>
      </c>
      <c r="D112" s="20">
        <v>0.2033255036901764</v>
      </c>
      <c r="E112" s="30">
        <v>4749936.421597923</v>
      </c>
      <c r="F112" s="5">
        <v>6.297862560788873</v>
      </c>
      <c r="G112" s="5">
        <v>1.694894132711193</v>
      </c>
      <c r="H112" s="20">
        <v>0.20724105539964913</v>
      </c>
      <c r="I112" s="6">
        <v>1515484626.1186256</v>
      </c>
      <c r="J112" s="5">
        <v>3.868074990315269</v>
      </c>
      <c r="K112" s="5">
        <v>1.7560378018887195</v>
      </c>
      <c r="L112" s="20">
        <v>0.207876353638309</v>
      </c>
      <c r="M112" s="6">
        <v>1662742433.8762445</v>
      </c>
      <c r="N112" s="5">
        <v>3.8672589362586027</v>
      </c>
      <c r="O112" s="5">
        <v>4.565188400511425</v>
      </c>
      <c r="P112" s="20">
        <v>0.21576337936485923</v>
      </c>
      <c r="Q112" s="6">
        <v>4119341325.6632786</v>
      </c>
      <c r="R112" s="5">
        <v>1.2699189878319024</v>
      </c>
      <c r="S112" s="2">
        <v>4.565188400511425</v>
      </c>
      <c r="T112" s="20">
        <v>0.21576337936485923</v>
      </c>
      <c r="U112" s="6">
        <v>4119341325.6632786</v>
      </c>
      <c r="V112" s="5">
        <v>1.2699189878319024</v>
      </c>
      <c r="W112" s="5">
        <v>5.2533713386033005</v>
      </c>
      <c r="X112" s="20">
        <v>0.22111795464310435</v>
      </c>
      <c r="Y112" s="6">
        <v>5528107090.9476795</v>
      </c>
      <c r="Z112" s="20">
        <v>0.5602333083620543</v>
      </c>
      <c r="AA112" s="5">
        <v>5.265734973251796</v>
      </c>
      <c r="AB112" s="20">
        <v>0.22196022204958685</v>
      </c>
      <c r="AC112" s="6">
        <v>5842871030.92022</v>
      </c>
      <c r="AD112" s="5">
        <v>3.330760699309468</v>
      </c>
      <c r="AE112" s="5">
        <v>8.961765218563022</v>
      </c>
      <c r="AF112" s="20">
        <v>0.23384692044701405</v>
      </c>
      <c r="AG112" s="6">
        <v>5992851664.879116</v>
      </c>
      <c r="AH112" s="5">
        <v>1.5021933714962046</v>
      </c>
      <c r="AI112" s="5">
        <v>8.961834269741095</v>
      </c>
      <c r="AJ112" s="20">
        <v>0.23415062372264</v>
      </c>
      <c r="AK112" s="6">
        <v>6044143751.942606</v>
      </c>
      <c r="AL112" s="5">
        <v>7.205982761261912</v>
      </c>
      <c r="AM112" s="5">
        <v>10.000491562205564</v>
      </c>
      <c r="AN112" s="20">
        <v>0.2434143297514043</v>
      </c>
      <c r="AO112" s="6">
        <v>6128868138.884469</v>
      </c>
      <c r="AP112" s="5">
        <v>1.3793032409606536</v>
      </c>
      <c r="AQ112" s="127">
        <v>53.32549947094313</v>
      </c>
      <c r="AR112" s="42">
        <v>3.902340721929154</v>
      </c>
      <c r="AS112" s="43">
        <v>369655201.4258289</v>
      </c>
      <c r="AT112">
        <v>4.621146194337828</v>
      </c>
      <c r="AU112">
        <v>0.44612871963892164</v>
      </c>
      <c r="AV112" t="s">
        <v>66</v>
      </c>
    </row>
    <row r="113" spans="1:48" ht="12.75">
      <c r="A113">
        <v>9</v>
      </c>
      <c r="B113" t="s">
        <v>66</v>
      </c>
      <c r="C113" s="5">
        <v>0.10881042361798582</v>
      </c>
      <c r="D113" s="20">
        <v>0.20293849776455022</v>
      </c>
      <c r="E113" s="30">
        <v>145270.9499436648</v>
      </c>
      <c r="F113" s="5">
        <v>6.28961059081547</v>
      </c>
      <c r="G113" s="5">
        <v>1.690331763206823</v>
      </c>
      <c r="H113" s="20">
        <v>0.206909890692713</v>
      </c>
      <c r="I113" s="6">
        <v>1364542443.2738</v>
      </c>
      <c r="J113" s="5">
        <v>3.873559782492564</v>
      </c>
      <c r="K113" s="5">
        <v>1.7516801707186371</v>
      </c>
      <c r="L113" s="20">
        <v>0.2074235477357311</v>
      </c>
      <c r="M113" s="6">
        <v>1467604468.1780982</v>
      </c>
      <c r="N113" s="5">
        <v>3.872726767746142</v>
      </c>
      <c r="O113" s="5">
        <v>4.563651143589402</v>
      </c>
      <c r="P113" s="20">
        <v>0.21525927895023267</v>
      </c>
      <c r="Q113" s="6">
        <v>3916647917.7115664</v>
      </c>
      <c r="R113" s="5">
        <v>1.271459362801743</v>
      </c>
      <c r="S113" s="2">
        <v>4.563651143589402</v>
      </c>
      <c r="T113" s="20">
        <v>0.21525927895023267</v>
      </c>
      <c r="U113" s="6">
        <v>3916647917.7115664</v>
      </c>
      <c r="V113" s="5">
        <v>1.271459362801743</v>
      </c>
      <c r="W113" s="5">
        <v>5.251964680460417</v>
      </c>
      <c r="X113" s="20">
        <v>0.22071176497899742</v>
      </c>
      <c r="Y113" s="6">
        <v>5391133741.4681425</v>
      </c>
      <c r="Z113" s="20">
        <v>0.5600321071822536</v>
      </c>
      <c r="AA113" s="5">
        <v>5.264428970385602</v>
      </c>
      <c r="AB113" s="20">
        <v>0.22163225204037204</v>
      </c>
      <c r="AC113" s="6">
        <v>5733653503.32617</v>
      </c>
      <c r="AD113" s="5">
        <v>3.330399590428858</v>
      </c>
      <c r="AE113" s="5">
        <v>8.961102743459966</v>
      </c>
      <c r="AF113" s="20">
        <v>0.23345298973105383</v>
      </c>
      <c r="AG113" s="6">
        <v>5883848307.369</v>
      </c>
      <c r="AH113" s="5">
        <v>1.5021812126552732</v>
      </c>
      <c r="AI113" s="5">
        <v>8.96099107223511</v>
      </c>
      <c r="AJ113" s="20">
        <v>0.23382703998599974</v>
      </c>
      <c r="AK113" s="6">
        <v>5936078650.642407</v>
      </c>
      <c r="AL113" s="5">
        <v>7.2209679251193535</v>
      </c>
      <c r="AM113" s="5">
        <v>9.999897440230702</v>
      </c>
      <c r="AN113" s="20">
        <v>0.2431525915034288</v>
      </c>
      <c r="AO113" s="6">
        <v>6024435041.291301</v>
      </c>
      <c r="AP113" s="5">
        <v>1.3793017257349562</v>
      </c>
      <c r="AQ113" s="127">
        <v>53.32549947094313</v>
      </c>
      <c r="AR113" s="42">
        <v>3.902340721929154</v>
      </c>
      <c r="AS113" s="43">
        <v>356327302.5689393</v>
      </c>
      <c r="AT113">
        <v>4.621146194337828</v>
      </c>
      <c r="AU113">
        <v>0.44105855795967175</v>
      </c>
      <c r="AV113" t="s">
        <v>66</v>
      </c>
    </row>
    <row r="114" spans="1:48" ht="12.75">
      <c r="A114">
        <v>10</v>
      </c>
      <c r="B114" t="s">
        <v>66</v>
      </c>
      <c r="C114" s="5">
        <v>0.1966772817830714</v>
      </c>
      <c r="D114" s="20">
        <v>0.203407020829578</v>
      </c>
      <c r="E114" s="30">
        <v>69208372.21201697</v>
      </c>
      <c r="F114" s="5">
        <v>6.298499123504386</v>
      </c>
      <c r="G114" s="5">
        <v>1.697398612251165</v>
      </c>
      <c r="H114" s="20">
        <v>0.20716005876643834</v>
      </c>
      <c r="I114" s="6">
        <v>1889614684.723487</v>
      </c>
      <c r="J114" s="5">
        <v>5.9978815703502475</v>
      </c>
      <c r="K114" s="5">
        <v>1.7585102200347742</v>
      </c>
      <c r="L114" s="20">
        <v>0.20772976438943858</v>
      </c>
      <c r="M114" s="6">
        <v>1930925214.4890172</v>
      </c>
      <c r="N114" s="5">
        <v>6.215426748535892</v>
      </c>
      <c r="O114" s="5">
        <v>4.56608062959106</v>
      </c>
      <c r="P114" s="20">
        <v>0.21258425358477356</v>
      </c>
      <c r="Q114" s="6">
        <v>2662859447.250549</v>
      </c>
      <c r="R114" s="5">
        <v>4.322107983561007</v>
      </c>
      <c r="S114" s="2">
        <v>4.56608062959106</v>
      </c>
      <c r="T114" s="20">
        <v>0.21258425358477356</v>
      </c>
      <c r="U114" s="6">
        <v>2662859447.250549</v>
      </c>
      <c r="V114" s="5">
        <v>4.322107983561007</v>
      </c>
      <c r="W114" s="5">
        <v>5.254205850218616</v>
      </c>
      <c r="X114" s="20">
        <v>0.2161347825604516</v>
      </c>
      <c r="Y114" s="6">
        <v>3181590886.4244413</v>
      </c>
      <c r="Z114" s="20">
        <v>3.5900181821400343</v>
      </c>
      <c r="AA114" s="5">
        <v>5.266554333032924</v>
      </c>
      <c r="AB114" s="20">
        <v>0.21701249158379862</v>
      </c>
      <c r="AC114" s="6">
        <v>3295577228.5886483</v>
      </c>
      <c r="AD114" s="5">
        <v>3.501227215188558</v>
      </c>
      <c r="AE114" s="5">
        <v>8.962140625996367</v>
      </c>
      <c r="AF114" s="20">
        <v>0.22910756717654662</v>
      </c>
      <c r="AG114" s="6">
        <v>3404057727.3017225</v>
      </c>
      <c r="AH114" s="5">
        <v>1.3821895111778226</v>
      </c>
      <c r="AI114" s="5">
        <v>8.962205833400569</v>
      </c>
      <c r="AJ114" s="20">
        <v>0.2297417718543871</v>
      </c>
      <c r="AK114" s="6">
        <v>3458529176.0915313</v>
      </c>
      <c r="AL114" s="5">
        <v>7.2085122811729265</v>
      </c>
      <c r="AM114" s="5">
        <v>10.000854480327693</v>
      </c>
      <c r="AN114" s="20">
        <v>0.2391854122615369</v>
      </c>
      <c r="AO114" s="6">
        <v>3553426064.25216</v>
      </c>
      <c r="AP114" s="5">
        <v>1.3793056091326552</v>
      </c>
      <c r="AQ114" s="127">
        <v>53.32549947094313</v>
      </c>
      <c r="AR114" s="42">
        <v>3.902340721929154</v>
      </c>
      <c r="AS114" s="43">
        <v>100519574.03364444</v>
      </c>
      <c r="AT114">
        <v>4.621146194337828</v>
      </c>
      <c r="AU114">
        <v>0.2835466645557717</v>
      </c>
      <c r="AV114" t="s">
        <v>66</v>
      </c>
    </row>
    <row r="115" spans="1:48" ht="12.75">
      <c r="A115">
        <v>11</v>
      </c>
      <c r="B115" t="s">
        <v>66</v>
      </c>
      <c r="C115" s="5">
        <v>0.1890971582975151</v>
      </c>
      <c r="D115" s="20">
        <v>0.20336441811362718</v>
      </c>
      <c r="E115" s="30">
        <v>19582930.056975413</v>
      </c>
      <c r="F115" s="5">
        <v>6.298383328800042</v>
      </c>
      <c r="G115" s="5">
        <v>1.6966503304502507</v>
      </c>
      <c r="H115" s="20">
        <v>0.20579274757396074</v>
      </c>
      <c r="I115" s="6">
        <v>178461152.86958045</v>
      </c>
      <c r="J115" s="5">
        <v>6.371677914175018</v>
      </c>
      <c r="K115" s="5">
        <v>1.7577366285170903</v>
      </c>
      <c r="L115" s="20">
        <v>0.20629759291056354</v>
      </c>
      <c r="M115" s="6">
        <v>197159174.22258487</v>
      </c>
      <c r="N115" s="5">
        <v>6.3719273977027955</v>
      </c>
      <c r="O115" s="5">
        <v>4.565892204288537</v>
      </c>
      <c r="P115" s="20">
        <v>0.21002411929944556</v>
      </c>
      <c r="Q115" s="6">
        <v>739091578.074827</v>
      </c>
      <c r="R115" s="5">
        <v>2.116751260280943</v>
      </c>
      <c r="S115" s="2">
        <v>0.0003129445863087318</v>
      </c>
      <c r="T115" s="20">
        <v>0</v>
      </c>
      <c r="U115" s="6">
        <v>707482.7125719246</v>
      </c>
      <c r="V115" s="5">
        <v>0.0026641337316642213</v>
      </c>
      <c r="W115" s="5">
        <v>5.254223200605152</v>
      </c>
      <c r="X115" s="20">
        <v>0</v>
      </c>
      <c r="Y115" s="6">
        <v>883186375.3385142</v>
      </c>
      <c r="Z115" s="20">
        <v>1.4454823289050378</v>
      </c>
      <c r="AA115" s="5">
        <v>5.266627084435428</v>
      </c>
      <c r="AB115" s="20">
        <v>0</v>
      </c>
      <c r="AC115" s="6">
        <v>1000325485.8278258</v>
      </c>
      <c r="AD115" s="5">
        <v>3.125803405766632</v>
      </c>
      <c r="AE115" s="5">
        <v>8.962250988324152</v>
      </c>
      <c r="AF115" s="20">
        <v>0</v>
      </c>
      <c r="AG115" s="6">
        <v>1056161269.9613631</v>
      </c>
      <c r="AH115" s="5">
        <v>1.349209520085651</v>
      </c>
      <c r="AI115" s="5">
        <v>8.962308152307</v>
      </c>
      <c r="AJ115" s="20">
        <v>0</v>
      </c>
      <c r="AK115" s="6">
        <v>1090291317.5308518</v>
      </c>
      <c r="AL115" s="5">
        <v>7.208206356542353</v>
      </c>
      <c r="AM115" s="5">
        <v>10.000982415155864</v>
      </c>
      <c r="AN115" s="20">
        <v>0</v>
      </c>
      <c r="AO115" s="6">
        <v>1129015897.1693063</v>
      </c>
      <c r="AP115" s="5">
        <v>1.3793063094953109</v>
      </c>
      <c r="AQ115" s="127">
        <v>53.32549947094313</v>
      </c>
      <c r="AR115" s="42">
        <v>3.902340721929154</v>
      </c>
      <c r="AS115" s="43">
        <v>34908030.039935544</v>
      </c>
      <c r="AT115">
        <v>4.621146194337828</v>
      </c>
      <c r="AU115">
        <v>0.06682996661613612</v>
      </c>
      <c r="AV115" t="s">
        <v>66</v>
      </c>
    </row>
    <row r="116" spans="1:48" ht="12.75">
      <c r="A116">
        <v>12</v>
      </c>
      <c r="B116" t="s">
        <v>66</v>
      </c>
      <c r="C116" s="5">
        <v>0.1703415630511485</v>
      </c>
      <c r="D116" s="20">
        <v>0.2033255036901764</v>
      </c>
      <c r="E116" s="30">
        <v>4749936.421597923</v>
      </c>
      <c r="F116" s="5">
        <v>6.297862560788873</v>
      </c>
      <c r="G116" s="5">
        <v>1.694894132711193</v>
      </c>
      <c r="H116" s="20">
        <v>0.20579662998598963</v>
      </c>
      <c r="I116" s="6">
        <v>175168214.751264</v>
      </c>
      <c r="J116" s="5">
        <v>6.372125023066465</v>
      </c>
      <c r="K116" s="5">
        <v>1.7560378018887195</v>
      </c>
      <c r="L116" s="20">
        <v>0.20625994531128614</v>
      </c>
      <c r="M116" s="6">
        <v>193891350.47674176</v>
      </c>
      <c r="N116" s="5">
        <v>6.372416238255199</v>
      </c>
      <c r="O116" s="5">
        <v>4.565188400511425</v>
      </c>
      <c r="P116" s="20">
        <v>0.20998687693083223</v>
      </c>
      <c r="Q116" s="6">
        <v>699370523.73882</v>
      </c>
      <c r="R116" s="5">
        <v>2.116572182754644</v>
      </c>
      <c r="S116" s="2">
        <v>0.0003129402758896389</v>
      </c>
      <c r="T116" s="20">
        <v>0</v>
      </c>
      <c r="U116" s="6">
        <v>668479.287004108</v>
      </c>
      <c r="V116" s="5">
        <v>0.0026733224307674414</v>
      </c>
      <c r="W116" s="5">
        <v>5.253689314614873</v>
      </c>
      <c r="X116" s="20">
        <v>0</v>
      </c>
      <c r="Y116" s="6">
        <v>861259882.297214</v>
      </c>
      <c r="Z116" s="20">
        <v>1.4448833558814302</v>
      </c>
      <c r="AA116" s="5">
        <v>5.26605194872886</v>
      </c>
      <c r="AB116" s="20">
        <v>0</v>
      </c>
      <c r="AC116" s="6">
        <v>962995455.0178906</v>
      </c>
      <c r="AD116" s="5">
        <v>3.1256853782086904</v>
      </c>
      <c r="AE116" s="5">
        <v>8.961955486352696</v>
      </c>
      <c r="AF116" s="20">
        <v>0</v>
      </c>
      <c r="AG116" s="6">
        <v>1021790827.9679618</v>
      </c>
      <c r="AH116" s="5">
        <v>1.3492309286676103</v>
      </c>
      <c r="AI116" s="5">
        <v>8.962024522779387</v>
      </c>
      <c r="AJ116" s="20">
        <v>0</v>
      </c>
      <c r="AK116" s="6">
        <v>1044941315.7944186</v>
      </c>
      <c r="AL116" s="5">
        <v>7.212717879024798</v>
      </c>
      <c r="AM116" s="5">
        <v>10.000668325296123</v>
      </c>
      <c r="AN116" s="20">
        <v>0</v>
      </c>
      <c r="AO116" s="6">
        <v>1061096676.7640013</v>
      </c>
      <c r="AP116" s="5">
        <v>1.3793024228771662</v>
      </c>
      <c r="AQ116" s="127">
        <v>53.32549947094313</v>
      </c>
      <c r="AR116" s="42">
        <v>3.902340721929154</v>
      </c>
      <c r="AS116" s="43">
        <v>28857150.383018445</v>
      </c>
      <c r="AT116">
        <v>4.621146194337828</v>
      </c>
      <c r="AU116">
        <v>0.06524258027208983</v>
      </c>
      <c r="AV116" t="s">
        <v>66</v>
      </c>
    </row>
    <row r="117" spans="1:48" ht="12.75">
      <c r="A117">
        <v>13</v>
      </c>
      <c r="B117" t="s">
        <v>66</v>
      </c>
      <c r="C117" s="5">
        <v>0.10881042361798582</v>
      </c>
      <c r="D117" s="20">
        <v>0.20293849776455022</v>
      </c>
      <c r="E117" s="30">
        <v>145270.9499436648</v>
      </c>
      <c r="F117" s="5">
        <v>6.28961059081547</v>
      </c>
      <c r="G117" s="5">
        <v>1.690331763206823</v>
      </c>
      <c r="H117" s="20">
        <v>0.2054602982441249</v>
      </c>
      <c r="I117" s="6">
        <v>174853584.70886365</v>
      </c>
      <c r="J117" s="5">
        <v>6.37963840908621</v>
      </c>
      <c r="K117" s="5">
        <v>1.7516801707186371</v>
      </c>
      <c r="L117" s="20">
        <v>0.20588327839535522</v>
      </c>
      <c r="M117" s="6">
        <v>183156224.24104282</v>
      </c>
      <c r="N117" s="5">
        <v>6.379894337060712</v>
      </c>
      <c r="O117" s="5">
        <v>4.563651143589402</v>
      </c>
      <c r="P117" s="20">
        <v>0.20954069281494825</v>
      </c>
      <c r="Q117" s="6">
        <v>613871092.5915269</v>
      </c>
      <c r="R117" s="5">
        <v>2.1185176391396308</v>
      </c>
      <c r="S117" s="2">
        <v>0.0003132782582817807</v>
      </c>
      <c r="T117" s="20">
        <v>0</v>
      </c>
      <c r="U117" s="6">
        <v>579695.014730928</v>
      </c>
      <c r="V117" s="5">
        <v>0.0026560823408860973</v>
      </c>
      <c r="W117" s="5">
        <v>5.252283167488303</v>
      </c>
      <c r="X117" s="20">
        <v>0</v>
      </c>
      <c r="Y117" s="6">
        <v>773727332.3348819</v>
      </c>
      <c r="Z117" s="20">
        <v>1.4436722019684631</v>
      </c>
      <c r="AA117" s="5">
        <v>5.264746376465182</v>
      </c>
      <c r="AB117" s="20">
        <v>0</v>
      </c>
      <c r="AC117" s="6">
        <v>871786559.7908202</v>
      </c>
      <c r="AD117" s="5">
        <v>3.1262303782205203</v>
      </c>
      <c r="AE117" s="5">
        <v>8.961293301649507</v>
      </c>
      <c r="AF117" s="20">
        <v>0</v>
      </c>
      <c r="AG117" s="6">
        <v>929894054.3030063</v>
      </c>
      <c r="AH117" s="5">
        <v>1.3492331220358418</v>
      </c>
      <c r="AI117" s="5">
        <v>8.961181634069897</v>
      </c>
      <c r="AJ117" s="20">
        <v>0</v>
      </c>
      <c r="AK117" s="6">
        <v>942880783.5924658</v>
      </c>
      <c r="AL117" s="5">
        <v>7.228451204368661</v>
      </c>
      <c r="AM117" s="5">
        <v>10.000074512944957</v>
      </c>
      <c r="AN117" s="20">
        <v>0</v>
      </c>
      <c r="AO117" s="6">
        <v>962852979.5266025</v>
      </c>
      <c r="AP117" s="5">
        <v>1.3793008235975388</v>
      </c>
      <c r="AQ117" s="127">
        <v>53.32549947094313</v>
      </c>
      <c r="AR117" s="42">
        <v>3.902340721929154</v>
      </c>
      <c r="AS117" s="43">
        <v>4398713.30035544</v>
      </c>
      <c r="AT117">
        <v>4.621146194337828</v>
      </c>
      <c r="AU117">
        <v>0.054589364126450664</v>
      </c>
      <c r="AV117" t="s">
        <v>66</v>
      </c>
    </row>
    <row r="118" spans="1:48" ht="12.75">
      <c r="A118">
        <v>14</v>
      </c>
      <c r="B118" t="s">
        <v>66</v>
      </c>
      <c r="C118" s="5">
        <v>0.1890971582975151</v>
      </c>
      <c r="D118" s="20">
        <v>0.20336441811362718</v>
      </c>
      <c r="E118" s="30">
        <v>19582930.056975413</v>
      </c>
      <c r="F118" s="5">
        <v>6.298383328800042</v>
      </c>
      <c r="G118" s="5">
        <v>1.6966503304502507</v>
      </c>
      <c r="H118" s="20">
        <v>0.20661931532740194</v>
      </c>
      <c r="I118" s="6">
        <v>519368174.87654537</v>
      </c>
      <c r="J118" s="5">
        <v>4.991551752472068</v>
      </c>
      <c r="K118" s="5">
        <v>1.7577366285170903</v>
      </c>
      <c r="L118" s="20">
        <v>0.20715099570907525</v>
      </c>
      <c r="M118" s="6">
        <v>534100149.16099244</v>
      </c>
      <c r="N118" s="5">
        <v>4.991267447674646</v>
      </c>
      <c r="O118" s="5">
        <v>4.565892204288537</v>
      </c>
      <c r="P118" s="20">
        <v>0.21224977494597266</v>
      </c>
      <c r="Q118" s="6">
        <v>1903076431.3121908</v>
      </c>
      <c r="R118" s="5">
        <v>1.6512874081097715</v>
      </c>
      <c r="S118" s="2">
        <v>0.0002428258029409857</v>
      </c>
      <c r="T118" s="20">
        <v>0</v>
      </c>
      <c r="U118" s="6">
        <v>1885265.2939904397</v>
      </c>
      <c r="V118" s="5">
        <v>0.004399470725082928</v>
      </c>
      <c r="W118" s="5">
        <v>5.254157267188362</v>
      </c>
      <c r="X118" s="20">
        <v>0</v>
      </c>
      <c r="Y118" s="6">
        <v>2624576177.570917</v>
      </c>
      <c r="Z118" s="20">
        <v>1.3030937076598976</v>
      </c>
      <c r="AA118" s="5">
        <v>5.266561262654644</v>
      </c>
      <c r="AB118" s="20">
        <v>0</v>
      </c>
      <c r="AC118" s="6">
        <v>2790032345.930872</v>
      </c>
      <c r="AD118" s="5">
        <v>3.1249819445414224</v>
      </c>
      <c r="AE118" s="5">
        <v>8.962211828400488</v>
      </c>
      <c r="AF118" s="20">
        <v>0</v>
      </c>
      <c r="AG118" s="6">
        <v>2938794854.658175</v>
      </c>
      <c r="AH118" s="5">
        <v>1.426496700555225</v>
      </c>
      <c r="AI118" s="5">
        <v>8.962268997229144</v>
      </c>
      <c r="AJ118" s="20">
        <v>0</v>
      </c>
      <c r="AK118" s="6">
        <v>2974399197.786551</v>
      </c>
      <c r="AL118" s="5">
        <v>7.203098909489285</v>
      </c>
      <c r="AM118" s="5">
        <v>10.000946327586076</v>
      </c>
      <c r="AN118" s="20">
        <v>0</v>
      </c>
      <c r="AO118" s="6">
        <v>3081237952.361793</v>
      </c>
      <c r="AP118" s="5">
        <v>1.379306733107184</v>
      </c>
      <c r="AQ118" s="127">
        <v>53.32549947094313</v>
      </c>
      <c r="AR118" s="42">
        <v>3.902340721929154</v>
      </c>
      <c r="AS118" s="43">
        <v>82177740.51280911</v>
      </c>
      <c r="AT118">
        <v>4.621146194337828</v>
      </c>
      <c r="AU118">
        <v>0.20173094776570183</v>
      </c>
      <c r="AV118" t="s">
        <v>66</v>
      </c>
    </row>
    <row r="119" spans="1:48" ht="12.75">
      <c r="A119">
        <v>15</v>
      </c>
      <c r="B119" t="s">
        <v>66</v>
      </c>
      <c r="C119" s="5">
        <v>0.1703415630511485</v>
      </c>
      <c r="D119" s="20">
        <v>0.2033255036901764</v>
      </c>
      <c r="E119" s="30">
        <v>4749936.421597923</v>
      </c>
      <c r="F119" s="5">
        <v>6.297862560788873</v>
      </c>
      <c r="G119" s="5">
        <v>1.694894132711193</v>
      </c>
      <c r="H119" s="20">
        <v>0.20658180501299092</v>
      </c>
      <c r="I119" s="6">
        <v>431560761.57662964</v>
      </c>
      <c r="J119" s="5">
        <v>4.9919661335123475</v>
      </c>
      <c r="K119" s="5">
        <v>1.7560378018887195</v>
      </c>
      <c r="L119" s="20">
        <v>0.2070723524871797</v>
      </c>
      <c r="M119" s="6">
        <v>433868473.092121</v>
      </c>
      <c r="N119" s="5">
        <v>4.991716470908453</v>
      </c>
      <c r="O119" s="5">
        <v>4.565188400511425</v>
      </c>
      <c r="P119" s="20">
        <v>0.2122128752031005</v>
      </c>
      <c r="Q119" s="6">
        <v>1860339899.934243</v>
      </c>
      <c r="R119" s="5">
        <v>1.6510211152699041</v>
      </c>
      <c r="S119" s="2">
        <v>0.00024285620814111955</v>
      </c>
      <c r="T119" s="20">
        <v>0</v>
      </c>
      <c r="U119" s="6">
        <v>1843342.3790410243</v>
      </c>
      <c r="V119" s="5">
        <v>0.004397352937454653</v>
      </c>
      <c r="W119" s="5">
        <v>5.253623322637818</v>
      </c>
      <c r="X119" s="20">
        <v>0</v>
      </c>
      <c r="Y119" s="6">
        <v>2575315359.075297</v>
      </c>
      <c r="Z119" s="20">
        <v>1.3026113936152326</v>
      </c>
      <c r="AA119" s="5">
        <v>5.265986064386867</v>
      </c>
      <c r="AB119" s="20">
        <v>0</v>
      </c>
      <c r="AC119" s="6">
        <v>2764558906.8485265</v>
      </c>
      <c r="AD119" s="5">
        <v>3.125060188633282</v>
      </c>
      <c r="AE119" s="5">
        <v>8.961916327148604</v>
      </c>
      <c r="AF119" s="20">
        <v>0</v>
      </c>
      <c r="AG119" s="6">
        <v>2914487919.6557646</v>
      </c>
      <c r="AH119" s="5">
        <v>1.4264844094823936</v>
      </c>
      <c r="AI119" s="5">
        <v>8.961985370815325</v>
      </c>
      <c r="AJ119" s="20">
        <v>0</v>
      </c>
      <c r="AK119" s="6">
        <v>2947635733.466184</v>
      </c>
      <c r="AL119" s="5">
        <v>7.207670053829984</v>
      </c>
      <c r="AM119" s="5">
        <v>10.000632224473229</v>
      </c>
      <c r="AN119" s="20">
        <v>0</v>
      </c>
      <c r="AO119" s="6">
        <v>3045609974.7839565</v>
      </c>
      <c r="AP119" s="5">
        <v>1.3793028470500461</v>
      </c>
      <c r="AQ119" s="127">
        <v>53.32549947094313</v>
      </c>
      <c r="AR119" s="42">
        <v>3.902340721929154</v>
      </c>
      <c r="AS119" s="43">
        <v>82240254.90769777</v>
      </c>
      <c r="AT119">
        <v>4.621146194337828</v>
      </c>
      <c r="AU119">
        <v>0.2000391887159008</v>
      </c>
      <c r="AV119" t="s">
        <v>66</v>
      </c>
    </row>
    <row r="120" spans="1:48" ht="12.75">
      <c r="A120">
        <v>16</v>
      </c>
      <c r="B120" t="s">
        <v>66</v>
      </c>
      <c r="C120" s="5">
        <v>0.10881042361798582</v>
      </c>
      <c r="D120" s="20">
        <v>0.20293849776455022</v>
      </c>
      <c r="E120" s="30">
        <v>145270.9499436648</v>
      </c>
      <c r="F120" s="5">
        <v>6.28961059081547</v>
      </c>
      <c r="G120" s="5">
        <v>1.690331763206823</v>
      </c>
      <c r="H120" s="20">
        <v>0.20620642014781873</v>
      </c>
      <c r="I120" s="6">
        <v>390548880.348254</v>
      </c>
      <c r="J120" s="5">
        <v>4.998704131426008</v>
      </c>
      <c r="K120" s="5">
        <v>1.7516801707186371</v>
      </c>
      <c r="L120" s="20">
        <v>0.20657416052306754</v>
      </c>
      <c r="M120" s="6">
        <v>389732672.4578315</v>
      </c>
      <c r="N120" s="5">
        <v>4.998428403726838</v>
      </c>
      <c r="O120" s="5">
        <v>4.563651143589402</v>
      </c>
      <c r="P120" s="20">
        <v>0.2116546617839486</v>
      </c>
      <c r="Q120" s="6">
        <v>1739584288.2142825</v>
      </c>
      <c r="R120" s="5">
        <v>1.6528370949568063</v>
      </c>
      <c r="S120" s="2">
        <v>0.0002432888022991436</v>
      </c>
      <c r="T120" s="20">
        <v>0</v>
      </c>
      <c r="U120" s="6">
        <v>1722231.436518267</v>
      </c>
      <c r="V120" s="5">
        <v>0.004391270358532296</v>
      </c>
      <c r="W120" s="5">
        <v>5.252217196415857</v>
      </c>
      <c r="X120" s="20">
        <v>0</v>
      </c>
      <c r="Y120" s="6">
        <v>2400857063.507823</v>
      </c>
      <c r="Z120" s="20">
        <v>1.3019688064807542</v>
      </c>
      <c r="AA120" s="5">
        <v>5.264680525760754</v>
      </c>
      <c r="AB120" s="20">
        <v>0</v>
      </c>
      <c r="AC120" s="6">
        <v>2572544350.5585923</v>
      </c>
      <c r="AD120" s="5">
        <v>3.1252083550248573</v>
      </c>
      <c r="AE120" s="5">
        <v>8.961254181474025</v>
      </c>
      <c r="AF120" s="20">
        <v>0</v>
      </c>
      <c r="AG120" s="6">
        <v>2723025420.9883156</v>
      </c>
      <c r="AH120" s="5">
        <v>1.4264701451590218</v>
      </c>
      <c r="AI120" s="5">
        <v>8.961142513578576</v>
      </c>
      <c r="AJ120" s="20">
        <v>0</v>
      </c>
      <c r="AK120" s="6">
        <v>2787186303.172879</v>
      </c>
      <c r="AL120" s="5">
        <v>7.222920266097205</v>
      </c>
      <c r="AM120" s="5">
        <v>10.000038433138178</v>
      </c>
      <c r="AN120" s="20">
        <v>0</v>
      </c>
      <c r="AO120" s="6">
        <v>2875529360.749019</v>
      </c>
      <c r="AP120" s="5">
        <v>1.3793012924705388</v>
      </c>
      <c r="AQ120" s="127">
        <v>53.32549947094313</v>
      </c>
      <c r="AR120" s="42">
        <v>3.902340721929154</v>
      </c>
      <c r="AS120" s="43">
        <v>71079498.17255743</v>
      </c>
      <c r="AT120">
        <v>4.621146194337828</v>
      </c>
      <c r="AU120">
        <v>0.194776148380778</v>
      </c>
      <c r="AV120" t="s">
        <v>66</v>
      </c>
    </row>
    <row r="121" spans="1:48" ht="12.75">
      <c r="A121">
        <v>17</v>
      </c>
      <c r="B121" t="s">
        <v>66</v>
      </c>
      <c r="C121" s="5">
        <v>0.1890971582975151</v>
      </c>
      <c r="D121" s="20">
        <v>0.20336441811362718</v>
      </c>
      <c r="E121" s="30">
        <v>19582930.056975413</v>
      </c>
      <c r="F121" s="5">
        <v>6.298383328800042</v>
      </c>
      <c r="G121" s="5">
        <v>1.6966503304502507</v>
      </c>
      <c r="H121" s="20">
        <v>0.20727822903210186</v>
      </c>
      <c r="I121" s="6">
        <v>1578290585.2534769</v>
      </c>
      <c r="J121" s="5">
        <v>3.867720172638744</v>
      </c>
      <c r="K121" s="5">
        <v>1.7577366285170903</v>
      </c>
      <c r="L121" s="20">
        <v>0.20791326059654136</v>
      </c>
      <c r="M121" s="6">
        <v>1748359783.6993413</v>
      </c>
      <c r="N121" s="5">
        <v>3.8668756452348005</v>
      </c>
      <c r="O121" s="5">
        <v>4.565892204288537</v>
      </c>
      <c r="P121" s="20">
        <v>0.21579976987588567</v>
      </c>
      <c r="Q121" s="6">
        <v>4159548578.2983437</v>
      </c>
      <c r="R121" s="5">
        <v>1.2702643250381322</v>
      </c>
      <c r="S121" s="2">
        <v>0.00020416005113340548</v>
      </c>
      <c r="T121" s="20">
        <v>0</v>
      </c>
      <c r="U121" s="6">
        <v>4082838.8859413126</v>
      </c>
      <c r="V121" s="5">
        <v>0.003452701767699409</v>
      </c>
      <c r="W121" s="5">
        <v>5.254101313995255</v>
      </c>
      <c r="X121" s="20">
        <v>0</v>
      </c>
      <c r="Y121" s="6">
        <v>6038873671.582761</v>
      </c>
      <c r="Z121" s="20">
        <v>1.1867414566795151</v>
      </c>
      <c r="AA121" s="5">
        <v>5.266505376496725</v>
      </c>
      <c r="AB121" s="20">
        <v>0</v>
      </c>
      <c r="AC121" s="6">
        <v>6437131683.252466</v>
      </c>
      <c r="AD121" s="5">
        <v>3.665300693796363</v>
      </c>
      <c r="AE121" s="5">
        <v>8.962178264123613</v>
      </c>
      <c r="AF121" s="20">
        <v>0</v>
      </c>
      <c r="AG121" s="6">
        <v>6596573248.270898</v>
      </c>
      <c r="AH121" s="5">
        <v>1.5267968695965344</v>
      </c>
      <c r="AI121" s="5">
        <v>8.962235436691122</v>
      </c>
      <c r="AJ121" s="20">
        <v>0</v>
      </c>
      <c r="AK121" s="6">
        <v>6652126428.315564</v>
      </c>
      <c r="AL121" s="5">
        <v>7.2009727570367765</v>
      </c>
      <c r="AM121" s="5">
        <v>10.000915579920967</v>
      </c>
      <c r="AN121" s="20">
        <v>0</v>
      </c>
      <c r="AO121" s="6">
        <v>6754463022.266285</v>
      </c>
      <c r="AP121" s="5">
        <v>1.3793071057256552</v>
      </c>
      <c r="AQ121" s="127">
        <v>53.32549947094313</v>
      </c>
      <c r="AR121" s="42">
        <v>3.902340721929154</v>
      </c>
      <c r="AS121" s="43">
        <v>405942994.26964813</v>
      </c>
      <c r="AT121">
        <v>4.621146194337828</v>
      </c>
      <c r="AU121">
        <v>0.41133506208786974</v>
      </c>
      <c r="AV121" t="s">
        <v>66</v>
      </c>
    </row>
    <row r="122" spans="1:48" ht="12.75">
      <c r="A122">
        <v>18</v>
      </c>
      <c r="B122" t="s">
        <v>66</v>
      </c>
      <c r="C122" s="5">
        <v>0.1703415630511485</v>
      </c>
      <c r="D122" s="20">
        <v>0.2033255036901764</v>
      </c>
      <c r="E122" s="30">
        <v>4749936.421597923</v>
      </c>
      <c r="F122" s="5">
        <v>6.297862560788873</v>
      </c>
      <c r="G122" s="5">
        <v>1.694894132711193</v>
      </c>
      <c r="H122" s="20">
        <v>0.20724105539964913</v>
      </c>
      <c r="I122" s="6">
        <v>1515484626.1186256</v>
      </c>
      <c r="J122" s="5">
        <v>3.868074990315269</v>
      </c>
      <c r="K122" s="5">
        <v>1.7560378018887195</v>
      </c>
      <c r="L122" s="20">
        <v>0.207876353638309</v>
      </c>
      <c r="M122" s="6">
        <v>1662742433.8762445</v>
      </c>
      <c r="N122" s="5">
        <v>3.8672589362586027</v>
      </c>
      <c r="O122" s="5">
        <v>4.565188400511425</v>
      </c>
      <c r="P122" s="20">
        <v>0.21576337936485923</v>
      </c>
      <c r="Q122" s="6">
        <v>4119341325.6632786</v>
      </c>
      <c r="R122" s="5">
        <v>1.2699189878319024</v>
      </c>
      <c r="S122" s="2">
        <v>0.00020408531276288605</v>
      </c>
      <c r="T122" s="20">
        <v>0</v>
      </c>
      <c r="U122" s="6">
        <v>4043665.1166205877</v>
      </c>
      <c r="V122" s="5">
        <v>0.003448936955100312</v>
      </c>
      <c r="W122" s="5">
        <v>5.253567362590101</v>
      </c>
      <c r="X122" s="20">
        <v>0</v>
      </c>
      <c r="Y122" s="6">
        <v>6025797881.7606</v>
      </c>
      <c r="Z122" s="20">
        <v>1.1862947328815487</v>
      </c>
      <c r="AA122" s="5">
        <v>5.265930166450623</v>
      </c>
      <c r="AB122" s="20">
        <v>0</v>
      </c>
      <c r="AC122" s="6">
        <v>6426956060.1287</v>
      </c>
      <c r="AD122" s="5">
        <v>3.66535058458818</v>
      </c>
      <c r="AE122" s="5">
        <v>8.961882781867564</v>
      </c>
      <c r="AF122" s="20">
        <v>0</v>
      </c>
      <c r="AG122" s="6">
        <v>6582415206.973181</v>
      </c>
      <c r="AH122" s="5">
        <v>1.526767285471446</v>
      </c>
      <c r="AI122" s="5">
        <v>8.9619518317677</v>
      </c>
      <c r="AJ122" s="20">
        <v>0</v>
      </c>
      <c r="AK122" s="6">
        <v>6635815372.5016775</v>
      </c>
      <c r="AL122" s="5">
        <v>7.205607680185114</v>
      </c>
      <c r="AM122" s="5">
        <v>10.000601484775146</v>
      </c>
      <c r="AN122" s="20">
        <v>0</v>
      </c>
      <c r="AO122" s="6">
        <v>6738184088.469183</v>
      </c>
      <c r="AP122" s="5">
        <v>1.3793032200809519</v>
      </c>
      <c r="AQ122" s="127">
        <v>53.32549947094313</v>
      </c>
      <c r="AR122" s="42">
        <v>3.902340721929154</v>
      </c>
      <c r="AS122" s="43">
        <v>405940208.8381449</v>
      </c>
      <c r="AT122">
        <v>4.621146194337828</v>
      </c>
      <c r="AU122">
        <v>0.40995255899523575</v>
      </c>
      <c r="AV122" t="s">
        <v>66</v>
      </c>
    </row>
    <row r="123" spans="1:48" ht="12.75">
      <c r="A123">
        <v>19</v>
      </c>
      <c r="B123" t="s">
        <v>66</v>
      </c>
      <c r="C123" s="5">
        <v>0.10881042361798582</v>
      </c>
      <c r="D123" s="20">
        <v>0.20293849776455022</v>
      </c>
      <c r="E123" s="30">
        <v>145270.9499436648</v>
      </c>
      <c r="F123" s="5">
        <v>6.28961059081547</v>
      </c>
      <c r="G123" s="5">
        <v>1.690331763206823</v>
      </c>
      <c r="H123" s="20">
        <v>0.206909890692713</v>
      </c>
      <c r="I123" s="6">
        <v>1364542443.2738</v>
      </c>
      <c r="J123" s="5">
        <v>3.873559782492564</v>
      </c>
      <c r="K123" s="5">
        <v>1.7516801707186371</v>
      </c>
      <c r="L123" s="20">
        <v>0.2074235477357311</v>
      </c>
      <c r="M123" s="6">
        <v>1467604468.1780982</v>
      </c>
      <c r="N123" s="5">
        <v>3.872726767746142</v>
      </c>
      <c r="O123" s="5">
        <v>4.563651143589402</v>
      </c>
      <c r="P123" s="20">
        <v>0.21525927895023267</v>
      </c>
      <c r="Q123" s="6">
        <v>3916647917.7115664</v>
      </c>
      <c r="R123" s="5">
        <v>1.271459362801743</v>
      </c>
      <c r="S123" s="2">
        <v>0.0002042004086754068</v>
      </c>
      <c r="T123" s="20">
        <v>0</v>
      </c>
      <c r="U123" s="6">
        <v>3844477.444884071</v>
      </c>
      <c r="V123" s="5">
        <v>0.0034608217044392797</v>
      </c>
      <c r="W123" s="5">
        <v>5.252161209670123</v>
      </c>
      <c r="X123" s="20">
        <v>0</v>
      </c>
      <c r="Y123" s="6">
        <v>5895943136.12221</v>
      </c>
      <c r="Z123" s="20">
        <v>1.1859220851153842</v>
      </c>
      <c r="AA123" s="5">
        <v>5.2646246139296435</v>
      </c>
      <c r="AB123" s="20">
        <v>0</v>
      </c>
      <c r="AC123" s="6">
        <v>6296258765.769665</v>
      </c>
      <c r="AD123" s="5">
        <v>3.6649282066789213</v>
      </c>
      <c r="AE123" s="5">
        <v>8.9612205753631</v>
      </c>
      <c r="AF123" s="20">
        <v>0</v>
      </c>
      <c r="AG123" s="6">
        <v>6471463077.090639</v>
      </c>
      <c r="AH123" s="5">
        <v>1.526756733022105</v>
      </c>
      <c r="AI123" s="5">
        <v>8.961108907953898</v>
      </c>
      <c r="AJ123" s="20">
        <v>0</v>
      </c>
      <c r="AK123" s="6">
        <v>6525206978.397695</v>
      </c>
      <c r="AL123" s="5">
        <v>7.22045211771695</v>
      </c>
      <c r="AM123" s="5">
        <v>10.000007582561567</v>
      </c>
      <c r="AN123" s="20">
        <v>0</v>
      </c>
      <c r="AO123" s="6">
        <v>6633006937.352384</v>
      </c>
      <c r="AP123" s="5">
        <v>1.3793017046997555</v>
      </c>
      <c r="AQ123" s="127">
        <v>53.32549947094313</v>
      </c>
      <c r="AR123" s="42">
        <v>3.902340721929154</v>
      </c>
      <c r="AS123" s="43">
        <v>365763885.2254256</v>
      </c>
      <c r="AT123">
        <v>4.621146194337828</v>
      </c>
      <c r="AU123">
        <v>0.4052698396520373</v>
      </c>
      <c r="AV123" t="s">
        <v>66</v>
      </c>
    </row>
    <row r="124" spans="1:48" ht="12.75">
      <c r="A124">
        <v>20</v>
      </c>
      <c r="B124" t="s">
        <v>66</v>
      </c>
      <c r="C124" s="5">
        <v>0.1966772817830714</v>
      </c>
      <c r="D124" s="20">
        <v>0.203407020829578</v>
      </c>
      <c r="E124" s="30">
        <v>69208372.21201697</v>
      </c>
      <c r="F124" s="5">
        <v>6.298499123504386</v>
      </c>
      <c r="G124" s="5">
        <v>1.697398612251165</v>
      </c>
      <c r="H124" s="20">
        <v>0.20716005876643834</v>
      </c>
      <c r="I124" s="6">
        <v>1889614684.723487</v>
      </c>
      <c r="J124" s="5">
        <v>5.9978815703502475</v>
      </c>
      <c r="K124" s="5">
        <v>1.7585102200347742</v>
      </c>
      <c r="L124" s="20">
        <v>0.20772976438943858</v>
      </c>
      <c r="M124" s="6">
        <v>1930925214.4890172</v>
      </c>
      <c r="N124" s="5">
        <v>6.215426748535892</v>
      </c>
      <c r="O124" s="5">
        <v>4.56608062959106</v>
      </c>
      <c r="P124" s="20">
        <v>0.21258425358477356</v>
      </c>
      <c r="Q124" s="6">
        <v>2662859447.250549</v>
      </c>
      <c r="R124" s="5">
        <v>4.322107983561007</v>
      </c>
      <c r="S124" s="2">
        <v>0.0005968799602538477</v>
      </c>
      <c r="T124" s="20">
        <v>0</v>
      </c>
      <c r="U124" s="6">
        <v>2537421.3188982066</v>
      </c>
      <c r="V124" s="5">
        <v>0.007669013593484782</v>
      </c>
      <c r="W124" s="5">
        <v>5.25454249690114</v>
      </c>
      <c r="X124" s="20">
        <v>0</v>
      </c>
      <c r="Y124" s="6">
        <v>3263349405.2069597</v>
      </c>
      <c r="Z124" s="20">
        <v>3.778833494114891</v>
      </c>
      <c r="AA124" s="5">
        <v>5.266890153419488</v>
      </c>
      <c r="AB124" s="20">
        <v>0</v>
      </c>
      <c r="AC124" s="6">
        <v>3412844442.133504</v>
      </c>
      <c r="AD124" s="5">
        <v>3.514468187733866</v>
      </c>
      <c r="AE124" s="5">
        <v>8.962344866622349</v>
      </c>
      <c r="AF124" s="20">
        <v>0</v>
      </c>
      <c r="AG124" s="6">
        <v>3523551066.9235697</v>
      </c>
      <c r="AH124" s="5">
        <v>1.3964778937866933</v>
      </c>
      <c r="AI124" s="5">
        <v>8.962410097645472</v>
      </c>
      <c r="AJ124" s="20">
        <v>0</v>
      </c>
      <c r="AK124" s="6">
        <v>3565195357.59449</v>
      </c>
      <c r="AL124" s="5">
        <v>7.207328530532546</v>
      </c>
      <c r="AM124" s="5">
        <v>10.001044488889669</v>
      </c>
      <c r="AN124" s="20">
        <v>0</v>
      </c>
      <c r="AO124" s="6">
        <v>3652811358.164494</v>
      </c>
      <c r="AP124" s="5">
        <v>1.3793055888831847</v>
      </c>
      <c r="AQ124" s="127">
        <v>53.32549947094313</v>
      </c>
      <c r="AR124" s="42">
        <v>3.902340721929154</v>
      </c>
      <c r="AS124" s="43">
        <v>106132241.06733626</v>
      </c>
      <c r="AT124">
        <v>4.621146194337828</v>
      </c>
      <c r="AU124">
        <v>0.2168056782503151</v>
      </c>
      <c r="AV124" t="s">
        <v>66</v>
      </c>
    </row>
    <row r="125" spans="1:48" ht="12.75">
      <c r="A125">
        <v>21</v>
      </c>
      <c r="B125" t="s">
        <v>66</v>
      </c>
      <c r="C125" s="5">
        <v>0.1890971582975151</v>
      </c>
      <c r="D125" s="20">
        <v>0.20336441811362718</v>
      </c>
      <c r="E125" s="30">
        <v>19582930.056975413</v>
      </c>
      <c r="F125" s="5">
        <v>6.298383328800042</v>
      </c>
      <c r="G125" s="5">
        <v>1.6966503304502507</v>
      </c>
      <c r="H125" s="20">
        <v>0.20579274757396074</v>
      </c>
      <c r="I125" s="6">
        <v>178461152.86958045</v>
      </c>
      <c r="J125" s="5">
        <v>6.371677914175018</v>
      </c>
      <c r="K125" s="5">
        <v>1.7577366285170903</v>
      </c>
      <c r="L125" s="20">
        <v>0.20629759291056354</v>
      </c>
      <c r="M125" s="6">
        <v>197159174.22258487</v>
      </c>
      <c r="N125" s="5">
        <v>6.3719273977027955</v>
      </c>
      <c r="O125" s="5">
        <v>4.565892204288537</v>
      </c>
      <c r="P125" s="20">
        <v>0.21002411929944556</v>
      </c>
      <c r="Q125" s="6">
        <v>739091578.074827</v>
      </c>
      <c r="R125" s="5">
        <v>2.116751260280943</v>
      </c>
      <c r="S125" s="2">
        <v>0.00029484407714893025</v>
      </c>
      <c r="T125" s="20">
        <v>0</v>
      </c>
      <c r="U125" s="6">
        <v>7018.944734267637</v>
      </c>
      <c r="V125" s="5">
        <v>0.0011281187757690371</v>
      </c>
      <c r="W125" s="5">
        <v>5.254214339143177</v>
      </c>
      <c r="X125" s="20">
        <v>0</v>
      </c>
      <c r="Y125" s="6">
        <v>885612837.7607144</v>
      </c>
      <c r="Z125" s="20">
        <v>1.452227007803399</v>
      </c>
      <c r="AA125" s="5">
        <v>5.26661821692422</v>
      </c>
      <c r="AB125" s="20">
        <v>0</v>
      </c>
      <c r="AC125" s="6">
        <v>983695822.479753</v>
      </c>
      <c r="AD125" s="5">
        <v>3.124750309019536</v>
      </c>
      <c r="AE125" s="5">
        <v>8.96224565462746</v>
      </c>
      <c r="AF125" s="20">
        <v>0</v>
      </c>
      <c r="AG125" s="6">
        <v>1033774763.9605168</v>
      </c>
      <c r="AH125" s="5">
        <v>1.3493500582591627</v>
      </c>
      <c r="AI125" s="5">
        <v>8.962302818543176</v>
      </c>
      <c r="AJ125" s="20">
        <v>0</v>
      </c>
      <c r="AK125" s="6">
        <v>1060266510.2089832</v>
      </c>
      <c r="AL125" s="5">
        <v>7.208193461940058</v>
      </c>
      <c r="AM125" s="5">
        <v>10.00097736444267</v>
      </c>
      <c r="AN125" s="20">
        <v>0</v>
      </c>
      <c r="AO125" s="6">
        <v>1099546711.608923</v>
      </c>
      <c r="AP125" s="5">
        <v>1.3793063092279878</v>
      </c>
      <c r="AQ125" s="127">
        <v>53.32549947094313</v>
      </c>
      <c r="AR125" s="42">
        <v>3.902340721929154</v>
      </c>
      <c r="AS125" s="43">
        <v>34896939.05367966</v>
      </c>
      <c r="AT125">
        <v>4.621146194337828</v>
      </c>
      <c r="AU125">
        <v>0.06223786436509179</v>
      </c>
      <c r="AV125" t="s">
        <v>66</v>
      </c>
    </row>
    <row r="126" spans="1:48" ht="12.75">
      <c r="A126">
        <v>22</v>
      </c>
      <c r="B126" t="s">
        <v>66</v>
      </c>
      <c r="C126" s="5">
        <v>0.1703415630511485</v>
      </c>
      <c r="D126" s="20">
        <v>0.2033255036901764</v>
      </c>
      <c r="E126" s="30">
        <v>4749936.421597923</v>
      </c>
      <c r="F126" s="5">
        <v>6.297862560788873</v>
      </c>
      <c r="G126" s="5">
        <v>1.694894132711193</v>
      </c>
      <c r="H126" s="20">
        <v>0.20579662998598963</v>
      </c>
      <c r="I126" s="6">
        <v>175168214.751264</v>
      </c>
      <c r="J126" s="5">
        <v>6.372125023066465</v>
      </c>
      <c r="K126" s="5">
        <v>1.7560378018887195</v>
      </c>
      <c r="L126" s="20">
        <v>0.20625994531128614</v>
      </c>
      <c r="M126" s="6">
        <v>193891350.47674176</v>
      </c>
      <c r="N126" s="5">
        <v>6.372416238255199</v>
      </c>
      <c r="O126" s="5">
        <v>4.565188400511425</v>
      </c>
      <c r="P126" s="20">
        <v>0.20998687693083223</v>
      </c>
      <c r="Q126" s="6">
        <v>699370523.73882</v>
      </c>
      <c r="R126" s="5">
        <v>2.116572182754644</v>
      </c>
      <c r="S126" s="2">
        <v>0.00029491872556749267</v>
      </c>
      <c r="T126" s="20">
        <v>0</v>
      </c>
      <c r="U126" s="6">
        <v>6657.074936069438</v>
      </c>
      <c r="V126" s="5">
        <v>0.001125845308399433</v>
      </c>
      <c r="W126" s="5">
        <v>5.253680475049771</v>
      </c>
      <c r="X126" s="20">
        <v>0</v>
      </c>
      <c r="Y126" s="6">
        <v>861387158.5787035</v>
      </c>
      <c r="Z126" s="20">
        <v>1.4517564802166918</v>
      </c>
      <c r="AA126" s="5">
        <v>5.266043110168732</v>
      </c>
      <c r="AB126" s="20">
        <v>0</v>
      </c>
      <c r="AC126" s="6">
        <v>947044021.1862575</v>
      </c>
      <c r="AD126" s="5">
        <v>3.1246877981243997</v>
      </c>
      <c r="AE126" s="5">
        <v>8.961950205236231</v>
      </c>
      <c r="AF126" s="20">
        <v>0</v>
      </c>
      <c r="AG126" s="6">
        <v>1000048739.5334218</v>
      </c>
      <c r="AH126" s="5">
        <v>1.349368024779573</v>
      </c>
      <c r="AI126" s="5">
        <v>8.962019241547972</v>
      </c>
      <c r="AJ126" s="20">
        <v>0</v>
      </c>
      <c r="AK126" s="6">
        <v>1015063299.5092951</v>
      </c>
      <c r="AL126" s="5">
        <v>7.212704448192541</v>
      </c>
      <c r="AM126" s="5">
        <v>10.000663321055663</v>
      </c>
      <c r="AN126" s="20">
        <v>0</v>
      </c>
      <c r="AO126" s="6">
        <v>1029692287.1522868</v>
      </c>
      <c r="AP126" s="5">
        <v>1.379302422611301</v>
      </c>
      <c r="AQ126" s="127">
        <v>53.32549947094313</v>
      </c>
      <c r="AR126" s="42">
        <v>3.902340721929154</v>
      </c>
      <c r="AS126" s="43">
        <v>28848036.01752402</v>
      </c>
      <c r="AT126">
        <v>4.621146194337828</v>
      </c>
      <c r="AU126">
        <v>0.06106257316319969</v>
      </c>
      <c r="AV126" t="s">
        <v>66</v>
      </c>
    </row>
    <row r="127" spans="1:48" ht="12.75">
      <c r="A127">
        <v>23</v>
      </c>
      <c r="B127" t="s">
        <v>66</v>
      </c>
      <c r="C127" s="5">
        <v>0.10881042361798582</v>
      </c>
      <c r="D127" s="20">
        <v>0.20293849776455022</v>
      </c>
      <c r="E127" s="30">
        <v>145270.9499436648</v>
      </c>
      <c r="F127" s="5">
        <v>6.28961059081547</v>
      </c>
      <c r="G127" s="5">
        <v>1.690331763206823</v>
      </c>
      <c r="H127" s="20">
        <v>0.2054602982441249</v>
      </c>
      <c r="I127" s="6">
        <v>174853584.70886365</v>
      </c>
      <c r="J127" s="5">
        <v>6.37963840908621</v>
      </c>
      <c r="K127" s="5">
        <v>1.7516801707186371</v>
      </c>
      <c r="L127" s="20">
        <v>0.20588327839535522</v>
      </c>
      <c r="M127" s="6">
        <v>183156224.24104282</v>
      </c>
      <c r="N127" s="5">
        <v>6.379894337060712</v>
      </c>
      <c r="O127" s="5">
        <v>4.563651143589402</v>
      </c>
      <c r="P127" s="20">
        <v>0.20954069281494825</v>
      </c>
      <c r="Q127" s="6">
        <v>613871092.5915269</v>
      </c>
      <c r="R127" s="5">
        <v>2.1185176391396308</v>
      </c>
      <c r="S127" s="2">
        <v>0.0002948486982652344</v>
      </c>
      <c r="T127" s="20">
        <v>0</v>
      </c>
      <c r="U127" s="6">
        <v>5906.713283516051</v>
      </c>
      <c r="V127" s="5">
        <v>0.0011339356069621275</v>
      </c>
      <c r="W127" s="5">
        <v>5.252274258696622</v>
      </c>
      <c r="X127" s="20">
        <v>0</v>
      </c>
      <c r="Y127" s="6">
        <v>773267309.5571216</v>
      </c>
      <c r="Z127" s="20">
        <v>1.4506495142414662</v>
      </c>
      <c r="AA127" s="5">
        <v>5.264737457685988</v>
      </c>
      <c r="AB127" s="20">
        <v>0</v>
      </c>
      <c r="AC127" s="6">
        <v>836136784.773026</v>
      </c>
      <c r="AD127" s="5">
        <v>3.125320752814362</v>
      </c>
      <c r="AE127" s="5">
        <v>8.96128788968238</v>
      </c>
      <c r="AF127" s="20">
        <v>0</v>
      </c>
      <c r="AG127" s="6">
        <v>864504841.6461604</v>
      </c>
      <c r="AH127" s="5">
        <v>1.3493710391006029</v>
      </c>
      <c r="AI127" s="5">
        <v>8.961176221769204</v>
      </c>
      <c r="AJ127" s="20">
        <v>0</v>
      </c>
      <c r="AK127" s="6">
        <v>868411275.6150347</v>
      </c>
      <c r="AL127" s="5">
        <v>7.228435520253492</v>
      </c>
      <c r="AM127" s="5">
        <v>10.00006939555851</v>
      </c>
      <c r="AN127" s="20">
        <v>0</v>
      </c>
      <c r="AO127" s="6">
        <v>891282849.3738546</v>
      </c>
      <c r="AP127" s="5">
        <v>1.3793008233200306</v>
      </c>
      <c r="AQ127" s="127">
        <v>53.32549947094313</v>
      </c>
      <c r="AR127" s="42">
        <v>3.902340721929154</v>
      </c>
      <c r="AS127" s="43">
        <v>4423217.427962084</v>
      </c>
      <c r="AT127">
        <v>4.621146194337828</v>
      </c>
      <c r="AU127">
        <v>0.0506064336178334</v>
      </c>
      <c r="AV127" t="s">
        <v>66</v>
      </c>
    </row>
    <row r="128" spans="1:48" ht="12.75">
      <c r="A128">
        <v>24</v>
      </c>
      <c r="B128" t="s">
        <v>66</v>
      </c>
      <c r="C128" s="5">
        <v>0.1890971582975151</v>
      </c>
      <c r="D128" s="20">
        <v>0.20336441811362718</v>
      </c>
      <c r="E128" s="30">
        <v>19582930.056975413</v>
      </c>
      <c r="F128" s="5">
        <v>6.298383328800042</v>
      </c>
      <c r="G128" s="5">
        <v>1.6966503304502507</v>
      </c>
      <c r="H128" s="20">
        <v>0.20661931532740194</v>
      </c>
      <c r="I128" s="6">
        <v>519368174.87654537</v>
      </c>
      <c r="J128" s="5">
        <v>4.991551752472068</v>
      </c>
      <c r="K128" s="5">
        <v>1.7577366285170903</v>
      </c>
      <c r="L128" s="20">
        <v>0.20715099570907525</v>
      </c>
      <c r="M128" s="6">
        <v>534100149.16099244</v>
      </c>
      <c r="N128" s="5">
        <v>4.991267447674646</v>
      </c>
      <c r="O128" s="5">
        <v>4.565892204288537</v>
      </c>
      <c r="P128" s="20">
        <v>0.21224977494597266</v>
      </c>
      <c r="Q128" s="6">
        <v>1903076431.3121908</v>
      </c>
      <c r="R128" s="5">
        <v>1.6512874081097715</v>
      </c>
      <c r="S128" s="2">
        <v>0.0002559521623475724</v>
      </c>
      <c r="T128" s="20">
        <v>0</v>
      </c>
      <c r="U128" s="6">
        <v>18134.053553916445</v>
      </c>
      <c r="V128" s="5">
        <v>0.0007190628819367171</v>
      </c>
      <c r="W128" s="5">
        <v>5.254163608830454</v>
      </c>
      <c r="X128" s="20">
        <v>0</v>
      </c>
      <c r="Y128" s="6">
        <v>2507488582.4788513</v>
      </c>
      <c r="Z128" s="20">
        <v>1.2957919571395946</v>
      </c>
      <c r="AA128" s="5">
        <v>5.266567601996079</v>
      </c>
      <c r="AB128" s="20">
        <v>0</v>
      </c>
      <c r="AC128" s="6">
        <v>2652599340.694271</v>
      </c>
      <c r="AD128" s="5">
        <v>3.1227987879665404</v>
      </c>
      <c r="AE128" s="5">
        <v>8.96221565560162</v>
      </c>
      <c r="AF128" s="20">
        <v>0</v>
      </c>
      <c r="AG128" s="6">
        <v>2765554808.9751635</v>
      </c>
      <c r="AH128" s="5">
        <v>1.4262873168215688</v>
      </c>
      <c r="AI128" s="5">
        <v>8.962272823915892</v>
      </c>
      <c r="AJ128" s="20">
        <v>0</v>
      </c>
      <c r="AK128" s="6">
        <v>2799097644.351009</v>
      </c>
      <c r="AL128" s="5">
        <v>7.203104726571743</v>
      </c>
      <c r="AM128" s="5">
        <v>10.000949997488586</v>
      </c>
      <c r="AN128" s="20">
        <v>0</v>
      </c>
      <c r="AO128" s="6">
        <v>2880198245.032535</v>
      </c>
      <c r="AP128" s="5">
        <v>1.379306733342054</v>
      </c>
      <c r="AQ128" s="127">
        <v>53.32549947094313</v>
      </c>
      <c r="AR128" s="42">
        <v>3.902340721929154</v>
      </c>
      <c r="AS128" s="43">
        <v>79569032.18572582</v>
      </c>
      <c r="AT128">
        <v>4.621146194337828</v>
      </c>
      <c r="AU128">
        <v>0.17978171116072117</v>
      </c>
      <c r="AV128" t="s">
        <v>66</v>
      </c>
    </row>
    <row r="129" spans="1:48" ht="12.75">
      <c r="A129">
        <v>25</v>
      </c>
      <c r="B129" t="s">
        <v>66</v>
      </c>
      <c r="C129" s="5">
        <v>0.1703415630511485</v>
      </c>
      <c r="D129" s="20">
        <v>0.2033255036901764</v>
      </c>
      <c r="E129" s="30">
        <v>4749936.421597923</v>
      </c>
      <c r="F129" s="5">
        <v>6.297862560788873</v>
      </c>
      <c r="G129" s="5">
        <v>1.694894132711193</v>
      </c>
      <c r="H129" s="20">
        <v>0.20658180501299092</v>
      </c>
      <c r="I129" s="6">
        <v>431560761.57662964</v>
      </c>
      <c r="J129" s="5">
        <v>4.9919661335123475</v>
      </c>
      <c r="K129" s="5">
        <v>1.7560378018887195</v>
      </c>
      <c r="L129" s="20">
        <v>0.2070723524871797</v>
      </c>
      <c r="M129" s="6">
        <v>433868473.092121</v>
      </c>
      <c r="N129" s="5">
        <v>4.991716470908453</v>
      </c>
      <c r="O129" s="5">
        <v>4.565188400511425</v>
      </c>
      <c r="P129" s="20">
        <v>0.2122128752031005</v>
      </c>
      <c r="Q129" s="6">
        <v>1860339899.934243</v>
      </c>
      <c r="R129" s="5">
        <v>1.6510211152699041</v>
      </c>
      <c r="S129" s="2">
        <v>0.00025573802812619244</v>
      </c>
      <c r="T129" s="20">
        <v>0</v>
      </c>
      <c r="U129" s="6">
        <v>17720.060868903256</v>
      </c>
      <c r="V129" s="5">
        <v>0.0007209574102079054</v>
      </c>
      <c r="W129" s="5">
        <v>5.25362974744294</v>
      </c>
      <c r="X129" s="20">
        <v>0</v>
      </c>
      <c r="Y129" s="6">
        <v>2456499458.466928</v>
      </c>
      <c r="Z129" s="20">
        <v>1.295535589591466</v>
      </c>
      <c r="AA129" s="5">
        <v>5.265992489240387</v>
      </c>
      <c r="AB129" s="20">
        <v>0</v>
      </c>
      <c r="AC129" s="6">
        <v>2621569142.3062234</v>
      </c>
      <c r="AD129" s="5">
        <v>3.1229164603654307</v>
      </c>
      <c r="AE129" s="5">
        <v>8.961920131110618</v>
      </c>
      <c r="AF129" s="20">
        <v>0</v>
      </c>
      <c r="AG129" s="6">
        <v>2739557568.0653996</v>
      </c>
      <c r="AH129" s="5">
        <v>1.4262784581634596</v>
      </c>
      <c r="AI129" s="5">
        <v>8.961989174316807</v>
      </c>
      <c r="AJ129" s="20">
        <v>0</v>
      </c>
      <c r="AK129" s="6">
        <v>2768723190.731471</v>
      </c>
      <c r="AL129" s="5">
        <v>7.207675433574025</v>
      </c>
      <c r="AM129" s="5">
        <v>10.000635875669666</v>
      </c>
      <c r="AN129" s="20">
        <v>0</v>
      </c>
      <c r="AO129" s="6">
        <v>2840367840.1220126</v>
      </c>
      <c r="AP129" s="5">
        <v>1.379302847284032</v>
      </c>
      <c r="AQ129" s="127">
        <v>53.32549947094313</v>
      </c>
      <c r="AR129" s="42">
        <v>3.902340721929154</v>
      </c>
      <c r="AS129" s="43">
        <v>79437135.70194927</v>
      </c>
      <c r="AT129">
        <v>4.621146194337828</v>
      </c>
      <c r="AU129">
        <v>0.17930424722780774</v>
      </c>
      <c r="AV129" t="s">
        <v>66</v>
      </c>
    </row>
    <row r="130" spans="1:48" ht="12.75">
      <c r="A130">
        <v>26</v>
      </c>
      <c r="B130" t="s">
        <v>66</v>
      </c>
      <c r="C130" s="5">
        <v>0.10881042361798582</v>
      </c>
      <c r="D130" s="20">
        <v>0.20293849776455022</v>
      </c>
      <c r="E130" s="30">
        <v>145270.9499436648</v>
      </c>
      <c r="F130" s="5">
        <v>6.28961059081547</v>
      </c>
      <c r="G130" s="5">
        <v>1.690331763206823</v>
      </c>
      <c r="H130" s="20">
        <v>0.20620642014781873</v>
      </c>
      <c r="I130" s="6">
        <v>390548880.348254</v>
      </c>
      <c r="J130" s="5">
        <v>4.998704131426008</v>
      </c>
      <c r="K130" s="5">
        <v>1.7516801707186371</v>
      </c>
      <c r="L130" s="20">
        <v>0.20657416052306754</v>
      </c>
      <c r="M130" s="6">
        <v>389732672.4578315</v>
      </c>
      <c r="N130" s="5">
        <v>4.998428403726838</v>
      </c>
      <c r="O130" s="5">
        <v>4.563651143589402</v>
      </c>
      <c r="P130" s="20">
        <v>0.2116546617839486</v>
      </c>
      <c r="Q130" s="6">
        <v>1739584288.2142825</v>
      </c>
      <c r="R130" s="5">
        <v>1.6528370949568063</v>
      </c>
      <c r="S130" s="2">
        <v>0.0002559378733058589</v>
      </c>
      <c r="T130" s="20">
        <v>0</v>
      </c>
      <c r="U130" s="6">
        <v>16566.829211858778</v>
      </c>
      <c r="V130" s="5">
        <v>0.0007180579215851887</v>
      </c>
      <c r="W130" s="5">
        <v>5.252223597792177</v>
      </c>
      <c r="X130" s="20">
        <v>0</v>
      </c>
      <c r="Y130" s="6">
        <v>2285309654.749095</v>
      </c>
      <c r="Z130" s="20">
        <v>1.2953240797602599</v>
      </c>
      <c r="AA130" s="5">
        <v>5.264686916645281</v>
      </c>
      <c r="AB130" s="20">
        <v>0</v>
      </c>
      <c r="AC130" s="6">
        <v>2448104132.0548816</v>
      </c>
      <c r="AD130" s="5">
        <v>3.123116645049987</v>
      </c>
      <c r="AE130" s="5">
        <v>8.961257994864582</v>
      </c>
      <c r="AF130" s="20">
        <v>0</v>
      </c>
      <c r="AG130" s="6">
        <v>2551746688.107838</v>
      </c>
      <c r="AH130" s="5">
        <v>1.4262826058814886</v>
      </c>
      <c r="AI130" s="5">
        <v>8.961146327167327</v>
      </c>
      <c r="AJ130" s="20">
        <v>0</v>
      </c>
      <c r="AK130" s="6">
        <v>2605598858.9121003</v>
      </c>
      <c r="AL130" s="5">
        <v>7.222929161756136</v>
      </c>
      <c r="AM130" s="5">
        <v>10.000042054831418</v>
      </c>
      <c r="AN130" s="20">
        <v>0</v>
      </c>
      <c r="AO130" s="6">
        <v>2670810975.3716383</v>
      </c>
      <c r="AP130" s="5">
        <v>1.3793012926970571</v>
      </c>
      <c r="AQ130" s="127">
        <v>53.32549947094313</v>
      </c>
      <c r="AR130" s="42">
        <v>3.902340721929154</v>
      </c>
      <c r="AS130" s="43">
        <v>67791676.9653622</v>
      </c>
      <c r="AT130">
        <v>4.621146194337828</v>
      </c>
      <c r="AU130">
        <v>0.17301054250151307</v>
      </c>
      <c r="AV130" t="s">
        <v>66</v>
      </c>
    </row>
    <row r="131" spans="1:48" ht="12.75">
      <c r="A131">
        <v>27</v>
      </c>
      <c r="B131" t="s">
        <v>66</v>
      </c>
      <c r="C131" s="5">
        <v>0.1890971582975151</v>
      </c>
      <c r="D131" s="20">
        <v>0.20336441811362718</v>
      </c>
      <c r="E131" s="30">
        <v>19582930.056975413</v>
      </c>
      <c r="F131" s="5">
        <v>6.298383328800042</v>
      </c>
      <c r="G131" s="5">
        <v>1.6966503304502507</v>
      </c>
      <c r="H131" s="20">
        <v>0.20727822903210186</v>
      </c>
      <c r="I131" s="6">
        <v>1578290585.2534769</v>
      </c>
      <c r="J131" s="5">
        <v>3.867720172638744</v>
      </c>
      <c r="K131" s="5">
        <v>1.7577366285170903</v>
      </c>
      <c r="L131" s="20">
        <v>0.20791326059654136</v>
      </c>
      <c r="M131" s="6">
        <v>1748359783.6993413</v>
      </c>
      <c r="N131" s="5">
        <v>3.8668756452348005</v>
      </c>
      <c r="O131" s="5">
        <v>4.565892204288537</v>
      </c>
      <c r="P131" s="20">
        <v>0.21579976987588567</v>
      </c>
      <c r="Q131" s="6">
        <v>4159548578.2983437</v>
      </c>
      <c r="R131" s="5">
        <v>1.2702643250381322</v>
      </c>
      <c r="S131" s="2">
        <v>0.00021550277785369195</v>
      </c>
      <c r="T131" s="20">
        <v>0</v>
      </c>
      <c r="U131" s="6">
        <v>39085.06946241207</v>
      </c>
      <c r="V131" s="5">
        <v>0.0006713534808456113</v>
      </c>
      <c r="W131" s="5">
        <v>5.254107530699378</v>
      </c>
      <c r="X131" s="20">
        <v>0</v>
      </c>
      <c r="Y131" s="6">
        <v>5655041011.673851</v>
      </c>
      <c r="Z131" s="20">
        <v>1.1795109315794317</v>
      </c>
      <c r="AA131" s="5">
        <v>5.266511598417057</v>
      </c>
      <c r="AB131" s="20">
        <v>0</v>
      </c>
      <c r="AC131" s="6">
        <v>5997914611.045004</v>
      </c>
      <c r="AD131" s="5">
        <v>3.661752590463093</v>
      </c>
      <c r="AE131" s="5">
        <v>8.962182073907291</v>
      </c>
      <c r="AF131" s="20">
        <v>0</v>
      </c>
      <c r="AG131" s="6">
        <v>6123495456.521801</v>
      </c>
      <c r="AH131" s="5">
        <v>1.5265836415665859</v>
      </c>
      <c r="AI131" s="5">
        <v>8.962239246216573</v>
      </c>
      <c r="AJ131" s="20">
        <v>0</v>
      </c>
      <c r="AK131" s="6">
        <v>6166978288.8619795</v>
      </c>
      <c r="AL131" s="5">
        <v>7.200977892043169</v>
      </c>
      <c r="AM131" s="5">
        <v>10.000919107589326</v>
      </c>
      <c r="AN131" s="20">
        <v>0</v>
      </c>
      <c r="AO131" s="6">
        <v>6233514532.810798</v>
      </c>
      <c r="AP131" s="5">
        <v>1.3793071059335802</v>
      </c>
      <c r="AQ131" s="127">
        <v>53.32549947094313</v>
      </c>
      <c r="AR131" s="42">
        <v>3.902340721929154</v>
      </c>
      <c r="AS131" s="43">
        <v>397002742.6969576</v>
      </c>
      <c r="AT131">
        <v>4.621146194337828</v>
      </c>
      <c r="AU131">
        <v>0.361168577612294</v>
      </c>
      <c r="AV131" t="s">
        <v>66</v>
      </c>
    </row>
    <row r="132" spans="1:48" ht="12.75">
      <c r="A132">
        <v>28</v>
      </c>
      <c r="B132" t="s">
        <v>66</v>
      </c>
      <c r="C132" s="5">
        <v>0.1703415630511485</v>
      </c>
      <c r="D132" s="20">
        <v>0.2033255036901764</v>
      </c>
      <c r="E132" s="30">
        <v>4749936.421597923</v>
      </c>
      <c r="F132" s="5">
        <v>6.297862560788873</v>
      </c>
      <c r="G132" s="5">
        <v>1.694894132711193</v>
      </c>
      <c r="H132" s="20">
        <v>0.20724105539964913</v>
      </c>
      <c r="I132" s="6">
        <v>1515484626.1186256</v>
      </c>
      <c r="J132" s="5">
        <v>3.868074990315269</v>
      </c>
      <c r="K132" s="5">
        <v>1.7560378018887195</v>
      </c>
      <c r="L132" s="20">
        <v>0.207876353638309</v>
      </c>
      <c r="M132" s="6">
        <v>1662742433.8762445</v>
      </c>
      <c r="N132" s="5">
        <v>3.8672589362586027</v>
      </c>
      <c r="O132" s="5">
        <v>4.565188400511425</v>
      </c>
      <c r="P132" s="20">
        <v>0.21576337936485923</v>
      </c>
      <c r="Q132" s="6">
        <v>4119341325.6632786</v>
      </c>
      <c r="R132" s="5">
        <v>1.2699189878319024</v>
      </c>
      <c r="S132" s="2">
        <v>0.00021543908283149638</v>
      </c>
      <c r="T132" s="20">
        <v>0</v>
      </c>
      <c r="U132" s="6">
        <v>38703.25256342324</v>
      </c>
      <c r="V132" s="5">
        <v>0.0006738472473371154</v>
      </c>
      <c r="W132" s="5">
        <v>5.253573639422942</v>
      </c>
      <c r="X132" s="20">
        <v>0</v>
      </c>
      <c r="Y132" s="6">
        <v>5636786506.136173</v>
      </c>
      <c r="Z132" s="20">
        <v>1.179119620726155</v>
      </c>
      <c r="AA132" s="5">
        <v>5.265936455750777</v>
      </c>
      <c r="AB132" s="20">
        <v>0</v>
      </c>
      <c r="AC132" s="6">
        <v>5982974720.78887</v>
      </c>
      <c r="AD132" s="5">
        <v>3.6618338565796202</v>
      </c>
      <c r="AE132" s="5">
        <v>8.961886612401013</v>
      </c>
      <c r="AF132" s="20">
        <v>0</v>
      </c>
      <c r="AG132" s="6">
        <v>6107016244.467068</v>
      </c>
      <c r="AH132" s="5">
        <v>1.526551693285544</v>
      </c>
      <c r="AI132" s="5">
        <v>8.961955662307375</v>
      </c>
      <c r="AJ132" s="20">
        <v>0</v>
      </c>
      <c r="AK132" s="6">
        <v>6150668198.234835</v>
      </c>
      <c r="AL132" s="5">
        <v>7.205612139385634</v>
      </c>
      <c r="AM132" s="5">
        <v>10.000605026439404</v>
      </c>
      <c r="AN132" s="20">
        <v>0</v>
      </c>
      <c r="AO132" s="6">
        <v>6216825564.877738</v>
      </c>
      <c r="AP132" s="5">
        <v>1.3793032202879996</v>
      </c>
      <c r="AQ132" s="127">
        <v>53.32549947094313</v>
      </c>
      <c r="AR132" s="42">
        <v>3.902340721929154</v>
      </c>
      <c r="AS132" s="43">
        <v>396491616.58697325</v>
      </c>
      <c r="AT132">
        <v>4.621146194337828</v>
      </c>
      <c r="AU132">
        <v>0.3553556430899793</v>
      </c>
      <c r="AV132" t="s">
        <v>66</v>
      </c>
    </row>
    <row r="133" spans="1:48" ht="12.75">
      <c r="A133">
        <v>29</v>
      </c>
      <c r="B133" t="s">
        <v>66</v>
      </c>
      <c r="C133" s="5">
        <v>0.10881042361798582</v>
      </c>
      <c r="D133" s="20">
        <v>0.20293849776455022</v>
      </c>
      <c r="E133" s="30">
        <v>145270.9499436648</v>
      </c>
      <c r="F133" s="5">
        <v>6.28961059081547</v>
      </c>
      <c r="G133" s="5">
        <v>1.690331763206823</v>
      </c>
      <c r="H133" s="20">
        <v>0.206909890692713</v>
      </c>
      <c r="I133" s="6">
        <v>1364542443.2738</v>
      </c>
      <c r="J133" s="5">
        <v>3.873559782492564</v>
      </c>
      <c r="K133" s="5">
        <v>1.7516801707186371</v>
      </c>
      <c r="L133" s="20">
        <v>0.2074235477357311</v>
      </c>
      <c r="M133" s="6">
        <v>1467604468.1780982</v>
      </c>
      <c r="N133" s="5">
        <v>3.872726767746142</v>
      </c>
      <c r="O133" s="5">
        <v>4.563651143589402</v>
      </c>
      <c r="P133" s="20">
        <v>0.21525927895023267</v>
      </c>
      <c r="Q133" s="6">
        <v>3916647917.7115664</v>
      </c>
      <c r="R133" s="5">
        <v>1.271459362801743</v>
      </c>
      <c r="S133" s="2">
        <v>0.00021576910532445902</v>
      </c>
      <c r="T133" s="20">
        <v>0</v>
      </c>
      <c r="U133" s="6">
        <v>36811.121630697045</v>
      </c>
      <c r="V133" s="5">
        <v>0.0006697134020326897</v>
      </c>
      <c r="W133" s="5">
        <v>5.252167575527765</v>
      </c>
      <c r="X133" s="20">
        <v>0</v>
      </c>
      <c r="Y133" s="6">
        <v>5491397872.743953</v>
      </c>
      <c r="Z133" s="20">
        <v>1.179083113037693</v>
      </c>
      <c r="AA133" s="5">
        <v>5.264630992355731</v>
      </c>
      <c r="AB133" s="20">
        <v>0</v>
      </c>
      <c r="AC133" s="6">
        <v>5837318363.949285</v>
      </c>
      <c r="AD133" s="5">
        <v>3.661475417864083</v>
      </c>
      <c r="AE133" s="5">
        <v>8.961224495443556</v>
      </c>
      <c r="AF133" s="20">
        <v>0</v>
      </c>
      <c r="AG133" s="6">
        <v>5983793262.269545</v>
      </c>
      <c r="AH133" s="5">
        <v>1.5265366337786181</v>
      </c>
      <c r="AI133" s="5">
        <v>8.961112828420873</v>
      </c>
      <c r="AJ133" s="20">
        <v>0</v>
      </c>
      <c r="AK133" s="6">
        <v>6033455455.788231</v>
      </c>
      <c r="AL133" s="5">
        <v>7.22045627681652</v>
      </c>
      <c r="AM133" s="5">
        <v>10.000011249197566</v>
      </c>
      <c r="AN133" s="20">
        <v>0</v>
      </c>
      <c r="AO133" s="6">
        <v>6104482905.754158</v>
      </c>
      <c r="AP133" s="5">
        <v>1.379301704903897</v>
      </c>
      <c r="AQ133" s="127">
        <v>53.32549947094313</v>
      </c>
      <c r="AR133" s="42">
        <v>3.902340721929154</v>
      </c>
      <c r="AS133" s="43">
        <v>310005037.5105613</v>
      </c>
      <c r="AT133">
        <v>4.621146194337828</v>
      </c>
      <c r="AU133">
        <v>0.3520373250565447</v>
      </c>
      <c r="AV133" t="s">
        <v>66</v>
      </c>
    </row>
    <row r="134" spans="1:48" ht="12.75">
      <c r="A134">
        <v>30</v>
      </c>
      <c r="B134" t="s">
        <v>66</v>
      </c>
      <c r="C134" s="5">
        <v>0.1966772817830714</v>
      </c>
      <c r="D134" s="20">
        <v>0.203407020829578</v>
      </c>
      <c r="E134" s="30">
        <v>69208372.21201697</v>
      </c>
      <c r="F134" s="5">
        <v>6.298499123504386</v>
      </c>
      <c r="G134" s="5">
        <v>1.697398612251165</v>
      </c>
      <c r="H134" s="20">
        <v>0.20716005876643834</v>
      </c>
      <c r="I134" s="6">
        <v>1889614684.723487</v>
      </c>
      <c r="J134" s="5">
        <v>5.9978815703502475</v>
      </c>
      <c r="K134" s="5">
        <v>1.7585102200347742</v>
      </c>
      <c r="L134" s="20">
        <v>0.20772976438943858</v>
      </c>
      <c r="M134" s="6">
        <v>1930925214.4890172</v>
      </c>
      <c r="N134" s="5">
        <v>6.215426748535892</v>
      </c>
      <c r="O134" s="5">
        <v>4.56608062959106</v>
      </c>
      <c r="P134" s="20">
        <v>0.21258425358477356</v>
      </c>
      <c r="Q134" s="6">
        <v>2662859447.250549</v>
      </c>
      <c r="R134" s="5">
        <v>4.322107983561007</v>
      </c>
      <c r="S134" s="2">
        <v>0.0006031524947794849</v>
      </c>
      <c r="T134" s="20">
        <v>0</v>
      </c>
      <c r="U134" s="6">
        <v>25277.799482429615</v>
      </c>
      <c r="V134" s="5">
        <v>0.0023889689102116435</v>
      </c>
      <c r="W134" s="5">
        <v>5.254542336007609</v>
      </c>
      <c r="X134" s="20">
        <v>0</v>
      </c>
      <c r="Y134" s="6">
        <v>3155999341.514046</v>
      </c>
      <c r="Z134" s="20">
        <v>3.778983568630257</v>
      </c>
      <c r="AA134" s="5">
        <v>5.2668899703080765</v>
      </c>
      <c r="AB134" s="20">
        <v>0</v>
      </c>
      <c r="AC134" s="6">
        <v>3290110480.0549192</v>
      </c>
      <c r="AD134" s="5">
        <v>3.51459546592189</v>
      </c>
      <c r="AE134" s="5">
        <v>8.962345451764035</v>
      </c>
      <c r="AF134" s="20">
        <v>0</v>
      </c>
      <c r="AG134" s="6">
        <v>3390418073.7815495</v>
      </c>
      <c r="AH134" s="5">
        <v>1.3964802691884155</v>
      </c>
      <c r="AI134" s="5">
        <v>8.962410681574374</v>
      </c>
      <c r="AJ134" s="20">
        <v>0</v>
      </c>
      <c r="AK134" s="6">
        <v>3426814160.6747885</v>
      </c>
      <c r="AL134" s="5">
        <v>7.2073274921437385</v>
      </c>
      <c r="AM134" s="5">
        <v>10.001044972561877</v>
      </c>
      <c r="AN134" s="20">
        <v>0</v>
      </c>
      <c r="AO134" s="6">
        <v>3503237766.929198</v>
      </c>
      <c r="AP134" s="5">
        <v>1.379305589399637</v>
      </c>
      <c r="AQ134" s="127">
        <v>53.32549947094313</v>
      </c>
      <c r="AR134" s="42">
        <v>3.902340721929154</v>
      </c>
      <c r="AS134" s="43">
        <v>100268136.3914811</v>
      </c>
      <c r="AT134">
        <v>4.621146194337828</v>
      </c>
      <c r="AU134">
        <v>0.20441159625565544</v>
      </c>
      <c r="AV134" t="s">
        <v>66</v>
      </c>
    </row>
    <row r="135" spans="3:45" ht="12.75">
      <c r="C135" s="5"/>
      <c r="D135" s="20"/>
      <c r="E135" s="30"/>
      <c r="F135" s="5"/>
      <c r="G135" s="5"/>
      <c r="H135" s="20"/>
      <c r="I135" s="6"/>
      <c r="J135" s="5"/>
      <c r="K135" s="5"/>
      <c r="L135" s="20"/>
      <c r="M135" s="6"/>
      <c r="N135" s="5"/>
      <c r="O135" s="5"/>
      <c r="P135" s="20"/>
      <c r="Q135" s="6"/>
      <c r="R135" s="5"/>
      <c r="S135" s="2"/>
      <c r="T135" s="20"/>
      <c r="U135" s="6"/>
      <c r="V135" s="5"/>
      <c r="W135" s="5"/>
      <c r="X135" s="20"/>
      <c r="Y135" s="6"/>
      <c r="Z135" s="20"/>
      <c r="AA135" s="5"/>
      <c r="AB135" s="20"/>
      <c r="AC135" s="6"/>
      <c r="AD135" s="5"/>
      <c r="AE135" s="5"/>
      <c r="AF135" s="20"/>
      <c r="AG135" s="6"/>
      <c r="AH135" s="5"/>
      <c r="AI135" s="5"/>
      <c r="AJ135" s="20"/>
      <c r="AK135" s="6"/>
      <c r="AL135" s="5"/>
      <c r="AM135" s="5"/>
      <c r="AN135" s="20"/>
      <c r="AO135" s="6"/>
      <c r="AP135" s="5"/>
      <c r="AQ135" s="127"/>
      <c r="AR135" s="42"/>
      <c r="AS135" s="43"/>
    </row>
    <row r="136" spans="1:48" ht="12.75">
      <c r="A136">
        <v>1</v>
      </c>
      <c r="B136" t="s">
        <v>51</v>
      </c>
      <c r="C136" s="5">
        <v>0.125</v>
      </c>
      <c r="D136" s="20">
        <v>0.024379027917052397</v>
      </c>
      <c r="E136" s="30">
        <v>1</v>
      </c>
      <c r="F136" s="5">
        <v>15.00919585918273</v>
      </c>
      <c r="G136" s="5">
        <v>0.20833333333333331</v>
      </c>
      <c r="H136" s="20">
        <v>0.024608162704924476</v>
      </c>
      <c r="I136" s="6">
        <v>1</v>
      </c>
      <c r="J136" s="5">
        <v>7.222186282530657</v>
      </c>
      <c r="K136" s="5">
        <v>0.20833333333333331</v>
      </c>
      <c r="L136" s="20">
        <v>0.024608334122428466</v>
      </c>
      <c r="M136" s="6">
        <v>1</v>
      </c>
      <c r="N136" s="5">
        <v>7.222187476822433</v>
      </c>
      <c r="O136" s="5">
        <v>1.5</v>
      </c>
      <c r="P136" s="20">
        <v>0.025589657358252933</v>
      </c>
      <c r="Q136" s="6">
        <v>1</v>
      </c>
      <c r="R136" s="5">
        <v>7.222183934131042</v>
      </c>
      <c r="S136" s="2">
        <v>1.5</v>
      </c>
      <c r="T136" s="20">
        <v>0.025589657358252933</v>
      </c>
      <c r="U136" s="6">
        <v>1</v>
      </c>
      <c r="V136" s="5">
        <v>7.222183934131042</v>
      </c>
      <c r="W136" s="5">
        <v>2.291666666666667</v>
      </c>
      <c r="X136" s="20">
        <v>0.026126734068451764</v>
      </c>
      <c r="Y136" s="6">
        <v>1</v>
      </c>
      <c r="Z136" s="20">
        <v>7.222186774615926</v>
      </c>
      <c r="AA136" s="5">
        <v>2.8333333333333317</v>
      </c>
      <c r="AB136" s="20">
        <v>0.026526776089270017</v>
      </c>
      <c r="AC136" s="6">
        <v>1</v>
      </c>
      <c r="AD136" s="5">
        <v>5.747687937682683</v>
      </c>
      <c r="AE136" s="5">
        <v>7.375000000000018</v>
      </c>
      <c r="AF136" s="20">
        <v>0.029548581492993452</v>
      </c>
      <c r="AG136" s="6">
        <v>1</v>
      </c>
      <c r="AH136" s="5">
        <v>4</v>
      </c>
      <c r="AI136" s="5">
        <v>7.416666666666685</v>
      </c>
      <c r="AJ136" s="20">
        <v>0.029677511757345475</v>
      </c>
      <c r="AK136" s="6">
        <v>1</v>
      </c>
      <c r="AL136" s="5">
        <v>4.04684150917936</v>
      </c>
      <c r="AM136" s="5">
        <v>12.291666666666627</v>
      </c>
      <c r="AN136" s="20">
        <v>0.0331489603683398</v>
      </c>
      <c r="AO136" s="6">
        <v>1</v>
      </c>
      <c r="AP136" s="5">
        <v>4</v>
      </c>
      <c r="AQ136" s="127">
        <v>1</v>
      </c>
      <c r="AR136" s="42">
        <v>0.94</v>
      </c>
      <c r="AS136" s="43">
        <v>0.0001</v>
      </c>
      <c r="AT136">
        <v>1</v>
      </c>
      <c r="AU136">
        <v>0.0001</v>
      </c>
      <c r="AV136" t="s">
        <v>51</v>
      </c>
    </row>
    <row r="137" spans="1:48" ht="12.75">
      <c r="A137">
        <v>2</v>
      </c>
      <c r="B137" t="s">
        <v>51</v>
      </c>
      <c r="C137" s="5">
        <v>0.125</v>
      </c>
      <c r="D137" s="20">
        <v>0.024378404905495504</v>
      </c>
      <c r="E137" s="30">
        <v>1</v>
      </c>
      <c r="F137" s="5">
        <v>15.009533084177122</v>
      </c>
      <c r="G137" s="5">
        <v>0.20833333333333331</v>
      </c>
      <c r="H137" s="20">
        <v>0.024604792850042977</v>
      </c>
      <c r="I137" s="6">
        <v>1</v>
      </c>
      <c r="J137" s="5">
        <v>7.222186284222503</v>
      </c>
      <c r="K137" s="5">
        <v>0.20833333333333331</v>
      </c>
      <c r="L137" s="20">
        <v>0.02460529632496441</v>
      </c>
      <c r="M137" s="6">
        <v>1</v>
      </c>
      <c r="N137" s="5">
        <v>7.222187502266453</v>
      </c>
      <c r="O137" s="5">
        <v>1.5</v>
      </c>
      <c r="P137" s="20">
        <v>0.025585509568410048</v>
      </c>
      <c r="Q137" s="6">
        <v>1</v>
      </c>
      <c r="R137" s="5">
        <v>7.222183943606829</v>
      </c>
      <c r="S137" s="2">
        <v>1.5</v>
      </c>
      <c r="T137" s="20">
        <v>0.025585509568410048</v>
      </c>
      <c r="U137" s="6">
        <v>1</v>
      </c>
      <c r="V137" s="5">
        <v>7.222183943606829</v>
      </c>
      <c r="W137" s="5">
        <v>2.291666666666667</v>
      </c>
      <c r="X137" s="20">
        <v>0.02612364191658274</v>
      </c>
      <c r="Y137" s="6">
        <v>1</v>
      </c>
      <c r="Z137" s="20">
        <v>7.222186754637784</v>
      </c>
      <c r="AA137" s="5">
        <v>2.8333333333333317</v>
      </c>
      <c r="AB137" s="20">
        <v>0.02651961456565023</v>
      </c>
      <c r="AC137" s="6">
        <v>1</v>
      </c>
      <c r="AD137" s="5">
        <v>5.744567752211625</v>
      </c>
      <c r="AE137" s="5">
        <v>7.333333333333351</v>
      </c>
      <c r="AF137" s="20">
        <v>0.029540087125851183</v>
      </c>
      <c r="AG137" s="6">
        <v>1</v>
      </c>
      <c r="AH137" s="5">
        <v>4</v>
      </c>
      <c r="AI137" s="5">
        <v>7.416666666666685</v>
      </c>
      <c r="AJ137" s="20">
        <v>0.029670422896538363</v>
      </c>
      <c r="AK137" s="6">
        <v>1</v>
      </c>
      <c r="AL137" s="5">
        <v>4.019024582776681</v>
      </c>
      <c r="AM137" s="5">
        <v>12.291666666666627</v>
      </c>
      <c r="AN137" s="20">
        <v>0.033137596309015215</v>
      </c>
      <c r="AO137" s="6">
        <v>1</v>
      </c>
      <c r="AP137" s="5">
        <v>4</v>
      </c>
      <c r="AQ137" s="127">
        <v>1</v>
      </c>
      <c r="AR137" s="42">
        <v>0.94</v>
      </c>
      <c r="AS137" s="43">
        <v>0.0001</v>
      </c>
      <c r="AT137">
        <v>1</v>
      </c>
      <c r="AU137">
        <v>0.0001</v>
      </c>
      <c r="AV137" t="s">
        <v>51</v>
      </c>
    </row>
    <row r="138" spans="1:48" ht="12.75">
      <c r="A138">
        <v>3</v>
      </c>
      <c r="B138" t="s">
        <v>51</v>
      </c>
      <c r="C138" s="5">
        <v>0.125</v>
      </c>
      <c r="D138" s="20">
        <v>0.024372358776952673</v>
      </c>
      <c r="E138" s="30">
        <v>1</v>
      </c>
      <c r="F138" s="5">
        <v>15.034808768386306</v>
      </c>
      <c r="G138" s="5">
        <v>0.20833333333333331</v>
      </c>
      <c r="H138" s="20">
        <v>0.02457297196654646</v>
      </c>
      <c r="I138" s="6">
        <v>1</v>
      </c>
      <c r="J138" s="5">
        <v>7.2221862825306635</v>
      </c>
      <c r="K138" s="5">
        <v>0.20833333333333331</v>
      </c>
      <c r="L138" s="20">
        <v>0.024573785703434665</v>
      </c>
      <c r="M138" s="6">
        <v>1</v>
      </c>
      <c r="N138" s="5">
        <v>7.222187556578267</v>
      </c>
      <c r="O138" s="5">
        <v>1.4583333333333337</v>
      </c>
      <c r="P138" s="20">
        <v>0.025550349945529682</v>
      </c>
      <c r="Q138" s="6">
        <v>1</v>
      </c>
      <c r="R138" s="5">
        <v>7.222183919292415</v>
      </c>
      <c r="S138" s="2">
        <v>1.4583333333333337</v>
      </c>
      <c r="T138" s="20">
        <v>0.025550349945529682</v>
      </c>
      <c r="U138" s="6">
        <v>1</v>
      </c>
      <c r="V138" s="5">
        <v>7.222183919292415</v>
      </c>
      <c r="W138" s="5">
        <v>2.25</v>
      </c>
      <c r="X138" s="20">
        <v>0.026079125160240614</v>
      </c>
      <c r="Y138" s="6">
        <v>1</v>
      </c>
      <c r="Z138" s="20">
        <v>7.222186736165699</v>
      </c>
      <c r="AA138" s="5">
        <v>2.791666666666665</v>
      </c>
      <c r="AB138" s="20">
        <v>0.026473617993388838</v>
      </c>
      <c r="AC138" s="6">
        <v>1</v>
      </c>
      <c r="AD138" s="5">
        <v>5.753660394784886</v>
      </c>
      <c r="AE138" s="5">
        <v>7.291666666666684</v>
      </c>
      <c r="AF138" s="20">
        <v>0.02945700604909062</v>
      </c>
      <c r="AG138" s="6">
        <v>1</v>
      </c>
      <c r="AH138" s="5">
        <v>4</v>
      </c>
      <c r="AI138" s="5">
        <v>7.333333333333351</v>
      </c>
      <c r="AJ138" s="20">
        <v>0.029587206699647012</v>
      </c>
      <c r="AK138" s="6">
        <v>1</v>
      </c>
      <c r="AL138" s="5">
        <v>4</v>
      </c>
      <c r="AM138" s="5">
        <v>12.25</v>
      </c>
      <c r="AN138" s="20">
        <v>0.033039145845550094</v>
      </c>
      <c r="AO138" s="6">
        <v>1</v>
      </c>
      <c r="AP138" s="5">
        <v>4</v>
      </c>
      <c r="AQ138" s="127">
        <v>1</v>
      </c>
      <c r="AR138" s="42">
        <v>0.94</v>
      </c>
      <c r="AS138" s="43">
        <v>0.0001</v>
      </c>
      <c r="AT138">
        <v>1</v>
      </c>
      <c r="AU138">
        <v>0.0001</v>
      </c>
      <c r="AV138" t="s">
        <v>51</v>
      </c>
    </row>
    <row r="139" spans="1:48" ht="12.75">
      <c r="A139">
        <v>4</v>
      </c>
      <c r="B139" t="s">
        <v>51</v>
      </c>
      <c r="C139" s="5">
        <v>0.125</v>
      </c>
      <c r="D139" s="20">
        <v>0.024379027917052397</v>
      </c>
      <c r="E139" s="30">
        <v>1</v>
      </c>
      <c r="F139" s="5">
        <v>15.00919585918273</v>
      </c>
      <c r="G139" s="5">
        <v>0.20833333333333331</v>
      </c>
      <c r="H139" s="20">
        <v>0.024608187640850442</v>
      </c>
      <c r="I139" s="6">
        <v>1</v>
      </c>
      <c r="J139" s="5">
        <v>11.66662557667908</v>
      </c>
      <c r="K139" s="5">
        <v>0.20833333333333331</v>
      </c>
      <c r="L139" s="20">
        <v>0.024608334122428466</v>
      </c>
      <c r="M139" s="6">
        <v>1</v>
      </c>
      <c r="N139" s="5">
        <v>11.666627156596101</v>
      </c>
      <c r="O139" s="5">
        <v>1.5</v>
      </c>
      <c r="P139" s="20">
        <v>0.025848155990520753</v>
      </c>
      <c r="Q139" s="6">
        <v>1</v>
      </c>
      <c r="R139" s="5">
        <v>11.666623368953644</v>
      </c>
      <c r="S139" s="2">
        <v>1.5</v>
      </c>
      <c r="T139" s="20">
        <v>0.025848155990520753</v>
      </c>
      <c r="U139" s="6">
        <v>1</v>
      </c>
      <c r="V139" s="5">
        <v>11.666623368953644</v>
      </c>
      <c r="W139" s="5">
        <v>2.291666666666667</v>
      </c>
      <c r="X139" s="20">
        <v>0.026541832100366498</v>
      </c>
      <c r="Y139" s="6">
        <v>1</v>
      </c>
      <c r="Z139" s="20">
        <v>11.666626902912043</v>
      </c>
      <c r="AA139" s="5">
        <v>2.8333333333333317</v>
      </c>
      <c r="AB139" s="20">
        <v>0.027004144626304728</v>
      </c>
      <c r="AC139" s="6">
        <v>1</v>
      </c>
      <c r="AD139" s="5">
        <v>6.3577596081044</v>
      </c>
      <c r="AE139" s="5">
        <v>7.375000000000018</v>
      </c>
      <c r="AF139" s="20">
        <v>0.030359432514750588</v>
      </c>
      <c r="AG139" s="6">
        <v>1</v>
      </c>
      <c r="AH139" s="5">
        <v>4</v>
      </c>
      <c r="AI139" s="5">
        <v>7.416666666666685</v>
      </c>
      <c r="AJ139" s="20">
        <v>0.030492440144029864</v>
      </c>
      <c r="AK139" s="6">
        <v>1</v>
      </c>
      <c r="AL139" s="5">
        <v>4.059069516898636</v>
      </c>
      <c r="AM139" s="5">
        <v>12.291666666666627</v>
      </c>
      <c r="AN139" s="20">
        <v>0.03404681837397071</v>
      </c>
      <c r="AO139" s="6">
        <v>1</v>
      </c>
      <c r="AP139" s="5">
        <v>4</v>
      </c>
      <c r="AQ139" s="127">
        <v>1</v>
      </c>
      <c r="AR139" s="42">
        <v>0.94</v>
      </c>
      <c r="AS139" s="43">
        <v>0.0001</v>
      </c>
      <c r="AT139">
        <v>1</v>
      </c>
      <c r="AU139">
        <v>0.0001</v>
      </c>
      <c r="AV139" t="s">
        <v>51</v>
      </c>
    </row>
    <row r="140" spans="1:48" ht="12.75">
      <c r="A140">
        <v>5</v>
      </c>
      <c r="B140" t="s">
        <v>51</v>
      </c>
      <c r="C140" s="5">
        <v>0.125</v>
      </c>
      <c r="D140" s="20">
        <v>0.024378404905495504</v>
      </c>
      <c r="E140" s="30">
        <v>1</v>
      </c>
      <c r="F140" s="5">
        <v>15.009533084177122</v>
      </c>
      <c r="G140" s="5">
        <v>0.20833333333333331</v>
      </c>
      <c r="H140" s="20">
        <v>0.02460529632496441</v>
      </c>
      <c r="I140" s="6">
        <v>1</v>
      </c>
      <c r="J140" s="5">
        <v>11.666625552599287</v>
      </c>
      <c r="K140" s="5">
        <v>0.20833333333333331</v>
      </c>
      <c r="L140" s="20">
        <v>0.02460543497867153</v>
      </c>
      <c r="M140" s="6">
        <v>1</v>
      </c>
      <c r="N140" s="5">
        <v>11.666627198186879</v>
      </c>
      <c r="O140" s="5">
        <v>1.5</v>
      </c>
      <c r="P140" s="20">
        <v>0.025845763013345957</v>
      </c>
      <c r="Q140" s="6">
        <v>1</v>
      </c>
      <c r="R140" s="5">
        <v>11.666623378319693</v>
      </c>
      <c r="S140" s="2">
        <v>1.5</v>
      </c>
      <c r="T140" s="20">
        <v>0.025845763013345957</v>
      </c>
      <c r="U140" s="6">
        <v>1</v>
      </c>
      <c r="V140" s="5">
        <v>11.666623378319693</v>
      </c>
      <c r="W140" s="5">
        <v>2.291666666666667</v>
      </c>
      <c r="X140" s="20">
        <v>0.026534274747764746</v>
      </c>
      <c r="Y140" s="6">
        <v>1</v>
      </c>
      <c r="Z140" s="20">
        <v>11.666626880773538</v>
      </c>
      <c r="AA140" s="5">
        <v>2.8333333333333317</v>
      </c>
      <c r="AB140" s="20">
        <v>0.026998525068979713</v>
      </c>
      <c r="AC140" s="6">
        <v>1</v>
      </c>
      <c r="AD140" s="5">
        <v>6.350362649207319</v>
      </c>
      <c r="AE140" s="5">
        <v>7.333333333333351</v>
      </c>
      <c r="AF140" s="20">
        <v>0.030352043073309805</v>
      </c>
      <c r="AG140" s="6">
        <v>1</v>
      </c>
      <c r="AH140" s="5">
        <v>4</v>
      </c>
      <c r="AI140" s="5">
        <v>7.416666666666685</v>
      </c>
      <c r="AJ140" s="20">
        <v>0.03048627737274857</v>
      </c>
      <c r="AK140" s="6">
        <v>1</v>
      </c>
      <c r="AL140" s="5">
        <v>4.03818778892137</v>
      </c>
      <c r="AM140" s="5">
        <v>12.291666666666627</v>
      </c>
      <c r="AN140" s="20">
        <v>0.03403802987168448</v>
      </c>
      <c r="AO140" s="6">
        <v>1</v>
      </c>
      <c r="AP140" s="5">
        <v>4</v>
      </c>
      <c r="AQ140" s="127">
        <v>1</v>
      </c>
      <c r="AR140" s="42">
        <v>0.94</v>
      </c>
      <c r="AS140" s="43">
        <v>0.0001</v>
      </c>
      <c r="AT140">
        <v>1</v>
      </c>
      <c r="AU140">
        <v>0.0001</v>
      </c>
      <c r="AV140" t="s">
        <v>51</v>
      </c>
    </row>
    <row r="141" spans="1:48" ht="12.75">
      <c r="A141">
        <v>6</v>
      </c>
      <c r="B141" t="s">
        <v>51</v>
      </c>
      <c r="C141" s="5">
        <v>0.125</v>
      </c>
      <c r="D141" s="20">
        <v>0.024372358776952673</v>
      </c>
      <c r="E141" s="30">
        <v>1</v>
      </c>
      <c r="F141" s="5">
        <v>15.034808768386306</v>
      </c>
      <c r="G141" s="5">
        <v>0.20833333333333331</v>
      </c>
      <c r="H141" s="20">
        <v>0.02457382320812953</v>
      </c>
      <c r="I141" s="6">
        <v>1</v>
      </c>
      <c r="J141" s="5">
        <v>11.666625553500163</v>
      </c>
      <c r="K141" s="5">
        <v>0.20833333333333331</v>
      </c>
      <c r="L141" s="20">
        <v>0.02457382320812953</v>
      </c>
      <c r="M141" s="6">
        <v>1</v>
      </c>
      <c r="N141" s="5">
        <v>11.666627216277961</v>
      </c>
      <c r="O141" s="5">
        <v>1.4583333333333337</v>
      </c>
      <c r="P141" s="20">
        <v>0.02580039344250797</v>
      </c>
      <c r="Q141" s="6">
        <v>1</v>
      </c>
      <c r="R141" s="5">
        <v>11.666623368953644</v>
      </c>
      <c r="S141" s="2">
        <v>1.4583333333333337</v>
      </c>
      <c r="T141" s="20">
        <v>0.02580039344250797</v>
      </c>
      <c r="U141" s="6">
        <v>1</v>
      </c>
      <c r="V141" s="5">
        <v>11.666623368953644</v>
      </c>
      <c r="W141" s="5">
        <v>2.25</v>
      </c>
      <c r="X141" s="20">
        <v>0.026475075651031334</v>
      </c>
      <c r="Y141" s="6">
        <v>1</v>
      </c>
      <c r="Z141" s="20">
        <v>11.6666268844668</v>
      </c>
      <c r="AA141" s="5">
        <v>2.791666666666665</v>
      </c>
      <c r="AB141" s="20">
        <v>0.026943952278523826</v>
      </c>
      <c r="AC141" s="6">
        <v>1</v>
      </c>
      <c r="AD141" s="5">
        <v>6.356986603499017</v>
      </c>
      <c r="AE141" s="5">
        <v>7.291666666666684</v>
      </c>
      <c r="AF141" s="20">
        <v>0.0302809536856035</v>
      </c>
      <c r="AG141" s="6">
        <v>1</v>
      </c>
      <c r="AH141" s="5">
        <v>4</v>
      </c>
      <c r="AI141" s="5">
        <v>7.333333333333351</v>
      </c>
      <c r="AJ141" s="20">
        <v>0.030404742062324686</v>
      </c>
      <c r="AK141" s="6">
        <v>1</v>
      </c>
      <c r="AL141" s="5">
        <v>4</v>
      </c>
      <c r="AM141" s="5">
        <v>12.25</v>
      </c>
      <c r="AN141" s="20">
        <v>0.03394169740289034</v>
      </c>
      <c r="AO141" s="6">
        <v>1</v>
      </c>
      <c r="AP141" s="5">
        <v>4</v>
      </c>
      <c r="AQ141" s="127">
        <v>1</v>
      </c>
      <c r="AR141" s="42">
        <v>0.94</v>
      </c>
      <c r="AS141" s="43">
        <v>0.0001</v>
      </c>
      <c r="AT141">
        <v>1</v>
      </c>
      <c r="AU141">
        <v>0.0001</v>
      </c>
      <c r="AV141" t="s">
        <v>51</v>
      </c>
    </row>
    <row r="142" spans="1:48" ht="12.75">
      <c r="A142">
        <v>7</v>
      </c>
      <c r="B142" t="s">
        <v>51</v>
      </c>
      <c r="C142" s="5">
        <v>0.125</v>
      </c>
      <c r="D142" s="20">
        <v>0.024379027917052397</v>
      </c>
      <c r="E142" s="30">
        <v>1</v>
      </c>
      <c r="F142" s="5">
        <v>15.00919585918273</v>
      </c>
      <c r="G142" s="5">
        <v>0.20833333333333331</v>
      </c>
      <c r="H142" s="20">
        <v>0.024608334122428466</v>
      </c>
      <c r="I142" s="6">
        <v>1</v>
      </c>
      <c r="J142" s="5">
        <v>15.555497962919308</v>
      </c>
      <c r="K142" s="5">
        <v>0.20833333333333331</v>
      </c>
      <c r="L142" s="20">
        <v>0.02460836855297286</v>
      </c>
      <c r="M142" s="6">
        <v>1</v>
      </c>
      <c r="N142" s="5">
        <v>15.555500907285062</v>
      </c>
      <c r="O142" s="5">
        <v>1.5</v>
      </c>
      <c r="P142" s="20">
        <v>0.026182705495757973</v>
      </c>
      <c r="Q142" s="6">
        <v>1</v>
      </c>
      <c r="R142" s="5">
        <v>15.555499239511628</v>
      </c>
      <c r="S142" s="2">
        <v>1.5</v>
      </c>
      <c r="T142" s="20">
        <v>0.026182705495757973</v>
      </c>
      <c r="U142" s="6">
        <v>1</v>
      </c>
      <c r="V142" s="5">
        <v>15.555499239511628</v>
      </c>
      <c r="W142" s="5">
        <v>2.291666666666667</v>
      </c>
      <c r="X142" s="20">
        <v>0.027088578434562683</v>
      </c>
      <c r="Y142" s="6">
        <v>1</v>
      </c>
      <c r="Z142" s="20">
        <v>15.555504156714866</v>
      </c>
      <c r="AA142" s="5">
        <v>2.8333333333333317</v>
      </c>
      <c r="AB142" s="20">
        <v>0.0276419499784462</v>
      </c>
      <c r="AC142" s="6">
        <v>1</v>
      </c>
      <c r="AD142" s="5">
        <v>6.600140496867726</v>
      </c>
      <c r="AE142" s="5">
        <v>7.375000000000018</v>
      </c>
      <c r="AF142" s="20">
        <v>0.031406430248584374</v>
      </c>
      <c r="AG142" s="6">
        <v>1</v>
      </c>
      <c r="AH142" s="5">
        <v>4</v>
      </c>
      <c r="AI142" s="5">
        <v>7.416666666666685</v>
      </c>
      <c r="AJ142" s="20">
        <v>0.031538717955269704</v>
      </c>
      <c r="AK142" s="6">
        <v>1</v>
      </c>
      <c r="AL142" s="5">
        <v>4.074073188429432</v>
      </c>
      <c r="AM142" s="5">
        <v>12.291666666666627</v>
      </c>
      <c r="AN142" s="20">
        <v>0.03520719185524167</v>
      </c>
      <c r="AO142" s="6">
        <v>1</v>
      </c>
      <c r="AP142" s="5">
        <v>4</v>
      </c>
      <c r="AQ142" s="127">
        <v>1</v>
      </c>
      <c r="AR142" s="42">
        <v>0.94</v>
      </c>
      <c r="AS142" s="43">
        <v>0.0001</v>
      </c>
      <c r="AT142">
        <v>1</v>
      </c>
      <c r="AU142">
        <v>0.0001</v>
      </c>
      <c r="AV142" t="s">
        <v>51</v>
      </c>
    </row>
    <row r="143" spans="1:48" ht="12.75">
      <c r="A143">
        <v>8</v>
      </c>
      <c r="B143" t="s">
        <v>51</v>
      </c>
      <c r="C143" s="5">
        <v>0.125</v>
      </c>
      <c r="D143" s="20">
        <v>0.024378404905495504</v>
      </c>
      <c r="E143" s="30">
        <v>1</v>
      </c>
      <c r="F143" s="5">
        <v>15.009533084177122</v>
      </c>
      <c r="G143" s="5">
        <v>0.20833333333333331</v>
      </c>
      <c r="H143" s="20">
        <v>0.02460543497867153</v>
      </c>
      <c r="I143" s="6">
        <v>1</v>
      </c>
      <c r="J143" s="5">
        <v>15.555497966310321</v>
      </c>
      <c r="K143" s="5">
        <v>0.20833333333333331</v>
      </c>
      <c r="L143" s="20">
        <v>0.024605539413386363</v>
      </c>
      <c r="M143" s="6">
        <v>1</v>
      </c>
      <c r="N143" s="5">
        <v>15.555500926209978</v>
      </c>
      <c r="O143" s="5">
        <v>1.5</v>
      </c>
      <c r="P143" s="20">
        <v>0.026174718345123103</v>
      </c>
      <c r="Q143" s="6">
        <v>1</v>
      </c>
      <c r="R143" s="5">
        <v>15.555499222156627</v>
      </c>
      <c r="S143" s="2">
        <v>1.5</v>
      </c>
      <c r="T143" s="20">
        <v>0.026174718345123103</v>
      </c>
      <c r="U143" s="6">
        <v>1</v>
      </c>
      <c r="V143" s="5">
        <v>15.555499222156627</v>
      </c>
      <c r="W143" s="5">
        <v>2.291666666666667</v>
      </c>
      <c r="X143" s="20">
        <v>0.027079777369272445</v>
      </c>
      <c r="Y143" s="6">
        <v>1</v>
      </c>
      <c r="Z143" s="20">
        <v>15.55550411543914</v>
      </c>
      <c r="AA143" s="5">
        <v>2.8333333333333317</v>
      </c>
      <c r="AB143" s="20">
        <v>0.02763605578209624</v>
      </c>
      <c r="AC143" s="6">
        <v>1</v>
      </c>
      <c r="AD143" s="5">
        <v>6.603649275136077</v>
      </c>
      <c r="AE143" s="5">
        <v>7.333333333333351</v>
      </c>
      <c r="AF143" s="20">
        <v>0.03139656224506018</v>
      </c>
      <c r="AG143" s="6">
        <v>1</v>
      </c>
      <c r="AH143" s="5">
        <v>4</v>
      </c>
      <c r="AI143" s="5">
        <v>7.416666666666685</v>
      </c>
      <c r="AJ143" s="20">
        <v>0.03152426697327509</v>
      </c>
      <c r="AK143" s="6">
        <v>1</v>
      </c>
      <c r="AL143" s="5">
        <v>4.045958855971358</v>
      </c>
      <c r="AM143" s="5">
        <v>12.291666666666627</v>
      </c>
      <c r="AN143" s="20">
        <v>0.03519371484902964</v>
      </c>
      <c r="AO143" s="6">
        <v>1</v>
      </c>
      <c r="AP143" s="5">
        <v>4</v>
      </c>
      <c r="AQ143" s="127">
        <v>1</v>
      </c>
      <c r="AR143" s="42">
        <v>0.94</v>
      </c>
      <c r="AS143" s="43">
        <v>0.0001</v>
      </c>
      <c r="AT143">
        <v>1</v>
      </c>
      <c r="AU143">
        <v>0.0001</v>
      </c>
      <c r="AV143" t="s">
        <v>51</v>
      </c>
    </row>
    <row r="144" spans="1:48" ht="12.75">
      <c r="A144">
        <v>9</v>
      </c>
      <c r="B144" t="s">
        <v>51</v>
      </c>
      <c r="C144" s="5">
        <v>0.125</v>
      </c>
      <c r="D144" s="20">
        <v>0.024372358776952673</v>
      </c>
      <c r="E144" s="30">
        <v>1</v>
      </c>
      <c r="F144" s="5">
        <v>15.034808768386306</v>
      </c>
      <c r="G144" s="5">
        <v>0.20833333333333331</v>
      </c>
      <c r="H144" s="20">
        <v>0.02457382320812953</v>
      </c>
      <c r="I144" s="6">
        <v>1</v>
      </c>
      <c r="J144" s="5">
        <v>15.555498001452836</v>
      </c>
      <c r="K144" s="5">
        <v>0.20833333333333331</v>
      </c>
      <c r="L144" s="20">
        <v>0.02457404614692202</v>
      </c>
      <c r="M144" s="6">
        <v>1</v>
      </c>
      <c r="N144" s="5">
        <v>15.555500910582726</v>
      </c>
      <c r="O144" s="5">
        <v>1.4583333333333337</v>
      </c>
      <c r="P144" s="20">
        <v>0.026121583249229318</v>
      </c>
      <c r="Q144" s="6">
        <v>1</v>
      </c>
      <c r="R144" s="5">
        <v>15.555499222216582</v>
      </c>
      <c r="S144" s="2">
        <v>1.4583333333333337</v>
      </c>
      <c r="T144" s="20">
        <v>0.026121583249229318</v>
      </c>
      <c r="U144" s="6">
        <v>1</v>
      </c>
      <c r="V144" s="5">
        <v>15.555499222216582</v>
      </c>
      <c r="W144" s="5">
        <v>2.25</v>
      </c>
      <c r="X144" s="20">
        <v>0.027024231433375973</v>
      </c>
      <c r="Y144" s="6">
        <v>1</v>
      </c>
      <c r="Z144" s="20">
        <v>15.5555041145397</v>
      </c>
      <c r="AA144" s="5">
        <v>2.791666666666665</v>
      </c>
      <c r="AB144" s="20">
        <v>0.0275680374113648</v>
      </c>
      <c r="AC144" s="6">
        <v>1</v>
      </c>
      <c r="AD144" s="5">
        <v>6.604819874778071</v>
      </c>
      <c r="AE144" s="5">
        <v>7.291666666666684</v>
      </c>
      <c r="AF144" s="20">
        <v>0.031313319470887314</v>
      </c>
      <c r="AG144" s="6">
        <v>1</v>
      </c>
      <c r="AH144" s="5">
        <v>4</v>
      </c>
      <c r="AI144" s="5">
        <v>7.333333333333351</v>
      </c>
      <c r="AJ144" s="20">
        <v>0.031457073568568625</v>
      </c>
      <c r="AK144" s="6">
        <v>1</v>
      </c>
      <c r="AL144" s="5">
        <v>4</v>
      </c>
      <c r="AM144" s="5">
        <v>12.25</v>
      </c>
      <c r="AN144" s="20">
        <v>0.03509055754146918</v>
      </c>
      <c r="AO144" s="6">
        <v>1</v>
      </c>
      <c r="AP144" s="5">
        <v>4</v>
      </c>
      <c r="AQ144" s="127">
        <v>1</v>
      </c>
      <c r="AR144" s="42">
        <v>0.94</v>
      </c>
      <c r="AS144" s="43">
        <v>0.0001</v>
      </c>
      <c r="AT144">
        <v>1</v>
      </c>
      <c r="AU144">
        <v>0.0001</v>
      </c>
      <c r="AV144" t="s">
        <v>51</v>
      </c>
    </row>
    <row r="145" spans="1:48" ht="12.75">
      <c r="A145">
        <v>10</v>
      </c>
      <c r="B145" t="s">
        <v>51</v>
      </c>
      <c r="C145" s="5">
        <v>0.125</v>
      </c>
      <c r="D145" s="20">
        <v>0.02437916127547802</v>
      </c>
      <c r="E145" s="30">
        <v>1</v>
      </c>
      <c r="F145" s="5">
        <v>15.00919585918273</v>
      </c>
      <c r="G145" s="5">
        <v>0.20833333333333331</v>
      </c>
      <c r="H145" s="20">
        <v>0.0246086548857248</v>
      </c>
      <c r="I145" s="6">
        <v>1</v>
      </c>
      <c r="J145" s="5">
        <v>6.9078280314107845</v>
      </c>
      <c r="K145" s="5">
        <v>0.20833333333333331</v>
      </c>
      <c r="L145" s="20">
        <v>0.024609005527868388</v>
      </c>
      <c r="M145" s="6">
        <v>1</v>
      </c>
      <c r="N145" s="5">
        <v>5.4219098676970905</v>
      </c>
      <c r="O145" s="5">
        <v>1.5</v>
      </c>
      <c r="P145" s="20">
        <v>0.025844101199776204</v>
      </c>
      <c r="Q145" s="6">
        <v>1</v>
      </c>
      <c r="R145" s="5">
        <v>4</v>
      </c>
      <c r="S145" s="2">
        <v>1.5</v>
      </c>
      <c r="T145" s="20">
        <v>0.025844101199776204</v>
      </c>
      <c r="U145" s="6">
        <v>1</v>
      </c>
      <c r="V145" s="5">
        <v>4</v>
      </c>
      <c r="W145" s="5">
        <v>2.291666666666667</v>
      </c>
      <c r="X145" s="20">
        <v>0.026487181534825995</v>
      </c>
      <c r="Y145" s="6">
        <v>1</v>
      </c>
      <c r="Z145" s="20">
        <v>4</v>
      </c>
      <c r="AA145" s="5">
        <v>2.8333333333333317</v>
      </c>
      <c r="AB145" s="20">
        <v>0.026921121053220597</v>
      </c>
      <c r="AC145" s="6">
        <v>1</v>
      </c>
      <c r="AD145" s="5">
        <v>5.338354266461827</v>
      </c>
      <c r="AE145" s="5">
        <v>7.375000000000018</v>
      </c>
      <c r="AF145" s="20">
        <v>0.03022771721033059</v>
      </c>
      <c r="AG145" s="6">
        <v>1</v>
      </c>
      <c r="AH145" s="5">
        <v>4</v>
      </c>
      <c r="AI145" s="5">
        <v>7.416666666666685</v>
      </c>
      <c r="AJ145" s="20">
        <v>0.03036652938970328</v>
      </c>
      <c r="AK145" s="6">
        <v>1</v>
      </c>
      <c r="AL145" s="5">
        <v>4.076804983157445</v>
      </c>
      <c r="AM145" s="5">
        <v>12.291666666666627</v>
      </c>
      <c r="AN145" s="20">
        <v>0.03394129164487387</v>
      </c>
      <c r="AO145" s="6">
        <v>1</v>
      </c>
      <c r="AP145" s="5">
        <v>4</v>
      </c>
      <c r="AQ145" s="127">
        <v>1</v>
      </c>
      <c r="AR145" s="42">
        <v>0.94</v>
      </c>
      <c r="AS145" s="43">
        <v>0.0001</v>
      </c>
      <c r="AT145">
        <v>1</v>
      </c>
      <c r="AU145">
        <v>0.0001</v>
      </c>
      <c r="AV145" t="s">
        <v>51</v>
      </c>
    </row>
    <row r="146" spans="1:48" ht="12.75">
      <c r="A146">
        <v>11</v>
      </c>
      <c r="B146" t="s">
        <v>51</v>
      </c>
      <c r="C146" s="5">
        <v>0.125</v>
      </c>
      <c r="D146" s="20">
        <v>0.024379027917052397</v>
      </c>
      <c r="E146" s="30">
        <v>1</v>
      </c>
      <c r="F146" s="5">
        <v>15.00919585918273</v>
      </c>
      <c r="G146" s="5">
        <v>0.20833333333333331</v>
      </c>
      <c r="H146" s="20">
        <v>0.024608162704924476</v>
      </c>
      <c r="I146" s="6">
        <v>1</v>
      </c>
      <c r="J146" s="5">
        <v>7.222186282530657</v>
      </c>
      <c r="K146" s="5">
        <v>0.20833333333333331</v>
      </c>
      <c r="L146" s="20">
        <v>0.024608334122428466</v>
      </c>
      <c r="M146" s="6">
        <v>1</v>
      </c>
      <c r="N146" s="5">
        <v>7.222187476822433</v>
      </c>
      <c r="O146" s="5">
        <v>1.5</v>
      </c>
      <c r="P146" s="20">
        <v>0.025589657358252933</v>
      </c>
      <c r="Q146" s="6">
        <v>1</v>
      </c>
      <c r="R146" s="5">
        <v>7.222183934131042</v>
      </c>
      <c r="S146" s="2">
        <v>0.02447916666666661</v>
      </c>
      <c r="T146" s="20">
        <v>1</v>
      </c>
      <c r="U146" s="6">
        <v>0.0001</v>
      </c>
      <c r="V146" s="5">
        <v>57.00502703343035</v>
      </c>
      <c r="W146" s="5">
        <v>2.334375</v>
      </c>
      <c r="X146" s="20">
        <v>1</v>
      </c>
      <c r="Y146" s="6">
        <v>0.0001</v>
      </c>
      <c r="Z146" s="20">
        <v>7.222205270709394</v>
      </c>
      <c r="AA146" s="5">
        <v>2.875868055555554</v>
      </c>
      <c r="AB146" s="20">
        <v>1</v>
      </c>
      <c r="AC146" s="6">
        <v>0.0001</v>
      </c>
      <c r="AD146" s="5">
        <v>5.9010746557465215</v>
      </c>
      <c r="AE146" s="5">
        <v>7.411848958333353</v>
      </c>
      <c r="AF146" s="20">
        <v>1</v>
      </c>
      <c r="AG146" s="6">
        <v>0.0001</v>
      </c>
      <c r="AH146" s="5">
        <v>4</v>
      </c>
      <c r="AI146" s="5">
        <v>7.459375000000018</v>
      </c>
      <c r="AJ146" s="20">
        <v>1</v>
      </c>
      <c r="AK146" s="6">
        <v>0.0001</v>
      </c>
      <c r="AL146" s="5">
        <v>4.04912675879203</v>
      </c>
      <c r="AM146" s="5">
        <v>12.334375</v>
      </c>
      <c r="AN146" s="20">
        <v>1</v>
      </c>
      <c r="AO146" s="6">
        <v>0.0001</v>
      </c>
      <c r="AP146" s="5">
        <v>4</v>
      </c>
      <c r="AQ146" s="127">
        <v>1</v>
      </c>
      <c r="AR146" s="42">
        <v>0.94</v>
      </c>
      <c r="AS146" s="43">
        <v>0.0001</v>
      </c>
      <c r="AT146">
        <v>1</v>
      </c>
      <c r="AU146">
        <v>0.0001</v>
      </c>
      <c r="AV146" t="s">
        <v>51</v>
      </c>
    </row>
    <row r="147" spans="1:48" ht="12.75">
      <c r="A147">
        <v>12</v>
      </c>
      <c r="B147" t="s">
        <v>51</v>
      </c>
      <c r="C147" s="5">
        <v>0.125</v>
      </c>
      <c r="D147" s="20">
        <v>0.024378404905495504</v>
      </c>
      <c r="E147" s="30">
        <v>1</v>
      </c>
      <c r="F147" s="5">
        <v>15.009533084177122</v>
      </c>
      <c r="G147" s="5">
        <v>0.20833333333333331</v>
      </c>
      <c r="H147" s="20">
        <v>0.024604792850042977</v>
      </c>
      <c r="I147" s="6">
        <v>1</v>
      </c>
      <c r="J147" s="5">
        <v>7.222186284222503</v>
      </c>
      <c r="K147" s="5">
        <v>0.20833333333333331</v>
      </c>
      <c r="L147" s="20">
        <v>0.02460529632496441</v>
      </c>
      <c r="M147" s="6">
        <v>1</v>
      </c>
      <c r="N147" s="5">
        <v>7.222187502266453</v>
      </c>
      <c r="O147" s="5">
        <v>1.5</v>
      </c>
      <c r="P147" s="20">
        <v>0.025585509568410048</v>
      </c>
      <c r="Q147" s="6">
        <v>1</v>
      </c>
      <c r="R147" s="5">
        <v>7.222183943606829</v>
      </c>
      <c r="S147" s="2">
        <v>0.02447916666666661</v>
      </c>
      <c r="T147" s="20">
        <v>1</v>
      </c>
      <c r="U147" s="6">
        <v>0.0001</v>
      </c>
      <c r="V147" s="5">
        <v>57.005027049385625</v>
      </c>
      <c r="W147" s="5">
        <v>2.334375</v>
      </c>
      <c r="X147" s="20">
        <v>1</v>
      </c>
      <c r="Y147" s="6">
        <v>0.0001</v>
      </c>
      <c r="Z147" s="20">
        <v>7.222205244040151</v>
      </c>
      <c r="AA147" s="5">
        <v>2.8732552083333314</v>
      </c>
      <c r="AB147" s="20">
        <v>1</v>
      </c>
      <c r="AC147" s="6">
        <v>0.0001</v>
      </c>
      <c r="AD147" s="5">
        <v>5.901097019557623</v>
      </c>
      <c r="AE147" s="5">
        <v>7.376041666666685</v>
      </c>
      <c r="AF147" s="20">
        <v>1</v>
      </c>
      <c r="AG147" s="6">
        <v>0.0001</v>
      </c>
      <c r="AH147" s="5">
        <v>4</v>
      </c>
      <c r="AI147" s="5">
        <v>7.459027777777797</v>
      </c>
      <c r="AJ147" s="20">
        <v>1</v>
      </c>
      <c r="AK147" s="6">
        <v>0.0001</v>
      </c>
      <c r="AL147" s="5">
        <v>4.021519336811696</v>
      </c>
      <c r="AM147" s="5">
        <v>12.334375</v>
      </c>
      <c r="AN147" s="20">
        <v>1</v>
      </c>
      <c r="AO147" s="6">
        <v>0.0001</v>
      </c>
      <c r="AP147" s="5">
        <v>4</v>
      </c>
      <c r="AQ147" s="127">
        <v>1</v>
      </c>
      <c r="AR147" s="42">
        <v>0.94</v>
      </c>
      <c r="AS147" s="43">
        <v>0.0001</v>
      </c>
      <c r="AT147">
        <v>1</v>
      </c>
      <c r="AU147">
        <v>0.0001</v>
      </c>
      <c r="AV147" t="s">
        <v>51</v>
      </c>
    </row>
    <row r="148" spans="1:48" ht="12.75">
      <c r="A148">
        <v>13</v>
      </c>
      <c r="B148" t="s">
        <v>51</v>
      </c>
      <c r="C148" s="5">
        <v>0.125</v>
      </c>
      <c r="D148" s="20">
        <v>0.024372358776952673</v>
      </c>
      <c r="E148" s="30">
        <v>1</v>
      </c>
      <c r="F148" s="5">
        <v>15.034808768386306</v>
      </c>
      <c r="G148" s="5">
        <v>0.20833333333333331</v>
      </c>
      <c r="H148" s="20">
        <v>0.02457297196654646</v>
      </c>
      <c r="I148" s="6">
        <v>1</v>
      </c>
      <c r="J148" s="5">
        <v>7.2221862825306635</v>
      </c>
      <c r="K148" s="5">
        <v>0.20833333333333331</v>
      </c>
      <c r="L148" s="20">
        <v>0.024573785703434665</v>
      </c>
      <c r="M148" s="6">
        <v>1</v>
      </c>
      <c r="N148" s="5">
        <v>7.222187556578267</v>
      </c>
      <c r="O148" s="5">
        <v>1.4583333333333337</v>
      </c>
      <c r="P148" s="20">
        <v>0.025550349945529682</v>
      </c>
      <c r="Q148" s="6">
        <v>1</v>
      </c>
      <c r="R148" s="5">
        <v>7.222183919292415</v>
      </c>
      <c r="S148" s="2">
        <v>0.02447916666666661</v>
      </c>
      <c r="T148" s="20">
        <v>1</v>
      </c>
      <c r="U148" s="6">
        <v>0.0001</v>
      </c>
      <c r="V148" s="5">
        <v>57.00502699432738</v>
      </c>
      <c r="W148" s="5">
        <v>2.292708333333333</v>
      </c>
      <c r="X148" s="20">
        <v>1</v>
      </c>
      <c r="Y148" s="6">
        <v>0.0001</v>
      </c>
      <c r="Z148" s="20">
        <v>7.222205283907255</v>
      </c>
      <c r="AA148" s="5">
        <v>2.829157986111109</v>
      </c>
      <c r="AB148" s="20">
        <v>1</v>
      </c>
      <c r="AC148" s="6">
        <v>0.0001</v>
      </c>
      <c r="AD148" s="5">
        <v>5.9028027332588335</v>
      </c>
      <c r="AE148" s="5">
        <v>7.334375000000018</v>
      </c>
      <c r="AF148" s="20">
        <v>1</v>
      </c>
      <c r="AG148" s="6">
        <v>0.0001</v>
      </c>
      <c r="AH148" s="5">
        <v>4</v>
      </c>
      <c r="AI148" s="5">
        <v>7.376041666666685</v>
      </c>
      <c r="AJ148" s="20">
        <v>1</v>
      </c>
      <c r="AK148" s="6">
        <v>0.0001</v>
      </c>
      <c r="AL148" s="5">
        <v>4</v>
      </c>
      <c r="AM148" s="5">
        <v>12.292708333333294</v>
      </c>
      <c r="AN148" s="20">
        <v>1</v>
      </c>
      <c r="AO148" s="6">
        <v>0.0001</v>
      </c>
      <c r="AP148" s="5">
        <v>4</v>
      </c>
      <c r="AQ148" s="127">
        <v>1</v>
      </c>
      <c r="AR148" s="42">
        <v>0.94</v>
      </c>
      <c r="AS148" s="43">
        <v>0.0001</v>
      </c>
      <c r="AT148">
        <v>1</v>
      </c>
      <c r="AU148">
        <v>0.0001</v>
      </c>
      <c r="AV148" t="s">
        <v>51</v>
      </c>
    </row>
    <row r="149" spans="1:48" ht="12.75">
      <c r="A149">
        <v>14</v>
      </c>
      <c r="B149" t="s">
        <v>51</v>
      </c>
      <c r="C149" s="5">
        <v>0.125</v>
      </c>
      <c r="D149" s="20">
        <v>0.024379027917052397</v>
      </c>
      <c r="E149" s="30">
        <v>1</v>
      </c>
      <c r="F149" s="5">
        <v>15.00919585918273</v>
      </c>
      <c r="G149" s="5">
        <v>0.20833333333333331</v>
      </c>
      <c r="H149" s="20">
        <v>0.024608187640850442</v>
      </c>
      <c r="I149" s="6">
        <v>1</v>
      </c>
      <c r="J149" s="5">
        <v>11.66662557667908</v>
      </c>
      <c r="K149" s="5">
        <v>0.20833333333333331</v>
      </c>
      <c r="L149" s="20">
        <v>0.024608334122428466</v>
      </c>
      <c r="M149" s="6">
        <v>1</v>
      </c>
      <c r="N149" s="5">
        <v>11.666627156596101</v>
      </c>
      <c r="O149" s="5">
        <v>1.5</v>
      </c>
      <c r="P149" s="20">
        <v>0.025848155990520753</v>
      </c>
      <c r="Q149" s="6">
        <v>1</v>
      </c>
      <c r="R149" s="5">
        <v>11.666623368953644</v>
      </c>
      <c r="S149" s="2">
        <v>0.02395833333333328</v>
      </c>
      <c r="T149" s="20">
        <v>1</v>
      </c>
      <c r="U149" s="6">
        <v>0.0001</v>
      </c>
      <c r="V149" s="5">
        <v>56.98654774778269</v>
      </c>
      <c r="W149" s="5">
        <v>2.332986111111111</v>
      </c>
      <c r="X149" s="20">
        <v>1</v>
      </c>
      <c r="Y149" s="6">
        <v>0.0001</v>
      </c>
      <c r="Z149" s="20">
        <v>11.666648749245997</v>
      </c>
      <c r="AA149" s="5">
        <v>2.8746527777777757</v>
      </c>
      <c r="AB149" s="20">
        <v>1</v>
      </c>
      <c r="AC149" s="6">
        <v>0.0001</v>
      </c>
      <c r="AD149" s="5">
        <v>6.3981616234054925</v>
      </c>
      <c r="AE149" s="5">
        <v>7.41157986111113</v>
      </c>
      <c r="AF149" s="20">
        <v>1</v>
      </c>
      <c r="AG149" s="6">
        <v>0.0001</v>
      </c>
      <c r="AH149" s="5">
        <v>4</v>
      </c>
      <c r="AI149" s="5">
        <v>7.457986111111129</v>
      </c>
      <c r="AJ149" s="20">
        <v>1</v>
      </c>
      <c r="AK149" s="6">
        <v>0.0001</v>
      </c>
      <c r="AL149" s="5">
        <v>4.061096882785152</v>
      </c>
      <c r="AM149" s="5">
        <v>12.332986111111072</v>
      </c>
      <c r="AN149" s="20">
        <v>1</v>
      </c>
      <c r="AO149" s="6">
        <v>0.0001</v>
      </c>
      <c r="AP149" s="5">
        <v>4</v>
      </c>
      <c r="AQ149" s="127">
        <v>1</v>
      </c>
      <c r="AR149" s="42">
        <v>0.94</v>
      </c>
      <c r="AS149" s="43">
        <v>0.0001</v>
      </c>
      <c r="AT149">
        <v>1</v>
      </c>
      <c r="AU149">
        <v>0.0001</v>
      </c>
      <c r="AV149" t="s">
        <v>51</v>
      </c>
    </row>
    <row r="150" spans="1:48" ht="12.75">
      <c r="A150">
        <v>15</v>
      </c>
      <c r="B150" t="s">
        <v>51</v>
      </c>
      <c r="C150" s="5">
        <v>0.125</v>
      </c>
      <c r="D150" s="20">
        <v>0.024378404905495504</v>
      </c>
      <c r="E150" s="30">
        <v>1</v>
      </c>
      <c r="F150" s="5">
        <v>15.009533084177122</v>
      </c>
      <c r="G150" s="5">
        <v>0.20833333333333331</v>
      </c>
      <c r="H150" s="20">
        <v>0.02460529632496441</v>
      </c>
      <c r="I150" s="6">
        <v>1</v>
      </c>
      <c r="J150" s="5">
        <v>11.666625552599287</v>
      </c>
      <c r="K150" s="5">
        <v>0.20833333333333331</v>
      </c>
      <c r="L150" s="20">
        <v>0.02460543497867153</v>
      </c>
      <c r="M150" s="6">
        <v>1</v>
      </c>
      <c r="N150" s="5">
        <v>11.666627198186879</v>
      </c>
      <c r="O150" s="5">
        <v>1.5</v>
      </c>
      <c r="P150" s="20">
        <v>0.025845763013345957</v>
      </c>
      <c r="Q150" s="6">
        <v>1</v>
      </c>
      <c r="R150" s="5">
        <v>11.666623378319693</v>
      </c>
      <c r="S150" s="2">
        <v>0.02395833333333328</v>
      </c>
      <c r="T150" s="20">
        <v>1</v>
      </c>
      <c r="U150" s="6">
        <v>0.0001</v>
      </c>
      <c r="V150" s="5">
        <v>56.98654774815928</v>
      </c>
      <c r="W150" s="5">
        <v>2.332986111111111</v>
      </c>
      <c r="X150" s="20">
        <v>1</v>
      </c>
      <c r="Y150" s="6">
        <v>0.0001</v>
      </c>
      <c r="Z150" s="20">
        <v>11.66664868572851</v>
      </c>
      <c r="AA150" s="5">
        <v>2.872899305555554</v>
      </c>
      <c r="AB150" s="20">
        <v>1</v>
      </c>
      <c r="AC150" s="6">
        <v>0.0001</v>
      </c>
      <c r="AD150" s="5">
        <v>6.391610955291521</v>
      </c>
      <c r="AE150" s="5">
        <v>7.374652777777796</v>
      </c>
      <c r="AF150" s="20">
        <v>1</v>
      </c>
      <c r="AG150" s="6">
        <v>0.0001</v>
      </c>
      <c r="AH150" s="5">
        <v>4</v>
      </c>
      <c r="AI150" s="5">
        <v>7.457812500000019</v>
      </c>
      <c r="AJ150" s="20">
        <v>1</v>
      </c>
      <c r="AK150" s="6">
        <v>0.0001</v>
      </c>
      <c r="AL150" s="5">
        <v>4.044023943270151</v>
      </c>
      <c r="AM150" s="5">
        <v>12.332986111111072</v>
      </c>
      <c r="AN150" s="20">
        <v>1</v>
      </c>
      <c r="AO150" s="6">
        <v>0.0001</v>
      </c>
      <c r="AP150" s="5">
        <v>4</v>
      </c>
      <c r="AQ150" s="127">
        <v>1</v>
      </c>
      <c r="AR150" s="42">
        <v>0.94</v>
      </c>
      <c r="AS150" s="43">
        <v>0.0001</v>
      </c>
      <c r="AT150">
        <v>1</v>
      </c>
      <c r="AU150">
        <v>0.0001</v>
      </c>
      <c r="AV150" t="s">
        <v>51</v>
      </c>
    </row>
    <row r="151" spans="1:48" ht="12.75">
      <c r="A151">
        <v>16</v>
      </c>
      <c r="B151" t="s">
        <v>51</v>
      </c>
      <c r="C151" s="5">
        <v>0.125</v>
      </c>
      <c r="D151" s="20">
        <v>0.024372358776952673</v>
      </c>
      <c r="E151" s="30">
        <v>1</v>
      </c>
      <c r="F151" s="5">
        <v>15.034808768386306</v>
      </c>
      <c r="G151" s="5">
        <v>0.20833333333333331</v>
      </c>
      <c r="H151" s="20">
        <v>0.02457382320812953</v>
      </c>
      <c r="I151" s="6">
        <v>1</v>
      </c>
      <c r="J151" s="5">
        <v>11.666625553500163</v>
      </c>
      <c r="K151" s="5">
        <v>0.20833333333333331</v>
      </c>
      <c r="L151" s="20">
        <v>0.02457382320812953</v>
      </c>
      <c r="M151" s="6">
        <v>1</v>
      </c>
      <c r="N151" s="5">
        <v>11.666627216277961</v>
      </c>
      <c r="O151" s="5">
        <v>1.4583333333333337</v>
      </c>
      <c r="P151" s="20">
        <v>0.02580039344250797</v>
      </c>
      <c r="Q151" s="6">
        <v>1</v>
      </c>
      <c r="R151" s="5">
        <v>11.666623368953644</v>
      </c>
      <c r="S151" s="2">
        <v>0.02395833333333328</v>
      </c>
      <c r="T151" s="20">
        <v>1</v>
      </c>
      <c r="U151" s="6">
        <v>0.0001</v>
      </c>
      <c r="V151" s="5">
        <v>56.98654774726151</v>
      </c>
      <c r="W151" s="5">
        <v>2.2913194444444445</v>
      </c>
      <c r="X151" s="20">
        <v>1</v>
      </c>
      <c r="Y151" s="6">
        <v>0.0001</v>
      </c>
      <c r="Z151" s="20">
        <v>11.666648794678673</v>
      </c>
      <c r="AA151" s="5">
        <v>2.8288194444444428</v>
      </c>
      <c r="AB151" s="20">
        <v>1</v>
      </c>
      <c r="AC151" s="6">
        <v>0.0001</v>
      </c>
      <c r="AD151" s="5">
        <v>6.404203753045519</v>
      </c>
      <c r="AE151" s="5">
        <v>7.332986111111129</v>
      </c>
      <c r="AF151" s="20">
        <v>1</v>
      </c>
      <c r="AG151" s="6">
        <v>0.0001</v>
      </c>
      <c r="AH151" s="5">
        <v>4</v>
      </c>
      <c r="AI151" s="5">
        <v>7.374652777777796</v>
      </c>
      <c r="AJ151" s="20">
        <v>1</v>
      </c>
      <c r="AK151" s="6">
        <v>0.0001</v>
      </c>
      <c r="AL151" s="5">
        <v>4</v>
      </c>
      <c r="AM151" s="5">
        <v>12.291319444444406</v>
      </c>
      <c r="AN151" s="20">
        <v>1</v>
      </c>
      <c r="AO151" s="6">
        <v>0.0001</v>
      </c>
      <c r="AP151" s="5">
        <v>4</v>
      </c>
      <c r="AQ151" s="127">
        <v>1</v>
      </c>
      <c r="AR151" s="42">
        <v>0.94</v>
      </c>
      <c r="AS151" s="43">
        <v>0.0001</v>
      </c>
      <c r="AT151">
        <v>1</v>
      </c>
      <c r="AU151">
        <v>0.0001</v>
      </c>
      <c r="AV151" t="s">
        <v>51</v>
      </c>
    </row>
    <row r="152" spans="1:48" ht="12.75">
      <c r="A152">
        <v>17</v>
      </c>
      <c r="B152" t="s">
        <v>51</v>
      </c>
      <c r="C152" s="5">
        <v>0.125</v>
      </c>
      <c r="D152" s="20">
        <v>0.024379027917052397</v>
      </c>
      <c r="E152" s="30">
        <v>1</v>
      </c>
      <c r="F152" s="5">
        <v>15.00919585918273</v>
      </c>
      <c r="G152" s="5">
        <v>0.20833333333333331</v>
      </c>
      <c r="H152" s="20">
        <v>0.024608334122428466</v>
      </c>
      <c r="I152" s="6">
        <v>1</v>
      </c>
      <c r="J152" s="5">
        <v>15.555497962919308</v>
      </c>
      <c r="K152" s="5">
        <v>0.20833333333333331</v>
      </c>
      <c r="L152" s="20">
        <v>0.02460836855297286</v>
      </c>
      <c r="M152" s="6">
        <v>1</v>
      </c>
      <c r="N152" s="5">
        <v>15.555500907285062</v>
      </c>
      <c r="O152" s="5">
        <v>1.5</v>
      </c>
      <c r="P152" s="20">
        <v>0.026182705495757973</v>
      </c>
      <c r="Q152" s="6">
        <v>1</v>
      </c>
      <c r="R152" s="5">
        <v>15.555499239511628</v>
      </c>
      <c r="S152" s="2">
        <v>0.02361111111111106</v>
      </c>
      <c r="T152" s="20">
        <v>1</v>
      </c>
      <c r="U152" s="6">
        <v>0.0001</v>
      </c>
      <c r="V152" s="5">
        <v>56.99176891661456</v>
      </c>
      <c r="W152" s="5">
        <v>2.3319444444444444</v>
      </c>
      <c r="X152" s="20">
        <v>1</v>
      </c>
      <c r="Y152" s="6">
        <v>0.0001</v>
      </c>
      <c r="Z152" s="20">
        <v>15.555530172128327</v>
      </c>
      <c r="AA152" s="5">
        <v>2.873611111111109</v>
      </c>
      <c r="AB152" s="20">
        <v>1</v>
      </c>
      <c r="AC152" s="6">
        <v>0.0001</v>
      </c>
      <c r="AD152" s="5">
        <v>6.618377884481133</v>
      </c>
      <c r="AE152" s="5">
        <v>7.41259548611113</v>
      </c>
      <c r="AF152" s="20">
        <v>1</v>
      </c>
      <c r="AG152" s="6">
        <v>0.0001</v>
      </c>
      <c r="AH152" s="5">
        <v>4</v>
      </c>
      <c r="AI152" s="5">
        <v>7.456944444444463</v>
      </c>
      <c r="AJ152" s="20">
        <v>1</v>
      </c>
      <c r="AK152" s="6">
        <v>0.0001</v>
      </c>
      <c r="AL152" s="5">
        <v>4.074075519854849</v>
      </c>
      <c r="AM152" s="5">
        <v>12.331944444444407</v>
      </c>
      <c r="AN152" s="20">
        <v>1</v>
      </c>
      <c r="AO152" s="6">
        <v>0.0001</v>
      </c>
      <c r="AP152" s="5">
        <v>4</v>
      </c>
      <c r="AQ152" s="127">
        <v>1</v>
      </c>
      <c r="AR152" s="42">
        <v>0.94</v>
      </c>
      <c r="AS152" s="43">
        <v>0.0001</v>
      </c>
      <c r="AT152">
        <v>1</v>
      </c>
      <c r="AU152">
        <v>0.0001</v>
      </c>
      <c r="AV152" t="s">
        <v>51</v>
      </c>
    </row>
    <row r="153" spans="1:48" ht="12.75">
      <c r="A153">
        <v>18</v>
      </c>
      <c r="B153" t="s">
        <v>51</v>
      </c>
      <c r="C153" s="5">
        <v>0.125</v>
      </c>
      <c r="D153" s="20">
        <v>0.024378404905495504</v>
      </c>
      <c r="E153" s="30">
        <v>1</v>
      </c>
      <c r="F153" s="5">
        <v>15.009533084177122</v>
      </c>
      <c r="G153" s="5">
        <v>0.20833333333333331</v>
      </c>
      <c r="H153" s="20">
        <v>0.02460543497867153</v>
      </c>
      <c r="I153" s="6">
        <v>1</v>
      </c>
      <c r="J153" s="5">
        <v>15.555497966310321</v>
      </c>
      <c r="K153" s="5">
        <v>0.20833333333333331</v>
      </c>
      <c r="L153" s="20">
        <v>0.024605539413386363</v>
      </c>
      <c r="M153" s="6">
        <v>1</v>
      </c>
      <c r="N153" s="5">
        <v>15.555500926209978</v>
      </c>
      <c r="O153" s="5">
        <v>1.5</v>
      </c>
      <c r="P153" s="20">
        <v>0.026174718345123103</v>
      </c>
      <c r="Q153" s="6">
        <v>1</v>
      </c>
      <c r="R153" s="5">
        <v>15.555499222156627</v>
      </c>
      <c r="S153" s="2">
        <v>0.02361111111111106</v>
      </c>
      <c r="T153" s="20">
        <v>1</v>
      </c>
      <c r="U153" s="6">
        <v>0.0001</v>
      </c>
      <c r="V153" s="5">
        <v>56.99176891786296</v>
      </c>
      <c r="W153" s="5">
        <v>2.3319444444444444</v>
      </c>
      <c r="X153" s="20">
        <v>1</v>
      </c>
      <c r="Y153" s="6">
        <v>0.0001</v>
      </c>
      <c r="Z153" s="20">
        <v>15.555530161255348</v>
      </c>
      <c r="AA153" s="5">
        <v>2.873072916666665</v>
      </c>
      <c r="AB153" s="20">
        <v>1</v>
      </c>
      <c r="AC153" s="6">
        <v>0.0001</v>
      </c>
      <c r="AD153" s="5">
        <v>6.621309665384733</v>
      </c>
      <c r="AE153" s="5">
        <v>7.3736111111111295</v>
      </c>
      <c r="AF153" s="20">
        <v>1</v>
      </c>
      <c r="AG153" s="6">
        <v>0.0001</v>
      </c>
      <c r="AH153" s="5">
        <v>4</v>
      </c>
      <c r="AI153" s="5">
        <v>7.456770833333352</v>
      </c>
      <c r="AJ153" s="20">
        <v>1</v>
      </c>
      <c r="AK153" s="6">
        <v>0.0001</v>
      </c>
      <c r="AL153" s="5">
        <v>4.046653303733814</v>
      </c>
      <c r="AM153" s="5">
        <v>12.331944444444407</v>
      </c>
      <c r="AN153" s="20">
        <v>1</v>
      </c>
      <c r="AO153" s="6">
        <v>0.0001</v>
      </c>
      <c r="AP153" s="5">
        <v>4</v>
      </c>
      <c r="AQ153" s="127">
        <v>1</v>
      </c>
      <c r="AR153" s="42">
        <v>0.94</v>
      </c>
      <c r="AS153" s="43">
        <v>0.0001</v>
      </c>
      <c r="AT153">
        <v>1</v>
      </c>
      <c r="AU153">
        <v>0.0001</v>
      </c>
      <c r="AV153" t="s">
        <v>51</v>
      </c>
    </row>
    <row r="154" spans="1:48" ht="12.75">
      <c r="A154">
        <v>19</v>
      </c>
      <c r="B154" t="s">
        <v>51</v>
      </c>
      <c r="C154" s="5">
        <v>0.125</v>
      </c>
      <c r="D154" s="20">
        <v>0.024372358776952673</v>
      </c>
      <c r="E154" s="30">
        <v>1</v>
      </c>
      <c r="F154" s="5">
        <v>15.034808768386306</v>
      </c>
      <c r="G154" s="5">
        <v>0.20833333333333331</v>
      </c>
      <c r="H154" s="20">
        <v>0.02457382320812953</v>
      </c>
      <c r="I154" s="6">
        <v>1</v>
      </c>
      <c r="J154" s="5">
        <v>15.555498001452836</v>
      </c>
      <c r="K154" s="5">
        <v>0.20833333333333331</v>
      </c>
      <c r="L154" s="20">
        <v>0.02457404614692202</v>
      </c>
      <c r="M154" s="6">
        <v>1</v>
      </c>
      <c r="N154" s="5">
        <v>15.555500910582726</v>
      </c>
      <c r="O154" s="5">
        <v>1.4583333333333337</v>
      </c>
      <c r="P154" s="20">
        <v>0.026121583249229318</v>
      </c>
      <c r="Q154" s="6">
        <v>1</v>
      </c>
      <c r="R154" s="5">
        <v>15.555499222216582</v>
      </c>
      <c r="S154" s="2">
        <v>0.02361111111111106</v>
      </c>
      <c r="T154" s="20">
        <v>1</v>
      </c>
      <c r="U154" s="6">
        <v>0.0001</v>
      </c>
      <c r="V154" s="5">
        <v>56.99176891579116</v>
      </c>
      <c r="W154" s="5">
        <v>2.290277777777778</v>
      </c>
      <c r="X154" s="20">
        <v>1</v>
      </c>
      <c r="Y154" s="6">
        <v>0.0001</v>
      </c>
      <c r="Z154" s="20">
        <v>15.555530223905354</v>
      </c>
      <c r="AA154" s="5">
        <v>2.829678819444444</v>
      </c>
      <c r="AB154" s="20">
        <v>1</v>
      </c>
      <c r="AC154" s="6">
        <v>0.0001</v>
      </c>
      <c r="AD154" s="5">
        <v>6.62636200395258</v>
      </c>
      <c r="AE154" s="5">
        <v>7.331944444444463</v>
      </c>
      <c r="AF154" s="20">
        <v>1</v>
      </c>
      <c r="AG154" s="6">
        <v>0.0001</v>
      </c>
      <c r="AH154" s="5">
        <v>4</v>
      </c>
      <c r="AI154" s="5">
        <v>7.3736111111111295</v>
      </c>
      <c r="AJ154" s="20">
        <v>1</v>
      </c>
      <c r="AK154" s="6">
        <v>0.0001</v>
      </c>
      <c r="AL154" s="5">
        <v>4</v>
      </c>
      <c r="AM154" s="5">
        <v>12.290277777777739</v>
      </c>
      <c r="AN154" s="20">
        <v>1</v>
      </c>
      <c r="AO154" s="6">
        <v>0.0001</v>
      </c>
      <c r="AP154" s="5">
        <v>4</v>
      </c>
      <c r="AQ154" s="127">
        <v>1</v>
      </c>
      <c r="AR154" s="42">
        <v>0.94</v>
      </c>
      <c r="AS154" s="43">
        <v>0.0001</v>
      </c>
      <c r="AT154">
        <v>1</v>
      </c>
      <c r="AU154">
        <v>0.0001</v>
      </c>
      <c r="AV154" t="s">
        <v>51</v>
      </c>
    </row>
    <row r="155" spans="1:48" ht="12.75">
      <c r="A155">
        <v>20</v>
      </c>
      <c r="B155" t="s">
        <v>51</v>
      </c>
      <c r="C155" s="5">
        <v>0.125</v>
      </c>
      <c r="D155" s="20">
        <v>0.02437916127547802</v>
      </c>
      <c r="E155" s="30">
        <v>1</v>
      </c>
      <c r="F155" s="5">
        <v>15.00919585918273</v>
      </c>
      <c r="G155" s="5">
        <v>0.20833333333333331</v>
      </c>
      <c r="H155" s="20">
        <v>0.0246086548857248</v>
      </c>
      <c r="I155" s="6">
        <v>1</v>
      </c>
      <c r="J155" s="5">
        <v>6.9078280314107845</v>
      </c>
      <c r="K155" s="5">
        <v>0.20833333333333331</v>
      </c>
      <c r="L155" s="20">
        <v>0.024609005527868388</v>
      </c>
      <c r="M155" s="6">
        <v>1</v>
      </c>
      <c r="N155" s="5">
        <v>5.4219098676970905</v>
      </c>
      <c r="O155" s="5">
        <v>1.5</v>
      </c>
      <c r="P155" s="20">
        <v>0.025844101199776204</v>
      </c>
      <c r="Q155" s="6">
        <v>1</v>
      </c>
      <c r="R155" s="5">
        <v>4</v>
      </c>
      <c r="S155" s="2">
        <v>0.023263888888888837</v>
      </c>
      <c r="T155" s="20">
        <v>1</v>
      </c>
      <c r="U155" s="6">
        <v>0.0001</v>
      </c>
      <c r="V155" s="5">
        <v>56.98775399362629</v>
      </c>
      <c r="W155" s="5">
        <v>2.3328125</v>
      </c>
      <c r="X155" s="20">
        <v>1</v>
      </c>
      <c r="Y155" s="6">
        <v>0.0001</v>
      </c>
      <c r="Z155" s="20">
        <v>4.208092478845065</v>
      </c>
      <c r="AA155" s="5">
        <v>2.8734375</v>
      </c>
      <c r="AB155" s="20">
        <v>1</v>
      </c>
      <c r="AC155" s="6">
        <v>0.0001</v>
      </c>
      <c r="AD155" s="5">
        <v>5.727852492331023</v>
      </c>
      <c r="AE155" s="5">
        <v>7.413871527777796</v>
      </c>
      <c r="AF155" s="20">
        <v>1</v>
      </c>
      <c r="AG155" s="6">
        <v>0.0001</v>
      </c>
      <c r="AH155" s="5">
        <v>4</v>
      </c>
      <c r="AI155" s="5">
        <v>7.457465277777796</v>
      </c>
      <c r="AJ155" s="20">
        <v>1</v>
      </c>
      <c r="AK155" s="6">
        <v>0.0001</v>
      </c>
      <c r="AL155" s="5">
        <v>4.080917715550352</v>
      </c>
      <c r="AM155" s="5">
        <v>12.334713541666625</v>
      </c>
      <c r="AN155" s="20">
        <v>1</v>
      </c>
      <c r="AO155" s="6">
        <v>0.0001</v>
      </c>
      <c r="AP155" s="5">
        <v>4</v>
      </c>
      <c r="AQ155" s="127">
        <v>1</v>
      </c>
      <c r="AR155" s="42">
        <v>0.94</v>
      </c>
      <c r="AS155" s="43">
        <v>0.0001</v>
      </c>
      <c r="AT155">
        <v>1</v>
      </c>
      <c r="AU155">
        <v>0.0001</v>
      </c>
      <c r="AV155" t="s">
        <v>51</v>
      </c>
    </row>
    <row r="156" spans="1:48" ht="12.75">
      <c r="A156">
        <v>21</v>
      </c>
      <c r="B156" t="s">
        <v>51</v>
      </c>
      <c r="C156" s="5">
        <v>0.125</v>
      </c>
      <c r="D156" s="20">
        <v>0.024379027917052397</v>
      </c>
      <c r="E156" s="30">
        <v>1</v>
      </c>
      <c r="F156" s="5">
        <v>15.00919585918273</v>
      </c>
      <c r="G156" s="5">
        <v>0.20833333333333331</v>
      </c>
      <c r="H156" s="20">
        <v>0.024608162704924476</v>
      </c>
      <c r="I156" s="6">
        <v>1</v>
      </c>
      <c r="J156" s="5">
        <v>7.222186282530657</v>
      </c>
      <c r="K156" s="5">
        <v>0.20833333333333331</v>
      </c>
      <c r="L156" s="20">
        <v>0.024608334122428466</v>
      </c>
      <c r="M156" s="6">
        <v>1</v>
      </c>
      <c r="N156" s="5">
        <v>7.222187476822433</v>
      </c>
      <c r="O156" s="5">
        <v>1.5</v>
      </c>
      <c r="P156" s="20">
        <v>0.025589657358252933</v>
      </c>
      <c r="Q156" s="6">
        <v>1</v>
      </c>
      <c r="R156" s="5">
        <v>7.222183934131042</v>
      </c>
      <c r="S156" s="2">
        <v>0.03229166666666659</v>
      </c>
      <c r="T156" s="20">
        <v>1</v>
      </c>
      <c r="U156" s="6">
        <v>0.0001</v>
      </c>
      <c r="V156" s="5">
        <v>57.703301975243185</v>
      </c>
      <c r="W156" s="5">
        <v>2.342013888888889</v>
      </c>
      <c r="X156" s="20">
        <v>1</v>
      </c>
      <c r="Y156" s="6">
        <v>0.0001</v>
      </c>
      <c r="Z156" s="20">
        <v>7.222205287788238</v>
      </c>
      <c r="AA156" s="5">
        <v>2.8836805555555536</v>
      </c>
      <c r="AB156" s="20">
        <v>1</v>
      </c>
      <c r="AC156" s="6">
        <v>0.0001</v>
      </c>
      <c r="AD156" s="5">
        <v>5.902670170831998</v>
      </c>
      <c r="AE156" s="5">
        <v>7.419817708333353</v>
      </c>
      <c r="AF156" s="20">
        <v>1</v>
      </c>
      <c r="AG156" s="6">
        <v>0.0001</v>
      </c>
      <c r="AH156" s="5">
        <v>4</v>
      </c>
      <c r="AI156" s="5">
        <v>7.467013888888907</v>
      </c>
      <c r="AJ156" s="20">
        <v>1</v>
      </c>
      <c r="AK156" s="6">
        <v>0.0001</v>
      </c>
      <c r="AL156" s="5">
        <v>4.04912675879203</v>
      </c>
      <c r="AM156" s="5">
        <v>12.34201388888885</v>
      </c>
      <c r="AN156" s="20">
        <v>1</v>
      </c>
      <c r="AO156" s="6">
        <v>0.0001</v>
      </c>
      <c r="AP156" s="5">
        <v>4</v>
      </c>
      <c r="AQ156" s="127">
        <v>1</v>
      </c>
      <c r="AR156" s="42">
        <v>0.94</v>
      </c>
      <c r="AS156" s="43">
        <v>0.0001</v>
      </c>
      <c r="AT156">
        <v>1</v>
      </c>
      <c r="AU156">
        <v>0.0001</v>
      </c>
      <c r="AV156" t="s">
        <v>51</v>
      </c>
    </row>
    <row r="157" spans="1:48" ht="12.75">
      <c r="A157">
        <v>22</v>
      </c>
      <c r="B157" t="s">
        <v>51</v>
      </c>
      <c r="C157" s="5">
        <v>0.125</v>
      </c>
      <c r="D157" s="20">
        <v>0.024378404905495504</v>
      </c>
      <c r="E157" s="30">
        <v>1</v>
      </c>
      <c r="F157" s="5">
        <v>15.009533084177122</v>
      </c>
      <c r="G157" s="5">
        <v>0.20833333333333331</v>
      </c>
      <c r="H157" s="20">
        <v>0.024604792850042977</v>
      </c>
      <c r="I157" s="6">
        <v>1</v>
      </c>
      <c r="J157" s="5">
        <v>7.222186284222503</v>
      </c>
      <c r="K157" s="5">
        <v>0.20833333333333331</v>
      </c>
      <c r="L157" s="20">
        <v>0.02460529632496441</v>
      </c>
      <c r="M157" s="6">
        <v>1</v>
      </c>
      <c r="N157" s="5">
        <v>7.222187502266453</v>
      </c>
      <c r="O157" s="5">
        <v>1.5</v>
      </c>
      <c r="P157" s="20">
        <v>0.025585509568410048</v>
      </c>
      <c r="Q157" s="6">
        <v>1</v>
      </c>
      <c r="R157" s="5">
        <v>7.222183943606829</v>
      </c>
      <c r="S157" s="2">
        <v>0.03229166666666659</v>
      </c>
      <c r="T157" s="20">
        <v>1</v>
      </c>
      <c r="U157" s="6">
        <v>0.0001</v>
      </c>
      <c r="V157" s="5">
        <v>57.70330197546335</v>
      </c>
      <c r="W157" s="5">
        <v>2.342013888888889</v>
      </c>
      <c r="X157" s="20">
        <v>1</v>
      </c>
      <c r="Y157" s="6">
        <v>0.0001</v>
      </c>
      <c r="Z157" s="20">
        <v>7.222205283907255</v>
      </c>
      <c r="AA157" s="5">
        <v>2.8810677083333314</v>
      </c>
      <c r="AB157" s="20">
        <v>1</v>
      </c>
      <c r="AC157" s="6">
        <v>0.0001</v>
      </c>
      <c r="AD157" s="5">
        <v>5.903254865740902</v>
      </c>
      <c r="AE157" s="5">
        <v>7.383680555555574</v>
      </c>
      <c r="AF157" s="20">
        <v>1</v>
      </c>
      <c r="AG157" s="6">
        <v>0.0001</v>
      </c>
      <c r="AH157" s="5">
        <v>4</v>
      </c>
      <c r="AI157" s="5">
        <v>7.466666666666685</v>
      </c>
      <c r="AJ157" s="20">
        <v>1</v>
      </c>
      <c r="AK157" s="6">
        <v>0.0001</v>
      </c>
      <c r="AL157" s="5">
        <v>4.021519336811696</v>
      </c>
      <c r="AM157" s="5">
        <v>12.34201388888885</v>
      </c>
      <c r="AN157" s="20">
        <v>1</v>
      </c>
      <c r="AO157" s="6">
        <v>0.0001</v>
      </c>
      <c r="AP157" s="5">
        <v>4</v>
      </c>
      <c r="AQ157" s="127">
        <v>1</v>
      </c>
      <c r="AR157" s="42">
        <v>0.94</v>
      </c>
      <c r="AS157" s="43">
        <v>0.0001</v>
      </c>
      <c r="AT157">
        <v>1</v>
      </c>
      <c r="AU157">
        <v>0.0001</v>
      </c>
      <c r="AV157" t="s">
        <v>51</v>
      </c>
    </row>
    <row r="158" spans="1:48" ht="12.75">
      <c r="A158">
        <v>23</v>
      </c>
      <c r="B158" t="s">
        <v>51</v>
      </c>
      <c r="C158" s="5">
        <v>0.125</v>
      </c>
      <c r="D158" s="20">
        <v>0.024372358776952673</v>
      </c>
      <c r="E158" s="30">
        <v>1</v>
      </c>
      <c r="F158" s="5">
        <v>15.034808768386306</v>
      </c>
      <c r="G158" s="5">
        <v>0.20833333333333331</v>
      </c>
      <c r="H158" s="20">
        <v>0.02457297196654646</v>
      </c>
      <c r="I158" s="6">
        <v>1</v>
      </c>
      <c r="J158" s="5">
        <v>7.2221862825306635</v>
      </c>
      <c r="K158" s="5">
        <v>0.20833333333333331</v>
      </c>
      <c r="L158" s="20">
        <v>0.024573785703434665</v>
      </c>
      <c r="M158" s="6">
        <v>1</v>
      </c>
      <c r="N158" s="5">
        <v>7.222187556578267</v>
      </c>
      <c r="O158" s="5">
        <v>1.4583333333333337</v>
      </c>
      <c r="P158" s="20">
        <v>0.025550349945529682</v>
      </c>
      <c r="Q158" s="6">
        <v>1</v>
      </c>
      <c r="R158" s="5">
        <v>7.222183919292415</v>
      </c>
      <c r="S158" s="2">
        <v>0.03229166666666659</v>
      </c>
      <c r="T158" s="20">
        <v>1</v>
      </c>
      <c r="U158" s="6">
        <v>0.0001</v>
      </c>
      <c r="V158" s="5">
        <v>57.7033019753396</v>
      </c>
      <c r="W158" s="5">
        <v>2.3003472222222223</v>
      </c>
      <c r="X158" s="20">
        <v>1</v>
      </c>
      <c r="Y158" s="6">
        <v>0.0001</v>
      </c>
      <c r="Z158" s="20">
        <v>7.222205297956697</v>
      </c>
      <c r="AA158" s="5">
        <v>2.836979166666665</v>
      </c>
      <c r="AB158" s="20">
        <v>1</v>
      </c>
      <c r="AC158" s="6">
        <v>0.0001</v>
      </c>
      <c r="AD158" s="5">
        <v>5.904389399219829</v>
      </c>
      <c r="AE158" s="5">
        <v>7.342013888888907</v>
      </c>
      <c r="AF158" s="20">
        <v>1</v>
      </c>
      <c r="AG158" s="6">
        <v>0.0001</v>
      </c>
      <c r="AH158" s="5">
        <v>4</v>
      </c>
      <c r="AI158" s="5">
        <v>7.383680555555574</v>
      </c>
      <c r="AJ158" s="20">
        <v>1</v>
      </c>
      <c r="AK158" s="6">
        <v>0.0001</v>
      </c>
      <c r="AL158" s="5">
        <v>4</v>
      </c>
      <c r="AM158" s="5">
        <v>12.300347222222182</v>
      </c>
      <c r="AN158" s="20">
        <v>1</v>
      </c>
      <c r="AO158" s="6">
        <v>0.0001</v>
      </c>
      <c r="AP158" s="5">
        <v>4</v>
      </c>
      <c r="AQ158" s="127">
        <v>1</v>
      </c>
      <c r="AR158" s="42">
        <v>0.94</v>
      </c>
      <c r="AS158" s="43">
        <v>0.0001</v>
      </c>
      <c r="AT158">
        <v>1</v>
      </c>
      <c r="AU158">
        <v>0.0001</v>
      </c>
      <c r="AV158" t="s">
        <v>51</v>
      </c>
    </row>
    <row r="159" spans="1:48" ht="12.75">
      <c r="A159">
        <v>24</v>
      </c>
      <c r="B159" t="s">
        <v>51</v>
      </c>
      <c r="C159" s="5">
        <v>0.125</v>
      </c>
      <c r="D159" s="20">
        <v>0.024379027917052397</v>
      </c>
      <c r="E159" s="30">
        <v>1</v>
      </c>
      <c r="F159" s="5">
        <v>15.00919585918273</v>
      </c>
      <c r="G159" s="5">
        <v>0.20833333333333331</v>
      </c>
      <c r="H159" s="20">
        <v>0.024608187640850442</v>
      </c>
      <c r="I159" s="6">
        <v>1</v>
      </c>
      <c r="J159" s="5">
        <v>11.66662557667908</v>
      </c>
      <c r="K159" s="5">
        <v>0.20833333333333331</v>
      </c>
      <c r="L159" s="20">
        <v>0.024608334122428466</v>
      </c>
      <c r="M159" s="6">
        <v>1</v>
      </c>
      <c r="N159" s="5">
        <v>11.666627156596101</v>
      </c>
      <c r="O159" s="5">
        <v>1.5</v>
      </c>
      <c r="P159" s="20">
        <v>0.025848155990520753</v>
      </c>
      <c r="Q159" s="6">
        <v>1</v>
      </c>
      <c r="R159" s="5">
        <v>11.666623368953644</v>
      </c>
      <c r="S159" s="2">
        <v>0.031770833333333255</v>
      </c>
      <c r="T159" s="20">
        <v>1</v>
      </c>
      <c r="U159" s="6">
        <v>0.0001</v>
      </c>
      <c r="V159" s="5">
        <v>57.70598874411373</v>
      </c>
      <c r="W159" s="5">
        <v>2.3409722222222222</v>
      </c>
      <c r="X159" s="20">
        <v>1</v>
      </c>
      <c r="Y159" s="6">
        <v>0.0001</v>
      </c>
      <c r="Z159" s="20">
        <v>11.666648705619842</v>
      </c>
      <c r="AA159" s="5">
        <v>2.882638888888887</v>
      </c>
      <c r="AB159" s="20">
        <v>1</v>
      </c>
      <c r="AC159" s="6">
        <v>0.0001</v>
      </c>
      <c r="AD159" s="5">
        <v>6.398161345035138</v>
      </c>
      <c r="AE159" s="5">
        <v>7.41939236111113</v>
      </c>
      <c r="AF159" s="20">
        <v>1</v>
      </c>
      <c r="AG159" s="6">
        <v>0.0001</v>
      </c>
      <c r="AH159" s="5">
        <v>4</v>
      </c>
      <c r="AI159" s="5">
        <v>7.46597222222224</v>
      </c>
      <c r="AJ159" s="20">
        <v>1</v>
      </c>
      <c r="AK159" s="6">
        <v>0.0001</v>
      </c>
      <c r="AL159" s="5">
        <v>4.061096882527123</v>
      </c>
      <c r="AM159" s="5">
        <v>12.340972222222183</v>
      </c>
      <c r="AN159" s="20">
        <v>1</v>
      </c>
      <c r="AO159" s="6">
        <v>0.0001</v>
      </c>
      <c r="AP159" s="5">
        <v>4</v>
      </c>
      <c r="AQ159" s="127">
        <v>1</v>
      </c>
      <c r="AR159" s="42">
        <v>0.94</v>
      </c>
      <c r="AS159" s="43">
        <v>0.0001</v>
      </c>
      <c r="AT159">
        <v>1</v>
      </c>
      <c r="AU159">
        <v>0.0001</v>
      </c>
      <c r="AV159" t="s">
        <v>51</v>
      </c>
    </row>
    <row r="160" spans="1:48" ht="12.75">
      <c r="A160">
        <v>25</v>
      </c>
      <c r="B160" t="s">
        <v>51</v>
      </c>
      <c r="C160" s="5">
        <v>0.125</v>
      </c>
      <c r="D160" s="20">
        <v>0.024378404905495504</v>
      </c>
      <c r="E160" s="30">
        <v>1</v>
      </c>
      <c r="F160" s="5">
        <v>15.009533084177122</v>
      </c>
      <c r="G160" s="5">
        <v>0.20833333333333331</v>
      </c>
      <c r="H160" s="20">
        <v>0.02460529632496441</v>
      </c>
      <c r="I160" s="6">
        <v>1</v>
      </c>
      <c r="J160" s="5">
        <v>11.666625552599287</v>
      </c>
      <c r="K160" s="5">
        <v>0.20833333333333331</v>
      </c>
      <c r="L160" s="20">
        <v>0.02460543497867153</v>
      </c>
      <c r="M160" s="6">
        <v>1</v>
      </c>
      <c r="N160" s="5">
        <v>11.666627198186879</v>
      </c>
      <c r="O160" s="5">
        <v>1.5</v>
      </c>
      <c r="P160" s="20">
        <v>0.025845763013345957</v>
      </c>
      <c r="Q160" s="6">
        <v>1</v>
      </c>
      <c r="R160" s="5">
        <v>11.666623378319693</v>
      </c>
      <c r="S160" s="2">
        <v>0.031770833333333255</v>
      </c>
      <c r="T160" s="20">
        <v>1</v>
      </c>
      <c r="U160" s="6">
        <v>0.0001</v>
      </c>
      <c r="V160" s="5">
        <v>57.70598874415504</v>
      </c>
      <c r="W160" s="5">
        <v>2.3409722222222222</v>
      </c>
      <c r="X160" s="20">
        <v>1</v>
      </c>
      <c r="Y160" s="6">
        <v>0.0001</v>
      </c>
      <c r="Z160" s="20">
        <v>11.66664868384892</v>
      </c>
      <c r="AA160" s="5">
        <v>2.8807118055555536</v>
      </c>
      <c r="AB160" s="20">
        <v>1</v>
      </c>
      <c r="AC160" s="6">
        <v>0.0001</v>
      </c>
      <c r="AD160" s="5">
        <v>6.391610878936682</v>
      </c>
      <c r="AE160" s="5">
        <v>7.382638888888907</v>
      </c>
      <c r="AF160" s="20">
        <v>1</v>
      </c>
      <c r="AG160" s="6">
        <v>0.0001</v>
      </c>
      <c r="AH160" s="5">
        <v>4</v>
      </c>
      <c r="AI160" s="5">
        <v>7.465625000000019</v>
      </c>
      <c r="AJ160" s="20">
        <v>1</v>
      </c>
      <c r="AK160" s="6">
        <v>0.0001</v>
      </c>
      <c r="AL160" s="5">
        <v>4.044008972490604</v>
      </c>
      <c r="AM160" s="5">
        <v>12.340972222222183</v>
      </c>
      <c r="AN160" s="20">
        <v>1</v>
      </c>
      <c r="AO160" s="6">
        <v>0.0001</v>
      </c>
      <c r="AP160" s="5">
        <v>4</v>
      </c>
      <c r="AQ160" s="127">
        <v>1</v>
      </c>
      <c r="AR160" s="42">
        <v>0.94</v>
      </c>
      <c r="AS160" s="43">
        <v>0.0001</v>
      </c>
      <c r="AT160">
        <v>1</v>
      </c>
      <c r="AU160">
        <v>0.0001</v>
      </c>
      <c r="AV160" t="s">
        <v>51</v>
      </c>
    </row>
    <row r="161" spans="1:48" ht="12.75">
      <c r="A161">
        <v>26</v>
      </c>
      <c r="B161" t="s">
        <v>51</v>
      </c>
      <c r="C161" s="5">
        <v>0.125</v>
      </c>
      <c r="D161" s="20">
        <v>0.024372358776952673</v>
      </c>
      <c r="E161" s="30">
        <v>1</v>
      </c>
      <c r="F161" s="5">
        <v>15.034808768386306</v>
      </c>
      <c r="G161" s="5">
        <v>0.20833333333333331</v>
      </c>
      <c r="H161" s="20">
        <v>0.02457382320812953</v>
      </c>
      <c r="I161" s="6">
        <v>1</v>
      </c>
      <c r="J161" s="5">
        <v>11.666625553500163</v>
      </c>
      <c r="K161" s="5">
        <v>0.20833333333333331</v>
      </c>
      <c r="L161" s="20">
        <v>0.02457382320812953</v>
      </c>
      <c r="M161" s="6">
        <v>1</v>
      </c>
      <c r="N161" s="5">
        <v>11.666627216277961</v>
      </c>
      <c r="O161" s="5">
        <v>1.4583333333333337</v>
      </c>
      <c r="P161" s="20">
        <v>0.02580039344250797</v>
      </c>
      <c r="Q161" s="6">
        <v>1</v>
      </c>
      <c r="R161" s="5">
        <v>11.666623368953644</v>
      </c>
      <c r="S161" s="2">
        <v>0.031770833333333255</v>
      </c>
      <c r="T161" s="20">
        <v>1</v>
      </c>
      <c r="U161" s="6">
        <v>0.0001</v>
      </c>
      <c r="V161" s="5">
        <v>57.705988744154894</v>
      </c>
      <c r="W161" s="5">
        <v>2.2993055555555557</v>
      </c>
      <c r="X161" s="20">
        <v>1</v>
      </c>
      <c r="Y161" s="6">
        <v>0.0001</v>
      </c>
      <c r="Z161" s="20">
        <v>11.666648769600354</v>
      </c>
      <c r="AA161" s="5">
        <v>2.836796875</v>
      </c>
      <c r="AB161" s="20">
        <v>1</v>
      </c>
      <c r="AC161" s="6">
        <v>0.0001</v>
      </c>
      <c r="AD161" s="5">
        <v>6.403475717570465</v>
      </c>
      <c r="AE161" s="5">
        <v>7.34097222222224</v>
      </c>
      <c r="AF161" s="20">
        <v>1</v>
      </c>
      <c r="AG161" s="6">
        <v>0.0001</v>
      </c>
      <c r="AH161" s="5">
        <v>4</v>
      </c>
      <c r="AI161" s="5">
        <v>7.382638888888907</v>
      </c>
      <c r="AJ161" s="20">
        <v>1</v>
      </c>
      <c r="AK161" s="6">
        <v>0.0001</v>
      </c>
      <c r="AL161" s="5">
        <v>4</v>
      </c>
      <c r="AM161" s="5">
        <v>12.299305555555517</v>
      </c>
      <c r="AN161" s="20">
        <v>1</v>
      </c>
      <c r="AO161" s="6">
        <v>0.0001</v>
      </c>
      <c r="AP161" s="5">
        <v>4</v>
      </c>
      <c r="AQ161" s="127">
        <v>1</v>
      </c>
      <c r="AR161" s="42">
        <v>0.94</v>
      </c>
      <c r="AS161" s="43">
        <v>0.0001</v>
      </c>
      <c r="AT161">
        <v>1</v>
      </c>
      <c r="AU161">
        <v>0.0001</v>
      </c>
      <c r="AV161" t="s">
        <v>51</v>
      </c>
    </row>
    <row r="162" spans="1:48" ht="12.75">
      <c r="A162">
        <v>27</v>
      </c>
      <c r="B162" t="s">
        <v>51</v>
      </c>
      <c r="C162" s="5">
        <v>0.125</v>
      </c>
      <c r="D162" s="20">
        <v>0.024379027917052397</v>
      </c>
      <c r="E162" s="30">
        <v>1</v>
      </c>
      <c r="F162" s="5">
        <v>15.00919585918273</v>
      </c>
      <c r="G162" s="5">
        <v>0.20833333333333331</v>
      </c>
      <c r="H162" s="20">
        <v>0.024608334122428466</v>
      </c>
      <c r="I162" s="6">
        <v>1</v>
      </c>
      <c r="J162" s="5">
        <v>15.555497962919308</v>
      </c>
      <c r="K162" s="5">
        <v>0.20833333333333331</v>
      </c>
      <c r="L162" s="20">
        <v>0.02460836855297286</v>
      </c>
      <c r="M162" s="6">
        <v>1</v>
      </c>
      <c r="N162" s="5">
        <v>15.555500907285062</v>
      </c>
      <c r="O162" s="5">
        <v>1.5</v>
      </c>
      <c r="P162" s="20">
        <v>0.026182705495757973</v>
      </c>
      <c r="Q162" s="6">
        <v>1</v>
      </c>
      <c r="R162" s="5">
        <v>15.555499239511628</v>
      </c>
      <c r="S162" s="2">
        <v>0.03124999999999992</v>
      </c>
      <c r="T162" s="20">
        <v>1</v>
      </c>
      <c r="U162" s="6">
        <v>0.0001</v>
      </c>
      <c r="V162" s="5">
        <v>57.707503389352645</v>
      </c>
      <c r="W162" s="5">
        <v>2.339930555555555</v>
      </c>
      <c r="X162" s="20">
        <v>1</v>
      </c>
      <c r="Y162" s="6">
        <v>0.0001</v>
      </c>
      <c r="Z162" s="20">
        <v>15.555530171013022</v>
      </c>
      <c r="AA162" s="5">
        <v>2.88159722222222</v>
      </c>
      <c r="AB162" s="20">
        <v>1</v>
      </c>
      <c r="AC162" s="6">
        <v>0.0001</v>
      </c>
      <c r="AD162" s="5">
        <v>6.618013029190439</v>
      </c>
      <c r="AE162" s="5">
        <v>7.42040798611113</v>
      </c>
      <c r="AF162" s="20">
        <v>1</v>
      </c>
      <c r="AG162" s="6">
        <v>0.0001</v>
      </c>
      <c r="AH162" s="5">
        <v>4</v>
      </c>
      <c r="AI162" s="5">
        <v>7.464930555555574</v>
      </c>
      <c r="AJ162" s="20">
        <v>1</v>
      </c>
      <c r="AK162" s="6">
        <v>0.0001</v>
      </c>
      <c r="AL162" s="5">
        <v>4.074075495792871</v>
      </c>
      <c r="AM162" s="5">
        <v>12.339930555555517</v>
      </c>
      <c r="AN162" s="20">
        <v>1</v>
      </c>
      <c r="AO162" s="6">
        <v>0.0001</v>
      </c>
      <c r="AP162" s="5">
        <v>4</v>
      </c>
      <c r="AQ162" s="127">
        <v>1</v>
      </c>
      <c r="AR162" s="42">
        <v>0.94</v>
      </c>
      <c r="AS162" s="43">
        <v>0.0001</v>
      </c>
      <c r="AT162">
        <v>1</v>
      </c>
      <c r="AU162">
        <v>0.0001</v>
      </c>
      <c r="AV162" t="s">
        <v>51</v>
      </c>
    </row>
    <row r="163" spans="1:48" ht="12.75">
      <c r="A163">
        <v>28</v>
      </c>
      <c r="B163" t="s">
        <v>51</v>
      </c>
      <c r="C163" s="5">
        <v>0.125</v>
      </c>
      <c r="D163" s="20">
        <v>0.024378404905495504</v>
      </c>
      <c r="E163" s="30">
        <v>1</v>
      </c>
      <c r="F163" s="5">
        <v>15.009533084177122</v>
      </c>
      <c r="G163" s="5">
        <v>0.20833333333333331</v>
      </c>
      <c r="H163" s="20">
        <v>0.02460543497867153</v>
      </c>
      <c r="I163" s="6">
        <v>1</v>
      </c>
      <c r="J163" s="5">
        <v>15.555497966310321</v>
      </c>
      <c r="K163" s="5">
        <v>0.20833333333333331</v>
      </c>
      <c r="L163" s="20">
        <v>0.024605539413386363</v>
      </c>
      <c r="M163" s="6">
        <v>1</v>
      </c>
      <c r="N163" s="5">
        <v>15.555500926209978</v>
      </c>
      <c r="O163" s="5">
        <v>1.5</v>
      </c>
      <c r="P163" s="20">
        <v>0.026174718345123103</v>
      </c>
      <c r="Q163" s="6">
        <v>1</v>
      </c>
      <c r="R163" s="5">
        <v>15.555499222156627</v>
      </c>
      <c r="S163" s="2">
        <v>0.03124999999999992</v>
      </c>
      <c r="T163" s="20">
        <v>1</v>
      </c>
      <c r="U163" s="6">
        <v>0.0001</v>
      </c>
      <c r="V163" s="5">
        <v>57.70750338661938</v>
      </c>
      <c r="W163" s="5">
        <v>2.339930555555555</v>
      </c>
      <c r="X163" s="20">
        <v>1</v>
      </c>
      <c r="Y163" s="6">
        <v>0.0001</v>
      </c>
      <c r="Z163" s="20">
        <v>15.555530142890698</v>
      </c>
      <c r="AA163" s="5">
        <v>2.8810590277777757</v>
      </c>
      <c r="AB163" s="20">
        <v>1</v>
      </c>
      <c r="AC163" s="6">
        <v>0.0001</v>
      </c>
      <c r="AD163" s="5">
        <v>6.62130746067693</v>
      </c>
      <c r="AE163" s="5">
        <v>7.381597222222241</v>
      </c>
      <c r="AF163" s="20">
        <v>1</v>
      </c>
      <c r="AG163" s="6">
        <v>0.0001</v>
      </c>
      <c r="AH163" s="5">
        <v>4</v>
      </c>
      <c r="AI163" s="5">
        <v>7.464748263888908</v>
      </c>
      <c r="AJ163" s="20">
        <v>1</v>
      </c>
      <c r="AK163" s="6">
        <v>0.0001</v>
      </c>
      <c r="AL163" s="5">
        <v>4.046653303733814</v>
      </c>
      <c r="AM163" s="5">
        <v>12.339930555555517</v>
      </c>
      <c r="AN163" s="20">
        <v>1</v>
      </c>
      <c r="AO163" s="6">
        <v>0.0001</v>
      </c>
      <c r="AP163" s="5">
        <v>4</v>
      </c>
      <c r="AQ163" s="127">
        <v>1</v>
      </c>
      <c r="AR163" s="42">
        <v>0.94</v>
      </c>
      <c r="AS163" s="43">
        <v>0.0001</v>
      </c>
      <c r="AT163">
        <v>1</v>
      </c>
      <c r="AU163">
        <v>0.0001</v>
      </c>
      <c r="AV163" t="s">
        <v>51</v>
      </c>
    </row>
    <row r="164" spans="1:48" ht="12.75">
      <c r="A164">
        <v>29</v>
      </c>
      <c r="B164" t="s">
        <v>51</v>
      </c>
      <c r="C164" s="5">
        <v>0.125</v>
      </c>
      <c r="D164" s="20">
        <v>0.024372358776952673</v>
      </c>
      <c r="E164" s="30">
        <v>1</v>
      </c>
      <c r="F164" s="5">
        <v>15.034808768386306</v>
      </c>
      <c r="G164" s="5">
        <v>0.20833333333333331</v>
      </c>
      <c r="H164" s="20">
        <v>0.02457382320812953</v>
      </c>
      <c r="I164" s="6">
        <v>1</v>
      </c>
      <c r="J164" s="5">
        <v>15.555498001452836</v>
      </c>
      <c r="K164" s="5">
        <v>0.20833333333333331</v>
      </c>
      <c r="L164" s="20">
        <v>0.02457404614692202</v>
      </c>
      <c r="M164" s="6">
        <v>1</v>
      </c>
      <c r="N164" s="5">
        <v>15.555500910582726</v>
      </c>
      <c r="O164" s="5">
        <v>1.4583333333333337</v>
      </c>
      <c r="P164" s="20">
        <v>0.026121583249229318</v>
      </c>
      <c r="Q164" s="6">
        <v>1</v>
      </c>
      <c r="R164" s="5">
        <v>15.555499222216582</v>
      </c>
      <c r="S164" s="2">
        <v>0.03124999999999992</v>
      </c>
      <c r="T164" s="20">
        <v>1</v>
      </c>
      <c r="U164" s="6">
        <v>0.0001</v>
      </c>
      <c r="V164" s="5">
        <v>57.707503384693034</v>
      </c>
      <c r="W164" s="5">
        <v>2.2982638888888887</v>
      </c>
      <c r="X164" s="20">
        <v>1</v>
      </c>
      <c r="Y164" s="6">
        <v>0.0001</v>
      </c>
      <c r="Z164" s="20">
        <v>15.555530223742918</v>
      </c>
      <c r="AA164" s="5">
        <v>2.837664930555554</v>
      </c>
      <c r="AB164" s="20">
        <v>1</v>
      </c>
      <c r="AC164" s="6">
        <v>0.0001</v>
      </c>
      <c r="AD164" s="5">
        <v>6.625627806434081</v>
      </c>
      <c r="AE164" s="5">
        <v>7.339930555555574</v>
      </c>
      <c r="AF164" s="20">
        <v>1</v>
      </c>
      <c r="AG164" s="6">
        <v>0.0001</v>
      </c>
      <c r="AH164" s="5">
        <v>4</v>
      </c>
      <c r="AI164" s="5">
        <v>7.381597222222241</v>
      </c>
      <c r="AJ164" s="20">
        <v>1</v>
      </c>
      <c r="AK164" s="6">
        <v>0.0001</v>
      </c>
      <c r="AL164" s="5">
        <v>4</v>
      </c>
      <c r="AM164" s="5">
        <v>12.29826388888885</v>
      </c>
      <c r="AN164" s="20">
        <v>1</v>
      </c>
      <c r="AO164" s="6">
        <v>0.0001</v>
      </c>
      <c r="AP164" s="5">
        <v>4</v>
      </c>
      <c r="AQ164" s="127">
        <v>1</v>
      </c>
      <c r="AR164" s="42">
        <v>0.94</v>
      </c>
      <c r="AS164" s="43">
        <v>0.0001</v>
      </c>
      <c r="AT164">
        <v>1</v>
      </c>
      <c r="AU164">
        <v>0.0001</v>
      </c>
      <c r="AV164" t="s">
        <v>51</v>
      </c>
    </row>
    <row r="165" spans="1:48" ht="12.75">
      <c r="A165">
        <v>30</v>
      </c>
      <c r="B165" t="s">
        <v>51</v>
      </c>
      <c r="C165" s="5">
        <v>0.125</v>
      </c>
      <c r="D165" s="20">
        <v>0.02437916127547802</v>
      </c>
      <c r="E165" s="30">
        <v>1</v>
      </c>
      <c r="F165" s="5">
        <v>15.00919585918273</v>
      </c>
      <c r="G165" s="5">
        <v>0.20833333333333331</v>
      </c>
      <c r="H165" s="20">
        <v>0.0246086548857248</v>
      </c>
      <c r="I165" s="6">
        <v>1</v>
      </c>
      <c r="J165" s="5">
        <v>6.9078280314107845</v>
      </c>
      <c r="K165" s="5">
        <v>0.20833333333333331</v>
      </c>
      <c r="L165" s="20">
        <v>0.024609005527868388</v>
      </c>
      <c r="M165" s="6">
        <v>1</v>
      </c>
      <c r="N165" s="5">
        <v>5.4219098676970905</v>
      </c>
      <c r="O165" s="5">
        <v>1.5</v>
      </c>
      <c r="P165" s="20">
        <v>0.025844101199776204</v>
      </c>
      <c r="Q165" s="6">
        <v>1</v>
      </c>
      <c r="R165" s="5">
        <v>4</v>
      </c>
      <c r="S165" s="2">
        <v>0.03107638888888881</v>
      </c>
      <c r="T165" s="20">
        <v>1</v>
      </c>
      <c r="U165" s="6">
        <v>0.0001</v>
      </c>
      <c r="V165" s="5">
        <v>57.70297876703682</v>
      </c>
      <c r="W165" s="5">
        <v>2.340798611111111</v>
      </c>
      <c r="X165" s="20">
        <v>1</v>
      </c>
      <c r="Y165" s="6">
        <v>0.0001</v>
      </c>
      <c r="Z165" s="20">
        <v>4.211111109767346</v>
      </c>
      <c r="AA165" s="5">
        <v>2.881414930555554</v>
      </c>
      <c r="AB165" s="20">
        <v>1</v>
      </c>
      <c r="AC165" s="6">
        <v>0.0001</v>
      </c>
      <c r="AD165" s="5">
        <v>5.728537646147396</v>
      </c>
      <c r="AE165" s="5">
        <v>7.421684027777796</v>
      </c>
      <c r="AF165" s="20">
        <v>1</v>
      </c>
      <c r="AG165" s="6">
        <v>0.0001</v>
      </c>
      <c r="AH165" s="5">
        <v>4</v>
      </c>
      <c r="AI165" s="5">
        <v>7.465277777777797</v>
      </c>
      <c r="AJ165" s="20">
        <v>1</v>
      </c>
      <c r="AK165" s="6">
        <v>0.0001</v>
      </c>
      <c r="AL165" s="5">
        <v>4.080917715550352</v>
      </c>
      <c r="AM165" s="5">
        <v>12.342361111111071</v>
      </c>
      <c r="AN165" s="20">
        <v>1</v>
      </c>
      <c r="AO165" s="6">
        <v>0.0001</v>
      </c>
      <c r="AP165" s="5">
        <v>4</v>
      </c>
      <c r="AQ165" s="127">
        <v>1</v>
      </c>
      <c r="AR165" s="42">
        <v>0.94</v>
      </c>
      <c r="AS165" s="43">
        <v>0.0001</v>
      </c>
      <c r="AT165">
        <v>1</v>
      </c>
      <c r="AU165">
        <v>0.0001</v>
      </c>
      <c r="AV165" t="s">
        <v>51</v>
      </c>
    </row>
    <row r="166" spans="3:45" ht="12.75">
      <c r="C166" s="5"/>
      <c r="D166" s="20"/>
      <c r="E166" s="30"/>
      <c r="F166" s="5"/>
      <c r="G166" s="5"/>
      <c r="H166" s="20"/>
      <c r="I166" s="6"/>
      <c r="J166" s="5"/>
      <c r="K166" s="5"/>
      <c r="L166" s="20"/>
      <c r="M166" s="6"/>
      <c r="N166" s="5"/>
      <c r="O166" s="5"/>
      <c r="P166" s="20"/>
      <c r="Q166" s="6"/>
      <c r="R166" s="5"/>
      <c r="S166" s="2"/>
      <c r="T166" s="20"/>
      <c r="U166" s="6"/>
      <c r="V166" s="5"/>
      <c r="W166" s="5"/>
      <c r="X166" s="20"/>
      <c r="Y166" s="6"/>
      <c r="Z166" s="20"/>
      <c r="AA166" s="5"/>
      <c r="AB166" s="20"/>
      <c r="AC166" s="6"/>
      <c r="AD166" s="5"/>
      <c r="AE166" s="5"/>
      <c r="AF166" s="20"/>
      <c r="AG166" s="6"/>
      <c r="AH166" s="5"/>
      <c r="AI166" s="5"/>
      <c r="AJ166" s="20"/>
      <c r="AK166" s="6"/>
      <c r="AL166" s="5"/>
      <c r="AM166" s="5"/>
      <c r="AN166" s="20"/>
      <c r="AO166" s="6"/>
      <c r="AP166" s="5"/>
      <c r="AQ166" s="127"/>
      <c r="AR166" s="42"/>
      <c r="AS166" s="43"/>
    </row>
    <row r="167" spans="1:48" ht="12.75">
      <c r="A167">
        <v>1</v>
      </c>
      <c r="B167" t="s">
        <v>52</v>
      </c>
      <c r="C167" s="5">
        <v>0.6666666666666665</v>
      </c>
      <c r="D167" s="20">
        <v>0.04479036107772072</v>
      </c>
      <c r="E167" s="30">
        <v>114.0479864272794</v>
      </c>
      <c r="F167" s="5">
        <v>35.670609399128125</v>
      </c>
      <c r="G167" s="5">
        <v>5.583333333333338</v>
      </c>
      <c r="H167" s="20">
        <v>0.05007121793577395</v>
      </c>
      <c r="I167" s="6">
        <v>119.310270538138</v>
      </c>
      <c r="J167" s="5">
        <v>26.17352835184054</v>
      </c>
      <c r="K167" s="5">
        <v>5.875000000000007</v>
      </c>
      <c r="L167" s="20">
        <v>0.05125551386777842</v>
      </c>
      <c r="M167" s="6">
        <v>119.30233053654635</v>
      </c>
      <c r="N167" s="5">
        <v>26.171772026993715</v>
      </c>
      <c r="O167" s="5">
        <v>11.958333333333298</v>
      </c>
      <c r="P167" s="20">
        <v>0.11142864267481531</v>
      </c>
      <c r="Q167" s="6">
        <v>136.15130827073506</v>
      </c>
      <c r="R167" s="5">
        <v>9.683897888099013</v>
      </c>
      <c r="S167" s="2">
        <v>11.958333333333298</v>
      </c>
      <c r="T167" s="20">
        <v>0.11142864267481531</v>
      </c>
      <c r="U167" s="6">
        <v>136.15130827073506</v>
      </c>
      <c r="V167" s="5">
        <v>9.683897888099013</v>
      </c>
      <c r="W167" s="5">
        <v>15.87499999999991</v>
      </c>
      <c r="X167" s="20">
        <v>1</v>
      </c>
      <c r="Y167" s="6">
        <v>142.70830245441104</v>
      </c>
      <c r="Z167" s="20">
        <v>7.283991463587713</v>
      </c>
      <c r="AA167" s="5">
        <v>16.416666666666586</v>
      </c>
      <c r="AB167" s="20">
        <v>1</v>
      </c>
      <c r="AC167" s="6">
        <v>150.79100703019398</v>
      </c>
      <c r="AD167" s="5">
        <v>16.116018781368954</v>
      </c>
      <c r="AE167" s="5">
        <v>34.08333333333358</v>
      </c>
      <c r="AF167" s="20">
        <v>1</v>
      </c>
      <c r="AG167" s="6">
        <v>162.48080163770956</v>
      </c>
      <c r="AH167" s="5">
        <v>7.773636813435491</v>
      </c>
      <c r="AI167" s="5">
        <v>34.12500000000024</v>
      </c>
      <c r="AJ167" s="20">
        <v>1</v>
      </c>
      <c r="AK167" s="6">
        <v>168.66691943066158</v>
      </c>
      <c r="AL167" s="5">
        <v>28.24267648647763</v>
      </c>
      <c r="AM167" s="5">
        <v>43.0416666666664</v>
      </c>
      <c r="AN167" s="20">
        <v>1</v>
      </c>
      <c r="AO167" s="6">
        <v>182.81077237852284</v>
      </c>
      <c r="AP167" s="5">
        <v>7.861906129478187</v>
      </c>
      <c r="AQ167" s="127">
        <v>99.81743061295583</v>
      </c>
      <c r="AR167" s="42">
        <v>12</v>
      </c>
      <c r="AS167" s="43">
        <v>0.8754104736813952</v>
      </c>
      <c r="AT167">
        <v>11</v>
      </c>
      <c r="AU167">
        <v>0.002243979316398344</v>
      </c>
      <c r="AV167" t="s">
        <v>52</v>
      </c>
    </row>
    <row r="168" spans="1:48" ht="12.75">
      <c r="A168">
        <v>2</v>
      </c>
      <c r="B168" t="s">
        <v>52</v>
      </c>
      <c r="C168" s="5">
        <v>0.6666666666666665</v>
      </c>
      <c r="D168" s="20">
        <v>0.043744700451256266</v>
      </c>
      <c r="E168" s="30">
        <v>113.2322719008092</v>
      </c>
      <c r="F168" s="5">
        <v>35.670609399128125</v>
      </c>
      <c r="G168" s="5">
        <v>5.5437499999998225</v>
      </c>
      <c r="H168" s="20">
        <v>0.04918129593110228</v>
      </c>
      <c r="I168" s="6">
        <v>118.25280310978447</v>
      </c>
      <c r="J168" s="5">
        <v>26.175221111546826</v>
      </c>
      <c r="K168" s="5">
        <v>5.875000000000007</v>
      </c>
      <c r="L168" s="20">
        <v>0.05035597443727969</v>
      </c>
      <c r="M168" s="6">
        <v>117.97913725007801</v>
      </c>
      <c r="N168" s="5">
        <v>26.173547119459723</v>
      </c>
      <c r="O168" s="5">
        <v>11.958333333333298</v>
      </c>
      <c r="P168" s="20">
        <v>0.11007661410154607</v>
      </c>
      <c r="Q168" s="6">
        <v>134.17166795699777</v>
      </c>
      <c r="R168" s="5">
        <v>9.687321773740768</v>
      </c>
      <c r="S168" s="2">
        <v>11.958333333333298</v>
      </c>
      <c r="T168" s="20">
        <v>0.11007661410154607</v>
      </c>
      <c r="U168" s="6">
        <v>134.17166795699777</v>
      </c>
      <c r="V168" s="5">
        <v>9.687321773740768</v>
      </c>
      <c r="W168" s="5">
        <v>15.87499999999991</v>
      </c>
      <c r="X168" s="20">
        <v>1</v>
      </c>
      <c r="Y168" s="6">
        <v>140.46905714556692</v>
      </c>
      <c r="Z168" s="20">
        <v>7.283521829524907</v>
      </c>
      <c r="AA168" s="5">
        <v>16.416666666666586</v>
      </c>
      <c r="AB168" s="20">
        <v>1</v>
      </c>
      <c r="AC168" s="6">
        <v>149.18571723268704</v>
      </c>
      <c r="AD168" s="5">
        <v>16.115037603503325</v>
      </c>
      <c r="AE168" s="5">
        <v>34.08333333333358</v>
      </c>
      <c r="AF168" s="20">
        <v>1</v>
      </c>
      <c r="AG168" s="6">
        <v>159.7342392418822</v>
      </c>
      <c r="AH168" s="5">
        <v>7.773906291085937</v>
      </c>
      <c r="AI168" s="5">
        <v>34.12500000000024</v>
      </c>
      <c r="AJ168" s="20">
        <v>1</v>
      </c>
      <c r="AK168" s="6">
        <v>164.61719122546643</v>
      </c>
      <c r="AL168" s="5">
        <v>28.24301570926483</v>
      </c>
      <c r="AM168" s="5">
        <v>43.0416666666664</v>
      </c>
      <c r="AN168" s="20">
        <v>1</v>
      </c>
      <c r="AO168" s="6">
        <v>180.28293592206427</v>
      </c>
      <c r="AP168" s="5">
        <v>7.861906129478187</v>
      </c>
      <c r="AQ168" s="127">
        <v>99.81743061295583</v>
      </c>
      <c r="AR168" s="42">
        <v>12</v>
      </c>
      <c r="AS168" s="43">
        <v>0.8718011064459683</v>
      </c>
      <c r="AT168">
        <v>11</v>
      </c>
      <c r="AU168">
        <v>0.002232438279575803</v>
      </c>
      <c r="AV168" t="s">
        <v>52</v>
      </c>
    </row>
    <row r="169" spans="1:48" ht="12.75">
      <c r="A169">
        <v>3</v>
      </c>
      <c r="B169" t="s">
        <v>52</v>
      </c>
      <c r="C169" s="5">
        <v>0.45833333333333337</v>
      </c>
      <c r="D169" s="20">
        <v>0.038845811387884344</v>
      </c>
      <c r="E169" s="30">
        <v>107.88798692451402</v>
      </c>
      <c r="F169" s="5">
        <v>35.67459607659329</v>
      </c>
      <c r="G169" s="5">
        <v>5.541666666666671</v>
      </c>
      <c r="H169" s="20">
        <v>0.042607499707944585</v>
      </c>
      <c r="I169" s="6">
        <v>112.38592234448375</v>
      </c>
      <c r="J169" s="5">
        <v>26.21316316312694</v>
      </c>
      <c r="K169" s="5">
        <v>5.83333333333334</v>
      </c>
      <c r="L169" s="20">
        <v>0.0434947935765214</v>
      </c>
      <c r="M169" s="6">
        <v>111.98951848342199</v>
      </c>
      <c r="N169" s="5">
        <v>26.20968254628147</v>
      </c>
      <c r="O169" s="5">
        <v>11.875</v>
      </c>
      <c r="P169" s="20">
        <v>0.10361297302053464</v>
      </c>
      <c r="Q169" s="6">
        <v>126.19164819681319</v>
      </c>
      <c r="R169" s="5">
        <v>9.700339473481266</v>
      </c>
      <c r="S169" s="2">
        <v>11.875</v>
      </c>
      <c r="T169" s="20">
        <v>0.10361297302053464</v>
      </c>
      <c r="U169" s="6">
        <v>126.19164819681319</v>
      </c>
      <c r="V169" s="5">
        <v>9.700339473481266</v>
      </c>
      <c r="W169" s="5">
        <v>15.833333333333243</v>
      </c>
      <c r="X169" s="20">
        <v>1</v>
      </c>
      <c r="Y169" s="6">
        <v>130.25097868145835</v>
      </c>
      <c r="Z169" s="20">
        <v>7.284615101587546</v>
      </c>
      <c r="AA169" s="5">
        <v>16.37499999999992</v>
      </c>
      <c r="AB169" s="20">
        <v>1</v>
      </c>
      <c r="AC169" s="6">
        <v>137.3257222568006</v>
      </c>
      <c r="AD169" s="5">
        <v>16.115946891200764</v>
      </c>
      <c r="AE169" s="5">
        <v>34.04166666666691</v>
      </c>
      <c r="AF169" s="20">
        <v>1</v>
      </c>
      <c r="AG169" s="6">
        <v>148.38098527078887</v>
      </c>
      <c r="AH169" s="5">
        <v>7.774985853111076</v>
      </c>
      <c r="AI169" s="5">
        <v>34.08333333333358</v>
      </c>
      <c r="AJ169" s="20">
        <v>1</v>
      </c>
      <c r="AK169" s="6">
        <v>150.87424505769224</v>
      </c>
      <c r="AL169" s="5">
        <v>28.235425842039028</v>
      </c>
      <c r="AM169" s="5">
        <v>42.95833333333307</v>
      </c>
      <c r="AN169" s="20">
        <v>1</v>
      </c>
      <c r="AO169" s="6">
        <v>161.97617920904406</v>
      </c>
      <c r="AP169" s="5">
        <v>7.861906167499133</v>
      </c>
      <c r="AQ169" s="127">
        <v>99.81743061295583</v>
      </c>
      <c r="AR169" s="42">
        <v>12</v>
      </c>
      <c r="AS169" s="43">
        <v>0.8394412567222892</v>
      </c>
      <c r="AT169">
        <v>11</v>
      </c>
      <c r="AU169">
        <v>0.002146429037182711</v>
      </c>
      <c r="AV169" t="s">
        <v>52</v>
      </c>
    </row>
    <row r="170" spans="1:48" ht="12.75">
      <c r="A170">
        <v>4</v>
      </c>
      <c r="B170" t="s">
        <v>52</v>
      </c>
      <c r="C170" s="5">
        <v>0.6666666666666665</v>
      </c>
      <c r="D170" s="20">
        <v>0.04479036107772072</v>
      </c>
      <c r="E170" s="30">
        <v>114.0479864272794</v>
      </c>
      <c r="F170" s="5">
        <v>35.670609399128125</v>
      </c>
      <c r="G170" s="5">
        <v>5.583333333333338</v>
      </c>
      <c r="H170" s="20">
        <v>0.052608915176202496</v>
      </c>
      <c r="I170" s="6">
        <v>174.96540861904265</v>
      </c>
      <c r="J170" s="5">
        <v>26.17352835184054</v>
      </c>
      <c r="K170" s="5">
        <v>5.875000000000007</v>
      </c>
      <c r="L170" s="20">
        <v>0.05419326828914236</v>
      </c>
      <c r="M170" s="6">
        <v>177.46368355616423</v>
      </c>
      <c r="N170" s="5">
        <v>26.171772026993715</v>
      </c>
      <c r="O170" s="5">
        <v>11.958333333333298</v>
      </c>
      <c r="P170" s="20">
        <v>1</v>
      </c>
      <c r="Q170" s="6">
        <v>743.8291410895698</v>
      </c>
      <c r="R170" s="5">
        <v>13.341503162825648</v>
      </c>
      <c r="S170" s="2">
        <v>11.958333333333298</v>
      </c>
      <c r="T170" s="20">
        <v>1</v>
      </c>
      <c r="U170" s="6">
        <v>743.8291410895698</v>
      </c>
      <c r="V170" s="5">
        <v>13.341503162825648</v>
      </c>
      <c r="W170" s="5">
        <v>15.87499999999991</v>
      </c>
      <c r="X170" s="20">
        <v>1</v>
      </c>
      <c r="Y170" s="6">
        <v>20786.356991591147</v>
      </c>
      <c r="Z170" s="20">
        <v>11.706601383154226</v>
      </c>
      <c r="AA170" s="5">
        <v>16.416666666666586</v>
      </c>
      <c r="AB170" s="20">
        <v>1</v>
      </c>
      <c r="AC170" s="6">
        <v>52044.488321693556</v>
      </c>
      <c r="AD170" s="5">
        <v>16.6360743320796</v>
      </c>
      <c r="AE170" s="5">
        <v>34.08333333333358</v>
      </c>
      <c r="AF170" s="20">
        <v>1</v>
      </c>
      <c r="AG170" s="6">
        <v>118057.79146071592</v>
      </c>
      <c r="AH170" s="5">
        <v>7.966047385391643</v>
      </c>
      <c r="AI170" s="5">
        <v>34.12500000000024</v>
      </c>
      <c r="AJ170" s="20">
        <v>1</v>
      </c>
      <c r="AK170" s="6">
        <v>154110.40628283643</v>
      </c>
      <c r="AL170" s="5">
        <v>28.252221191217703</v>
      </c>
      <c r="AM170" s="5">
        <v>43.0416666666664</v>
      </c>
      <c r="AN170" s="20">
        <v>1</v>
      </c>
      <c r="AO170" s="6">
        <v>275233.7915273826</v>
      </c>
      <c r="AP170" s="5">
        <v>7.861906129478187</v>
      </c>
      <c r="AQ170" s="127">
        <v>99.81743061295583</v>
      </c>
      <c r="AR170" s="42">
        <v>12</v>
      </c>
      <c r="AS170" s="43">
        <v>2.0366962289117736</v>
      </c>
      <c r="AT170">
        <v>11</v>
      </c>
      <c r="AU170">
        <v>0.005163635589742994</v>
      </c>
      <c r="AV170" t="s">
        <v>52</v>
      </c>
    </row>
    <row r="171" spans="1:48" ht="12.75">
      <c r="A171">
        <v>5</v>
      </c>
      <c r="B171" t="s">
        <v>52</v>
      </c>
      <c r="C171" s="5">
        <v>0.6666666666666665</v>
      </c>
      <c r="D171" s="20">
        <v>0.043744700451256266</v>
      </c>
      <c r="E171" s="30">
        <v>113.2322719008092</v>
      </c>
      <c r="F171" s="5">
        <v>35.670609399128125</v>
      </c>
      <c r="G171" s="5">
        <v>5.5437499999998225</v>
      </c>
      <c r="H171" s="20">
        <v>0.05145207449647581</v>
      </c>
      <c r="I171" s="6">
        <v>173.25385094647106</v>
      </c>
      <c r="J171" s="5">
        <v>26.175221111546826</v>
      </c>
      <c r="K171" s="5">
        <v>5.875000000000007</v>
      </c>
      <c r="L171" s="20">
        <v>0.05266914932110866</v>
      </c>
      <c r="M171" s="6">
        <v>174.9641316584362</v>
      </c>
      <c r="N171" s="5">
        <v>26.173547119459723</v>
      </c>
      <c r="O171" s="5">
        <v>11.958333333333298</v>
      </c>
      <c r="P171" s="20">
        <v>1</v>
      </c>
      <c r="Q171" s="6">
        <v>739.0247883234221</v>
      </c>
      <c r="R171" s="5">
        <v>13.341503162825648</v>
      </c>
      <c r="S171" s="2">
        <v>11.958333333333298</v>
      </c>
      <c r="T171" s="20">
        <v>1</v>
      </c>
      <c r="U171" s="6">
        <v>739.0247883234221</v>
      </c>
      <c r="V171" s="5">
        <v>13.341503162825648</v>
      </c>
      <c r="W171" s="5">
        <v>15.87499999999991</v>
      </c>
      <c r="X171" s="20">
        <v>1</v>
      </c>
      <c r="Y171" s="6">
        <v>19431.567803387425</v>
      </c>
      <c r="Z171" s="20">
        <v>11.706391902174822</v>
      </c>
      <c r="AA171" s="5">
        <v>16.416666666666586</v>
      </c>
      <c r="AB171" s="20">
        <v>1</v>
      </c>
      <c r="AC171" s="6">
        <v>47842.25382602208</v>
      </c>
      <c r="AD171" s="5">
        <v>16.63584188889002</v>
      </c>
      <c r="AE171" s="5">
        <v>34.08333333333358</v>
      </c>
      <c r="AF171" s="20">
        <v>1</v>
      </c>
      <c r="AG171" s="6">
        <v>100619.61411781698</v>
      </c>
      <c r="AH171" s="5">
        <v>7.966047385391643</v>
      </c>
      <c r="AI171" s="5">
        <v>34.12500000000024</v>
      </c>
      <c r="AJ171" s="20">
        <v>1</v>
      </c>
      <c r="AK171" s="6">
        <v>138805.71414792194</v>
      </c>
      <c r="AL171" s="5">
        <v>28.252855265552043</v>
      </c>
      <c r="AM171" s="5">
        <v>43.0416666666664</v>
      </c>
      <c r="AN171" s="20">
        <v>1</v>
      </c>
      <c r="AO171" s="6">
        <v>236054.4071045258</v>
      </c>
      <c r="AP171" s="5">
        <v>7.861906129478187</v>
      </c>
      <c r="AQ171" s="127">
        <v>99.81743061295583</v>
      </c>
      <c r="AR171" s="42">
        <v>12</v>
      </c>
      <c r="AS171" s="43">
        <v>2.003570279685981</v>
      </c>
      <c r="AT171">
        <v>11</v>
      </c>
      <c r="AU171">
        <v>0.005087114465213477</v>
      </c>
      <c r="AV171" t="s">
        <v>52</v>
      </c>
    </row>
    <row r="172" spans="1:48" ht="12.75">
      <c r="A172">
        <v>6</v>
      </c>
      <c r="B172" t="s">
        <v>52</v>
      </c>
      <c r="C172" s="5">
        <v>0.45833333333333337</v>
      </c>
      <c r="D172" s="20">
        <v>0.038845811387884344</v>
      </c>
      <c r="E172" s="30">
        <v>107.88798692451402</v>
      </c>
      <c r="F172" s="5">
        <v>35.67459607659329</v>
      </c>
      <c r="G172" s="5">
        <v>5.541666666666671</v>
      </c>
      <c r="H172" s="20">
        <v>0.04421653412164905</v>
      </c>
      <c r="I172" s="6">
        <v>155.75848985175526</v>
      </c>
      <c r="J172" s="5">
        <v>26.21316316312694</v>
      </c>
      <c r="K172" s="5">
        <v>5.83333333333334</v>
      </c>
      <c r="L172" s="20">
        <v>0.045350360542137</v>
      </c>
      <c r="M172" s="6">
        <v>158.15605761734517</v>
      </c>
      <c r="N172" s="5">
        <v>26.20968254628147</v>
      </c>
      <c r="O172" s="5">
        <v>11.875</v>
      </c>
      <c r="P172" s="20">
        <v>1</v>
      </c>
      <c r="Q172" s="6">
        <v>536.6356889014056</v>
      </c>
      <c r="R172" s="5">
        <v>13.336799429492439</v>
      </c>
      <c r="S172" s="2">
        <v>11.875</v>
      </c>
      <c r="T172" s="20">
        <v>1</v>
      </c>
      <c r="U172" s="6">
        <v>536.6356889014056</v>
      </c>
      <c r="V172" s="5">
        <v>13.336799429492439</v>
      </c>
      <c r="W172" s="5">
        <v>15.833333333333243</v>
      </c>
      <c r="X172" s="20">
        <v>1</v>
      </c>
      <c r="Y172" s="6">
        <v>10069.303325822135</v>
      </c>
      <c r="Z172" s="20">
        <v>11.707204134013967</v>
      </c>
      <c r="AA172" s="5">
        <v>16.37499999999992</v>
      </c>
      <c r="AB172" s="20">
        <v>1</v>
      </c>
      <c r="AC172" s="6">
        <v>25003.08010033191</v>
      </c>
      <c r="AD172" s="5">
        <v>16.635187528440888</v>
      </c>
      <c r="AE172" s="5">
        <v>34.04166666666691</v>
      </c>
      <c r="AF172" s="20">
        <v>1</v>
      </c>
      <c r="AG172" s="6">
        <v>51919.351609871315</v>
      </c>
      <c r="AH172" s="5">
        <v>7.965452496829891</v>
      </c>
      <c r="AI172" s="5">
        <v>34.08333333333358</v>
      </c>
      <c r="AJ172" s="20">
        <v>1</v>
      </c>
      <c r="AK172" s="6">
        <v>73266.11131299683</v>
      </c>
      <c r="AL172" s="5">
        <v>28.252221191217703</v>
      </c>
      <c r="AM172" s="5">
        <v>42.95833333333307</v>
      </c>
      <c r="AN172" s="20">
        <v>1</v>
      </c>
      <c r="AO172" s="6">
        <v>117388.98047550145</v>
      </c>
      <c r="AP172" s="5">
        <v>7.861906167499133</v>
      </c>
      <c r="AQ172" s="127">
        <v>99.81743061295583</v>
      </c>
      <c r="AR172" s="42">
        <v>12</v>
      </c>
      <c r="AS172" s="43">
        <v>1.8860475998896928</v>
      </c>
      <c r="AT172">
        <v>11</v>
      </c>
      <c r="AU172">
        <v>0.004773758323885056</v>
      </c>
      <c r="AV172" t="s">
        <v>52</v>
      </c>
    </row>
    <row r="173" spans="1:48" ht="12.75">
      <c r="A173">
        <v>7</v>
      </c>
      <c r="B173" t="s">
        <v>52</v>
      </c>
      <c r="C173" s="5">
        <v>0.6666666666666665</v>
      </c>
      <c r="D173" s="20">
        <v>0.04479036107772072</v>
      </c>
      <c r="E173" s="30">
        <v>114.0479864272794</v>
      </c>
      <c r="F173" s="5">
        <v>35.670609399128125</v>
      </c>
      <c r="G173" s="5">
        <v>5.583333333333338</v>
      </c>
      <c r="H173" s="20">
        <v>0.05547639201631098</v>
      </c>
      <c r="I173" s="6">
        <v>1219.2893610511653</v>
      </c>
      <c r="J173" s="5">
        <v>26.192140920324814</v>
      </c>
      <c r="K173" s="5">
        <v>5.875000000000007</v>
      </c>
      <c r="L173" s="20">
        <v>0.0579913640009707</v>
      </c>
      <c r="M173" s="6">
        <v>2360.8108185718534</v>
      </c>
      <c r="N173" s="5">
        <v>26.17352835184054</v>
      </c>
      <c r="O173" s="5">
        <v>11.958333333333298</v>
      </c>
      <c r="P173" s="20">
        <v>1</v>
      </c>
      <c r="Q173" s="6">
        <v>15811388.300841894</v>
      </c>
      <c r="R173" s="5">
        <v>16.458160736446963</v>
      </c>
      <c r="S173" s="2">
        <v>11.958333333333298</v>
      </c>
      <c r="T173" s="20">
        <v>1</v>
      </c>
      <c r="U173" s="6">
        <v>15811388.300841894</v>
      </c>
      <c r="V173" s="5">
        <v>16.458160736446963</v>
      </c>
      <c r="W173" s="5">
        <v>15.87499999999991</v>
      </c>
      <c r="X173" s="20">
        <v>1</v>
      </c>
      <c r="Y173" s="6">
        <v>15811388.300841894</v>
      </c>
      <c r="Z173" s="20">
        <v>15.575348018655015</v>
      </c>
      <c r="AA173" s="5">
        <v>16.416666666666586</v>
      </c>
      <c r="AB173" s="20">
        <v>1</v>
      </c>
      <c r="AC173" s="6">
        <v>15811388.300841894</v>
      </c>
      <c r="AD173" s="5">
        <v>17.403573741749167</v>
      </c>
      <c r="AE173" s="5">
        <v>34.08333333333358</v>
      </c>
      <c r="AF173" s="20">
        <v>1</v>
      </c>
      <c r="AG173" s="6">
        <v>15811388.300841894</v>
      </c>
      <c r="AH173" s="5">
        <v>8.053154573470078</v>
      </c>
      <c r="AI173" s="5">
        <v>34.12500000000024</v>
      </c>
      <c r="AJ173" s="20">
        <v>1</v>
      </c>
      <c r="AK173" s="6">
        <v>15811388.300841894</v>
      </c>
      <c r="AL173" s="5">
        <v>28.258521911490725</v>
      </c>
      <c r="AM173" s="5">
        <v>43.0416666666664</v>
      </c>
      <c r="AN173" s="20">
        <v>1</v>
      </c>
      <c r="AO173" s="6">
        <v>15811388.300841894</v>
      </c>
      <c r="AP173" s="5">
        <v>7.861906129478187</v>
      </c>
      <c r="AQ173" s="127">
        <v>99.81743061295583</v>
      </c>
      <c r="AR173" s="42">
        <v>12</v>
      </c>
      <c r="AS173" s="43">
        <v>11.99300996954433</v>
      </c>
      <c r="AT173">
        <v>11</v>
      </c>
      <c r="AU173">
        <v>0.028325777431480147</v>
      </c>
      <c r="AV173" t="s">
        <v>52</v>
      </c>
    </row>
    <row r="174" spans="1:48" ht="12.75">
      <c r="A174">
        <v>8</v>
      </c>
      <c r="B174" t="s">
        <v>52</v>
      </c>
      <c r="C174" s="5">
        <v>0.6666666666666665</v>
      </c>
      <c r="D174" s="20">
        <v>0.043744700451256266</v>
      </c>
      <c r="E174" s="30">
        <v>113.2322719008092</v>
      </c>
      <c r="F174" s="5">
        <v>35.670609399128125</v>
      </c>
      <c r="G174" s="5">
        <v>5.5437499999998225</v>
      </c>
      <c r="H174" s="20">
        <v>0.053694190586923464</v>
      </c>
      <c r="I174" s="6">
        <v>1121.9908240160157</v>
      </c>
      <c r="J174" s="5">
        <v>26.19558788227007</v>
      </c>
      <c r="K174" s="5">
        <v>5.875000000000007</v>
      </c>
      <c r="L174" s="20">
        <v>0.05572372831526577</v>
      </c>
      <c r="M174" s="6">
        <v>2176.189444473846</v>
      </c>
      <c r="N174" s="5">
        <v>26.175221111546826</v>
      </c>
      <c r="O174" s="5">
        <v>11.958333333333298</v>
      </c>
      <c r="P174" s="20">
        <v>1</v>
      </c>
      <c r="Q174" s="6">
        <v>15811388.300841894</v>
      </c>
      <c r="R174" s="5">
        <v>16.457126352577887</v>
      </c>
      <c r="S174" s="2">
        <v>11.958333333333298</v>
      </c>
      <c r="T174" s="20">
        <v>1</v>
      </c>
      <c r="U174" s="6">
        <v>15811388.300841894</v>
      </c>
      <c r="V174" s="5">
        <v>16.457126352577887</v>
      </c>
      <c r="W174" s="5">
        <v>15.87499999999991</v>
      </c>
      <c r="X174" s="20">
        <v>1</v>
      </c>
      <c r="Y174" s="6">
        <v>15811388.300841894</v>
      </c>
      <c r="Z174" s="20">
        <v>15.575373614903073</v>
      </c>
      <c r="AA174" s="5">
        <v>16.416666666666586</v>
      </c>
      <c r="AB174" s="20">
        <v>1</v>
      </c>
      <c r="AC174" s="6">
        <v>15811388.300841894</v>
      </c>
      <c r="AD174" s="5">
        <v>17.40534366957351</v>
      </c>
      <c r="AE174" s="5">
        <v>34.08333333333358</v>
      </c>
      <c r="AF174" s="20">
        <v>1</v>
      </c>
      <c r="AG174" s="6">
        <v>15811388.300841894</v>
      </c>
      <c r="AH174" s="5">
        <v>8.054217709149835</v>
      </c>
      <c r="AI174" s="5">
        <v>34.12500000000024</v>
      </c>
      <c r="AJ174" s="20">
        <v>1</v>
      </c>
      <c r="AK174" s="6">
        <v>15811388.300841894</v>
      </c>
      <c r="AL174" s="5">
        <v>28.258945744752975</v>
      </c>
      <c r="AM174" s="5">
        <v>43.0416666666664</v>
      </c>
      <c r="AN174" s="20">
        <v>1</v>
      </c>
      <c r="AO174" s="6">
        <v>15811388.300841894</v>
      </c>
      <c r="AP174" s="5">
        <v>7.861906129478187</v>
      </c>
      <c r="AQ174" s="127">
        <v>99.81743061295583</v>
      </c>
      <c r="AR174" s="42">
        <v>12</v>
      </c>
      <c r="AS174" s="43">
        <v>11.605953092011987</v>
      </c>
      <c r="AT174">
        <v>11</v>
      </c>
      <c r="AU174">
        <v>0.02770457079447435</v>
      </c>
      <c r="AV174" t="s">
        <v>52</v>
      </c>
    </row>
    <row r="175" spans="1:48" ht="12.75">
      <c r="A175">
        <v>9</v>
      </c>
      <c r="B175" t="s">
        <v>52</v>
      </c>
      <c r="C175" s="5">
        <v>0.45833333333333337</v>
      </c>
      <c r="D175" s="20">
        <v>0.038845811387884344</v>
      </c>
      <c r="E175" s="30">
        <v>107.88798692451402</v>
      </c>
      <c r="F175" s="5">
        <v>35.67459607659329</v>
      </c>
      <c r="G175" s="5">
        <v>5.541666666666671</v>
      </c>
      <c r="H175" s="20">
        <v>0.046334129847201685</v>
      </c>
      <c r="I175" s="6">
        <v>731.440104036791</v>
      </c>
      <c r="J175" s="5">
        <v>26.22056174006668</v>
      </c>
      <c r="K175" s="5">
        <v>5.83333333333334</v>
      </c>
      <c r="L175" s="20">
        <v>0.04781833291712644</v>
      </c>
      <c r="M175" s="6">
        <v>1155.1865493718424</v>
      </c>
      <c r="N175" s="5">
        <v>26.21316316312694</v>
      </c>
      <c r="O175" s="5">
        <v>11.875</v>
      </c>
      <c r="P175" s="20">
        <v>1</v>
      </c>
      <c r="Q175" s="6">
        <v>14190300.408334201</v>
      </c>
      <c r="R175" s="5">
        <v>16.45882696346886</v>
      </c>
      <c r="S175" s="2">
        <v>11.875</v>
      </c>
      <c r="T175" s="20">
        <v>1</v>
      </c>
      <c r="U175" s="6">
        <v>14190300.408334201</v>
      </c>
      <c r="V175" s="5">
        <v>16.45882696346886</v>
      </c>
      <c r="W175" s="5">
        <v>15.833333333333243</v>
      </c>
      <c r="X175" s="20">
        <v>1</v>
      </c>
      <c r="Y175" s="6">
        <v>15811388.300841894</v>
      </c>
      <c r="Z175" s="20">
        <v>15.575457021673481</v>
      </c>
      <c r="AA175" s="5">
        <v>16.37499999999992</v>
      </c>
      <c r="AB175" s="20">
        <v>1</v>
      </c>
      <c r="AC175" s="6">
        <v>15811388.300841894</v>
      </c>
      <c r="AD175" s="5">
        <v>17.40986686758423</v>
      </c>
      <c r="AE175" s="5">
        <v>34.04166666666691</v>
      </c>
      <c r="AF175" s="20">
        <v>1</v>
      </c>
      <c r="AG175" s="6">
        <v>15811388.300841894</v>
      </c>
      <c r="AH175" s="5">
        <v>8.053154573470078</v>
      </c>
      <c r="AI175" s="5">
        <v>34.08333333333358</v>
      </c>
      <c r="AJ175" s="20">
        <v>1</v>
      </c>
      <c r="AK175" s="6">
        <v>15811388.300841894</v>
      </c>
      <c r="AL175" s="5">
        <v>28.257327359329732</v>
      </c>
      <c r="AM175" s="5">
        <v>42.95833333333307</v>
      </c>
      <c r="AN175" s="20">
        <v>1</v>
      </c>
      <c r="AO175" s="6">
        <v>15811388.300841894</v>
      </c>
      <c r="AP175" s="5">
        <v>7.861906167499133</v>
      </c>
      <c r="AQ175" s="127">
        <v>99.81743061295583</v>
      </c>
      <c r="AR175" s="42">
        <v>12</v>
      </c>
      <c r="AS175" s="43">
        <v>10.807984835565298</v>
      </c>
      <c r="AT175">
        <v>11</v>
      </c>
      <c r="AU175">
        <v>0.025858154002608755</v>
      </c>
      <c r="AV175" t="s">
        <v>52</v>
      </c>
    </row>
    <row r="176" spans="1:48" ht="12.75">
      <c r="A176">
        <v>10</v>
      </c>
      <c r="B176" t="s">
        <v>52</v>
      </c>
      <c r="C176" s="5">
        <v>0.7083333333333331</v>
      </c>
      <c r="D176" s="20">
        <v>0.04488809204468143</v>
      </c>
      <c r="E176" s="30">
        <v>114.14280189940679</v>
      </c>
      <c r="F176" s="5">
        <v>35.670609399128125</v>
      </c>
      <c r="G176" s="5">
        <v>5.583333333333338</v>
      </c>
      <c r="H176" s="20">
        <v>0.057042201759742</v>
      </c>
      <c r="I176" s="6">
        <v>293.9012595292221</v>
      </c>
      <c r="J176" s="5">
        <v>26.564314258195008</v>
      </c>
      <c r="K176" s="5">
        <v>5.875000000000007</v>
      </c>
      <c r="L176" s="20">
        <v>0.058354813306973896</v>
      </c>
      <c r="M176" s="6">
        <v>293.47439709092043</v>
      </c>
      <c r="N176" s="5">
        <v>26.17352835184054</v>
      </c>
      <c r="O176" s="5">
        <v>11.958333333333298</v>
      </c>
      <c r="P176" s="20">
        <v>1</v>
      </c>
      <c r="Q176" s="6">
        <v>4055.8033473090213</v>
      </c>
      <c r="R176" s="5">
        <v>17.67725882313573</v>
      </c>
      <c r="S176" s="2">
        <v>11.958333333333298</v>
      </c>
      <c r="T176" s="20">
        <v>1</v>
      </c>
      <c r="U176" s="6">
        <v>4055.8033473090213</v>
      </c>
      <c r="V176" s="5">
        <v>17.67725882313573</v>
      </c>
      <c r="W176" s="5">
        <v>15.87499999999991</v>
      </c>
      <c r="X176" s="20">
        <v>1</v>
      </c>
      <c r="Y176" s="6">
        <v>47641.59967639879</v>
      </c>
      <c r="Z176" s="20">
        <v>15.902256806037496</v>
      </c>
      <c r="AA176" s="5">
        <v>16.416666666666586</v>
      </c>
      <c r="AB176" s="20">
        <v>1</v>
      </c>
      <c r="AC176" s="6">
        <v>133022.57294570102</v>
      </c>
      <c r="AD176" s="5">
        <v>16.76113019771574</v>
      </c>
      <c r="AE176" s="5">
        <v>34.08333333333358</v>
      </c>
      <c r="AF176" s="20">
        <v>1</v>
      </c>
      <c r="AG176" s="6">
        <v>292319.6251924577</v>
      </c>
      <c r="AH176" s="5">
        <v>7.859184216169851</v>
      </c>
      <c r="AI176" s="5">
        <v>34.12500000000024</v>
      </c>
      <c r="AJ176" s="20">
        <v>1</v>
      </c>
      <c r="AK176" s="6">
        <v>390503.9109131256</v>
      </c>
      <c r="AL176" s="5">
        <v>28.257446190730906</v>
      </c>
      <c r="AM176" s="5">
        <v>43.0416666666664</v>
      </c>
      <c r="AN176" s="20">
        <v>1</v>
      </c>
      <c r="AO176" s="6">
        <v>816485.131210906</v>
      </c>
      <c r="AP176" s="5">
        <v>7.861906129478187</v>
      </c>
      <c r="AQ176" s="127">
        <v>99.81743061295583</v>
      </c>
      <c r="AR176" s="42">
        <v>12</v>
      </c>
      <c r="AS176" s="43">
        <v>2.1925499532466217</v>
      </c>
      <c r="AT176">
        <v>11</v>
      </c>
      <c r="AU176">
        <v>0.005542925243593348</v>
      </c>
      <c r="AV176" t="s">
        <v>52</v>
      </c>
    </row>
    <row r="177" spans="1:48" ht="12.75">
      <c r="A177">
        <v>11</v>
      </c>
      <c r="B177" t="s">
        <v>52</v>
      </c>
      <c r="C177" s="5">
        <v>0.6666666666666665</v>
      </c>
      <c r="D177" s="20">
        <v>0.04479036107772072</v>
      </c>
      <c r="E177" s="30">
        <v>114.0479864272794</v>
      </c>
      <c r="F177" s="5">
        <v>35.670609399128125</v>
      </c>
      <c r="G177" s="5">
        <v>5.583333333333338</v>
      </c>
      <c r="H177" s="20">
        <v>0.05007121793577395</v>
      </c>
      <c r="I177" s="6">
        <v>119.310270538138</v>
      </c>
      <c r="J177" s="5">
        <v>26.17352835184054</v>
      </c>
      <c r="K177" s="5">
        <v>5.875000000000007</v>
      </c>
      <c r="L177" s="20">
        <v>0.05125551386777842</v>
      </c>
      <c r="M177" s="6">
        <v>119.30233053654635</v>
      </c>
      <c r="N177" s="5">
        <v>26.171772026993715</v>
      </c>
      <c r="O177" s="5">
        <v>11.958333333333298</v>
      </c>
      <c r="P177" s="20">
        <v>0.11142864267481531</v>
      </c>
      <c r="Q177" s="6">
        <v>136.15130827073506</v>
      </c>
      <c r="R177" s="5">
        <v>9.683897888099013</v>
      </c>
      <c r="S177" s="2">
        <v>0.024826388888888832</v>
      </c>
      <c r="T177" s="20">
        <v>1</v>
      </c>
      <c r="U177" s="6">
        <v>0</v>
      </c>
      <c r="V177" s="5">
        <v>57.00541619348042</v>
      </c>
      <c r="W177" s="5">
        <v>15.917708333333243</v>
      </c>
      <c r="X177" s="20">
        <v>1</v>
      </c>
      <c r="Y177" s="6">
        <v>0.0001</v>
      </c>
      <c r="Z177" s="20">
        <v>9.984546659844144</v>
      </c>
      <c r="AA177" s="5">
        <v>16.459374999999923</v>
      </c>
      <c r="AB177" s="20">
        <v>1</v>
      </c>
      <c r="AC177" s="6">
        <v>0.0001</v>
      </c>
      <c r="AD177" s="5">
        <v>16.262811679037426</v>
      </c>
      <c r="AE177" s="5">
        <v>34.12604166666691</v>
      </c>
      <c r="AF177" s="20">
        <v>1</v>
      </c>
      <c r="AG177" s="6">
        <v>0.0001</v>
      </c>
      <c r="AH177" s="5">
        <v>7.811812789912548</v>
      </c>
      <c r="AI177" s="5">
        <v>34.16770833333357</v>
      </c>
      <c r="AJ177" s="20">
        <v>1</v>
      </c>
      <c r="AK177" s="6">
        <v>0.0001</v>
      </c>
      <c r="AL177" s="5">
        <v>28.24440114203195</v>
      </c>
      <c r="AM177" s="5">
        <v>43.08437499999973</v>
      </c>
      <c r="AN177" s="20">
        <v>1</v>
      </c>
      <c r="AO177" s="6">
        <v>0.0001</v>
      </c>
      <c r="AP177" s="5">
        <v>7.861906129478187</v>
      </c>
      <c r="AQ177" s="127">
        <v>99.81743061295583</v>
      </c>
      <c r="AR177" s="42">
        <v>12</v>
      </c>
      <c r="AS177" s="43">
        <v>0.0001</v>
      </c>
      <c r="AT177">
        <v>11</v>
      </c>
      <c r="AU177">
        <v>0.0001</v>
      </c>
      <c r="AV177" t="s">
        <v>52</v>
      </c>
    </row>
    <row r="178" spans="1:48" ht="12.75">
      <c r="A178">
        <v>12</v>
      </c>
      <c r="B178" t="s">
        <v>52</v>
      </c>
      <c r="C178" s="5">
        <v>0.6666666666666665</v>
      </c>
      <c r="D178" s="20">
        <v>0.043744700451256266</v>
      </c>
      <c r="E178" s="30">
        <v>113.2322719008092</v>
      </c>
      <c r="F178" s="5">
        <v>35.670609399128125</v>
      </c>
      <c r="G178" s="5">
        <v>5.5437499999998225</v>
      </c>
      <c r="H178" s="20">
        <v>0.04918129593110228</v>
      </c>
      <c r="I178" s="6">
        <v>118.25280310978447</v>
      </c>
      <c r="J178" s="5">
        <v>26.175221111546826</v>
      </c>
      <c r="K178" s="5">
        <v>5.875000000000007</v>
      </c>
      <c r="L178" s="20">
        <v>0.05035597443727969</v>
      </c>
      <c r="M178" s="6">
        <v>117.97913725007801</v>
      </c>
      <c r="N178" s="5">
        <v>26.173547119459723</v>
      </c>
      <c r="O178" s="5">
        <v>11.958333333333298</v>
      </c>
      <c r="P178" s="20">
        <v>0.11007661410154607</v>
      </c>
      <c r="Q178" s="6">
        <v>134.17166795699777</v>
      </c>
      <c r="R178" s="5">
        <v>9.687321773740768</v>
      </c>
      <c r="S178" s="2">
        <v>0.024826388888888832</v>
      </c>
      <c r="T178" s="20">
        <v>1</v>
      </c>
      <c r="U178" s="6">
        <v>0</v>
      </c>
      <c r="V178" s="5">
        <v>57.005418954192635</v>
      </c>
      <c r="W178" s="5">
        <v>15.917708333333243</v>
      </c>
      <c r="X178" s="20">
        <v>1</v>
      </c>
      <c r="Y178" s="6">
        <v>0.0001</v>
      </c>
      <c r="Z178" s="20">
        <v>9.98308622790936</v>
      </c>
      <c r="AA178" s="5">
        <v>16.459374999999923</v>
      </c>
      <c r="AB178" s="20">
        <v>1</v>
      </c>
      <c r="AC178" s="6">
        <v>0.0001</v>
      </c>
      <c r="AD178" s="5">
        <v>16.262811679037426</v>
      </c>
      <c r="AE178" s="5">
        <v>34.12604166666691</v>
      </c>
      <c r="AF178" s="20">
        <v>1</v>
      </c>
      <c r="AG178" s="6">
        <v>0.0001</v>
      </c>
      <c r="AH178" s="5">
        <v>7.811812789912548</v>
      </c>
      <c r="AI178" s="5">
        <v>34.16770833333357</v>
      </c>
      <c r="AJ178" s="20">
        <v>1</v>
      </c>
      <c r="AK178" s="6">
        <v>0.0001</v>
      </c>
      <c r="AL178" s="5">
        <v>28.245283830407942</v>
      </c>
      <c r="AM178" s="5">
        <v>43.08437499999973</v>
      </c>
      <c r="AN178" s="20">
        <v>1</v>
      </c>
      <c r="AO178" s="6">
        <v>0.0001</v>
      </c>
      <c r="AP178" s="5">
        <v>7.861906129478187</v>
      </c>
      <c r="AQ178" s="127">
        <v>99.81743061295583</v>
      </c>
      <c r="AR178" s="42">
        <v>12</v>
      </c>
      <c r="AS178" s="43">
        <v>0.0001</v>
      </c>
      <c r="AT178">
        <v>11</v>
      </c>
      <c r="AU178">
        <v>0.0001</v>
      </c>
      <c r="AV178" t="s">
        <v>52</v>
      </c>
    </row>
    <row r="179" spans="1:48" ht="12.75">
      <c r="A179">
        <v>13</v>
      </c>
      <c r="B179" t="s">
        <v>52</v>
      </c>
      <c r="C179" s="5">
        <v>0.45833333333333337</v>
      </c>
      <c r="D179" s="20">
        <v>0.038845811387884344</v>
      </c>
      <c r="E179" s="30">
        <v>107.88798692451402</v>
      </c>
      <c r="F179" s="5">
        <v>35.67459607659329</v>
      </c>
      <c r="G179" s="5">
        <v>5.541666666666671</v>
      </c>
      <c r="H179" s="20">
        <v>0.042607499707944585</v>
      </c>
      <c r="I179" s="6">
        <v>112.38592234448375</v>
      </c>
      <c r="J179" s="5">
        <v>26.21316316312694</v>
      </c>
      <c r="K179" s="5">
        <v>5.83333333333334</v>
      </c>
      <c r="L179" s="20">
        <v>0.0434947935765214</v>
      </c>
      <c r="M179" s="6">
        <v>111.98951848342199</v>
      </c>
      <c r="N179" s="5">
        <v>26.20968254628147</v>
      </c>
      <c r="O179" s="5">
        <v>11.875</v>
      </c>
      <c r="P179" s="20">
        <v>0.10361297302053464</v>
      </c>
      <c r="Q179" s="6">
        <v>126.19164819681319</v>
      </c>
      <c r="R179" s="5">
        <v>9.700339473481266</v>
      </c>
      <c r="S179" s="2">
        <v>0.024826388888888832</v>
      </c>
      <c r="T179" s="20">
        <v>1</v>
      </c>
      <c r="U179" s="6">
        <v>0</v>
      </c>
      <c r="V179" s="5">
        <v>57.00540083748979</v>
      </c>
      <c r="W179" s="5">
        <v>15.876041666666577</v>
      </c>
      <c r="X179" s="20">
        <v>1</v>
      </c>
      <c r="Y179" s="6">
        <v>0.0001</v>
      </c>
      <c r="Z179" s="20">
        <v>9.983135320575226</v>
      </c>
      <c r="AA179" s="5">
        <v>16.417708333333255</v>
      </c>
      <c r="AB179" s="20">
        <v>1</v>
      </c>
      <c r="AC179" s="6">
        <v>0.0001</v>
      </c>
      <c r="AD179" s="5">
        <v>16.26643009053315</v>
      </c>
      <c r="AE179" s="5">
        <v>34.08437500000024</v>
      </c>
      <c r="AF179" s="20">
        <v>1</v>
      </c>
      <c r="AG179" s="6">
        <v>0.0001</v>
      </c>
      <c r="AH179" s="5">
        <v>7.812418129223867</v>
      </c>
      <c r="AI179" s="5">
        <v>34.12604166666691</v>
      </c>
      <c r="AJ179" s="20">
        <v>1</v>
      </c>
      <c r="AK179" s="6">
        <v>0.0001</v>
      </c>
      <c r="AL179" s="5">
        <v>28.23800866192711</v>
      </c>
      <c r="AM179" s="5">
        <v>43.0010416666664</v>
      </c>
      <c r="AN179" s="20">
        <v>1</v>
      </c>
      <c r="AO179" s="6">
        <v>0.0001</v>
      </c>
      <c r="AP179" s="5">
        <v>7.861906167499133</v>
      </c>
      <c r="AQ179" s="127">
        <v>99.81743061295583</v>
      </c>
      <c r="AR179" s="42">
        <v>12</v>
      </c>
      <c r="AS179" s="43">
        <v>0.0001</v>
      </c>
      <c r="AT179">
        <v>11</v>
      </c>
      <c r="AU179">
        <v>0.0001</v>
      </c>
      <c r="AV179" t="s">
        <v>52</v>
      </c>
    </row>
    <row r="180" spans="1:48" ht="12.75">
      <c r="A180">
        <v>14</v>
      </c>
      <c r="B180" t="s">
        <v>52</v>
      </c>
      <c r="C180" s="5">
        <v>0.6666666666666665</v>
      </c>
      <c r="D180" s="20">
        <v>0.04479036107772072</v>
      </c>
      <c r="E180" s="30">
        <v>114.0479864272794</v>
      </c>
      <c r="F180" s="5">
        <v>35.670609399128125</v>
      </c>
      <c r="G180" s="5">
        <v>5.583333333333338</v>
      </c>
      <c r="H180" s="20">
        <v>0.052608915176202496</v>
      </c>
      <c r="I180" s="6">
        <v>174.96540861904265</v>
      </c>
      <c r="J180" s="5">
        <v>26.17352835184054</v>
      </c>
      <c r="K180" s="5">
        <v>5.875000000000007</v>
      </c>
      <c r="L180" s="20">
        <v>0.05419326828914236</v>
      </c>
      <c r="M180" s="6">
        <v>177.46368355616423</v>
      </c>
      <c r="N180" s="5">
        <v>26.171772026993715</v>
      </c>
      <c r="O180" s="5">
        <v>11.958333333333298</v>
      </c>
      <c r="P180" s="20">
        <v>1</v>
      </c>
      <c r="Q180" s="6">
        <v>743.8291410895698</v>
      </c>
      <c r="R180" s="5">
        <v>13.341503162825648</v>
      </c>
      <c r="S180" s="2">
        <v>0.02413194444444439</v>
      </c>
      <c r="T180" s="20">
        <v>1</v>
      </c>
      <c r="U180" s="6">
        <v>1</v>
      </c>
      <c r="V180" s="5">
        <v>56.99592961510459</v>
      </c>
      <c r="W180" s="5">
        <v>15.916319444444353</v>
      </c>
      <c r="X180" s="20">
        <v>1</v>
      </c>
      <c r="Y180" s="6">
        <v>1.646853086178459</v>
      </c>
      <c r="Z180" s="20">
        <v>14.455183236946743</v>
      </c>
      <c r="AA180" s="5">
        <v>16.457986111111033</v>
      </c>
      <c r="AB180" s="20">
        <v>1</v>
      </c>
      <c r="AC180" s="6">
        <v>2</v>
      </c>
      <c r="AD180" s="5">
        <v>16.855780030211008</v>
      </c>
      <c r="AE180" s="5">
        <v>34.124652777778024</v>
      </c>
      <c r="AF180" s="20">
        <v>1</v>
      </c>
      <c r="AG180" s="6">
        <v>2</v>
      </c>
      <c r="AH180" s="5">
        <v>7.986618881424701</v>
      </c>
      <c r="AI180" s="5">
        <v>34.16631944444469</v>
      </c>
      <c r="AJ180" s="20">
        <v>1</v>
      </c>
      <c r="AK180" s="6">
        <v>2</v>
      </c>
      <c r="AL180" s="5">
        <v>28.25393890319801</v>
      </c>
      <c r="AM180" s="5">
        <v>43.08298611111084</v>
      </c>
      <c r="AN180" s="20">
        <v>1</v>
      </c>
      <c r="AO180" s="6">
        <v>2.2416155394204815</v>
      </c>
      <c r="AP180" s="5">
        <v>7.861906129478187</v>
      </c>
      <c r="AQ180" s="127">
        <v>99.81743061295583</v>
      </c>
      <c r="AR180" s="42">
        <v>12</v>
      </c>
      <c r="AS180" s="43">
        <v>0.0001</v>
      </c>
      <c r="AT180">
        <v>11</v>
      </c>
      <c r="AU180">
        <v>0.0001</v>
      </c>
      <c r="AV180" t="s">
        <v>52</v>
      </c>
    </row>
    <row r="181" spans="1:48" ht="12.75">
      <c r="A181">
        <v>15</v>
      </c>
      <c r="B181" t="s">
        <v>52</v>
      </c>
      <c r="C181" s="5">
        <v>0.6666666666666665</v>
      </c>
      <c r="D181" s="20">
        <v>0.043744700451256266</v>
      </c>
      <c r="E181" s="30">
        <v>113.2322719008092</v>
      </c>
      <c r="F181" s="5">
        <v>35.670609399128125</v>
      </c>
      <c r="G181" s="5">
        <v>5.5437499999998225</v>
      </c>
      <c r="H181" s="20">
        <v>0.05145207449647581</v>
      </c>
      <c r="I181" s="6">
        <v>173.25385094647106</v>
      </c>
      <c r="J181" s="5">
        <v>26.175221111546826</v>
      </c>
      <c r="K181" s="5">
        <v>5.875000000000007</v>
      </c>
      <c r="L181" s="20">
        <v>0.05266914932110866</v>
      </c>
      <c r="M181" s="6">
        <v>174.9641316584362</v>
      </c>
      <c r="N181" s="5">
        <v>26.173547119459723</v>
      </c>
      <c r="O181" s="5">
        <v>11.958333333333298</v>
      </c>
      <c r="P181" s="20">
        <v>1</v>
      </c>
      <c r="Q181" s="6">
        <v>739.0247883234221</v>
      </c>
      <c r="R181" s="5">
        <v>13.341503162825648</v>
      </c>
      <c r="S181" s="2">
        <v>0.02413194444444439</v>
      </c>
      <c r="T181" s="20">
        <v>1</v>
      </c>
      <c r="U181" s="6">
        <v>1</v>
      </c>
      <c r="V181" s="5">
        <v>56.995978459993026</v>
      </c>
      <c r="W181" s="5">
        <v>15.916319444444353</v>
      </c>
      <c r="X181" s="20">
        <v>1</v>
      </c>
      <c r="Y181" s="6">
        <v>1.3255799746862573</v>
      </c>
      <c r="Z181" s="20">
        <v>14.454552680249487</v>
      </c>
      <c r="AA181" s="5">
        <v>16.457986111111033</v>
      </c>
      <c r="AB181" s="20">
        <v>1</v>
      </c>
      <c r="AC181" s="6">
        <v>2</v>
      </c>
      <c r="AD181" s="5">
        <v>16.855780030211008</v>
      </c>
      <c r="AE181" s="5">
        <v>34.12465277777802</v>
      </c>
      <c r="AF181" s="20">
        <v>1</v>
      </c>
      <c r="AG181" s="6">
        <v>2</v>
      </c>
      <c r="AH181" s="5">
        <v>7.986618899416534</v>
      </c>
      <c r="AI181" s="5">
        <v>34.16631944444469</v>
      </c>
      <c r="AJ181" s="20">
        <v>1</v>
      </c>
      <c r="AK181" s="6">
        <v>2</v>
      </c>
      <c r="AL181" s="5">
        <v>28.256255164092273</v>
      </c>
      <c r="AM181" s="5">
        <v>43.08298611111084</v>
      </c>
      <c r="AN181" s="20">
        <v>1</v>
      </c>
      <c r="AO181" s="6">
        <v>2.0567596251809</v>
      </c>
      <c r="AP181" s="5">
        <v>7.861906129478187</v>
      </c>
      <c r="AQ181" s="127">
        <v>99.81743061295583</v>
      </c>
      <c r="AR181" s="42">
        <v>12</v>
      </c>
      <c r="AS181" s="43">
        <v>0.0001</v>
      </c>
      <c r="AT181">
        <v>11</v>
      </c>
      <c r="AU181">
        <v>0.0001</v>
      </c>
      <c r="AV181" t="s">
        <v>52</v>
      </c>
    </row>
    <row r="182" spans="1:48" ht="12.75">
      <c r="A182">
        <v>16</v>
      </c>
      <c r="B182" t="s">
        <v>52</v>
      </c>
      <c r="C182" s="5">
        <v>0.45833333333333337</v>
      </c>
      <c r="D182" s="20">
        <v>0.038845811387884344</v>
      </c>
      <c r="E182" s="30">
        <v>107.88798692451402</v>
      </c>
      <c r="F182" s="5">
        <v>35.67459607659329</v>
      </c>
      <c r="G182" s="5">
        <v>5.541666666666671</v>
      </c>
      <c r="H182" s="20">
        <v>0.04421653412164905</v>
      </c>
      <c r="I182" s="6">
        <v>155.75848985175526</v>
      </c>
      <c r="J182" s="5">
        <v>26.21316316312694</v>
      </c>
      <c r="K182" s="5">
        <v>5.83333333333334</v>
      </c>
      <c r="L182" s="20">
        <v>0.045350360542137</v>
      </c>
      <c r="M182" s="6">
        <v>158.15605761734517</v>
      </c>
      <c r="N182" s="5">
        <v>26.20968254628147</v>
      </c>
      <c r="O182" s="5">
        <v>11.875</v>
      </c>
      <c r="P182" s="20">
        <v>1</v>
      </c>
      <c r="Q182" s="6">
        <v>536.6356889014056</v>
      </c>
      <c r="R182" s="5">
        <v>13.336799429492439</v>
      </c>
      <c r="S182" s="2">
        <v>0.02413194444444439</v>
      </c>
      <c r="T182" s="20">
        <v>1</v>
      </c>
      <c r="U182" s="6">
        <v>1</v>
      </c>
      <c r="V182" s="5">
        <v>56.99580830162305</v>
      </c>
      <c r="W182" s="5">
        <v>15.874652777777687</v>
      </c>
      <c r="X182" s="20">
        <v>1</v>
      </c>
      <c r="Y182" s="6">
        <v>1</v>
      </c>
      <c r="Z182" s="20">
        <v>14.454950886754403</v>
      </c>
      <c r="AA182" s="5">
        <v>16.416319444444362</v>
      </c>
      <c r="AB182" s="20">
        <v>1</v>
      </c>
      <c r="AC182" s="6">
        <v>1</v>
      </c>
      <c r="AD182" s="5">
        <v>16.86066864231904</v>
      </c>
      <c r="AE182" s="5">
        <v>34.08298611111136</v>
      </c>
      <c r="AF182" s="20">
        <v>1</v>
      </c>
      <c r="AG182" s="6">
        <v>1</v>
      </c>
      <c r="AH182" s="5">
        <v>7.986497129744075</v>
      </c>
      <c r="AI182" s="5">
        <v>34.124652777778024</v>
      </c>
      <c r="AJ182" s="20">
        <v>1</v>
      </c>
      <c r="AK182" s="6">
        <v>1</v>
      </c>
      <c r="AL182" s="5">
        <v>28.252808336953898</v>
      </c>
      <c r="AM182" s="5">
        <v>42.99965277777752</v>
      </c>
      <c r="AN182" s="20">
        <v>1</v>
      </c>
      <c r="AO182" s="6">
        <v>1.0003058985821076</v>
      </c>
      <c r="AP182" s="5">
        <v>7.861906167499133</v>
      </c>
      <c r="AQ182" s="127">
        <v>99.81743061295583</v>
      </c>
      <c r="AR182" s="42">
        <v>12</v>
      </c>
      <c r="AS182" s="43">
        <v>0.0001</v>
      </c>
      <c r="AT182">
        <v>11</v>
      </c>
      <c r="AU182">
        <v>0.0001</v>
      </c>
      <c r="AV182" t="s">
        <v>52</v>
      </c>
    </row>
    <row r="183" spans="1:48" ht="12.75">
      <c r="A183">
        <v>17</v>
      </c>
      <c r="B183" t="s">
        <v>52</v>
      </c>
      <c r="C183" s="5">
        <v>0.6666666666666665</v>
      </c>
      <c r="D183" s="20">
        <v>0.04479036107772072</v>
      </c>
      <c r="E183" s="30">
        <v>114.0479864272794</v>
      </c>
      <c r="F183" s="5">
        <v>35.670609399128125</v>
      </c>
      <c r="G183" s="5">
        <v>5.583333333333338</v>
      </c>
      <c r="H183" s="20">
        <v>0.05547639201631098</v>
      </c>
      <c r="I183" s="6">
        <v>1219.2893610511653</v>
      </c>
      <c r="J183" s="5">
        <v>26.192140920324814</v>
      </c>
      <c r="K183" s="5">
        <v>5.875000000000007</v>
      </c>
      <c r="L183" s="20">
        <v>0.0579913640009707</v>
      </c>
      <c r="M183" s="6">
        <v>2360.8108185718534</v>
      </c>
      <c r="N183" s="5">
        <v>26.17352835184054</v>
      </c>
      <c r="O183" s="5">
        <v>11.958333333333298</v>
      </c>
      <c r="P183" s="20">
        <v>1</v>
      </c>
      <c r="Q183" s="6">
        <v>15811388.300841894</v>
      </c>
      <c r="R183" s="5">
        <v>16.458160736446963</v>
      </c>
      <c r="S183" s="2">
        <v>0.02361111111111106</v>
      </c>
      <c r="T183" s="20">
        <v>1</v>
      </c>
      <c r="U183" s="6">
        <v>15324.05</v>
      </c>
      <c r="V183" s="5">
        <v>56.997184230800485</v>
      </c>
      <c r="W183" s="5">
        <v>15.915277777777687</v>
      </c>
      <c r="X183" s="20">
        <v>1</v>
      </c>
      <c r="Y183" s="6">
        <v>155613.62455409666</v>
      </c>
      <c r="Z183" s="20">
        <v>18.30942382192862</v>
      </c>
      <c r="AA183" s="5">
        <v>16.456944444444364</v>
      </c>
      <c r="AB183" s="20">
        <v>1</v>
      </c>
      <c r="AC183" s="6">
        <v>748004.9454597835</v>
      </c>
      <c r="AD183" s="5">
        <v>18.17789645644967</v>
      </c>
      <c r="AE183" s="5">
        <v>34.12361111111135</v>
      </c>
      <c r="AF183" s="20">
        <v>1</v>
      </c>
      <c r="AG183" s="6">
        <v>1808465.9029911137</v>
      </c>
      <c r="AH183" s="5">
        <v>8.086397213462206</v>
      </c>
      <c r="AI183" s="5">
        <v>34.165277777778016</v>
      </c>
      <c r="AJ183" s="20">
        <v>1</v>
      </c>
      <c r="AK183" s="6">
        <v>2323502.118846086</v>
      </c>
      <c r="AL183" s="5">
        <v>28.260502994551832</v>
      </c>
      <c r="AM183" s="5">
        <v>43.081944444444176</v>
      </c>
      <c r="AN183" s="20">
        <v>1</v>
      </c>
      <c r="AO183" s="6">
        <v>3886053.447834999</v>
      </c>
      <c r="AP183" s="5">
        <v>7.861906129478187</v>
      </c>
      <c r="AQ183" s="127">
        <v>99.81743061295583</v>
      </c>
      <c r="AR183" s="42">
        <v>12</v>
      </c>
      <c r="AS183" s="43">
        <v>0.03890451449942789</v>
      </c>
      <c r="AT183">
        <v>11</v>
      </c>
      <c r="AU183">
        <v>0.00010007295587943776</v>
      </c>
      <c r="AV183" t="s">
        <v>52</v>
      </c>
    </row>
    <row r="184" spans="1:48" ht="12.75">
      <c r="A184">
        <v>18</v>
      </c>
      <c r="B184" t="s">
        <v>52</v>
      </c>
      <c r="C184" s="5">
        <v>0.6666666666666665</v>
      </c>
      <c r="D184" s="20">
        <v>0.043744700451256266</v>
      </c>
      <c r="E184" s="30">
        <v>113.2322719008092</v>
      </c>
      <c r="F184" s="5">
        <v>35.670609399128125</v>
      </c>
      <c r="G184" s="5">
        <v>5.5437499999998225</v>
      </c>
      <c r="H184" s="20">
        <v>0.053694190586923464</v>
      </c>
      <c r="I184" s="6">
        <v>1121.9908240160157</v>
      </c>
      <c r="J184" s="5">
        <v>26.19558788227007</v>
      </c>
      <c r="K184" s="5">
        <v>5.875000000000007</v>
      </c>
      <c r="L184" s="20">
        <v>0.05572372831526577</v>
      </c>
      <c r="M184" s="6">
        <v>2176.189444473846</v>
      </c>
      <c r="N184" s="5">
        <v>26.175221111546826</v>
      </c>
      <c r="O184" s="5">
        <v>11.958333333333298</v>
      </c>
      <c r="P184" s="20">
        <v>1</v>
      </c>
      <c r="Q184" s="6">
        <v>15811388.300841894</v>
      </c>
      <c r="R184" s="5">
        <v>16.457126352577887</v>
      </c>
      <c r="S184" s="2">
        <v>0.02361111111111106</v>
      </c>
      <c r="T184" s="20">
        <v>1</v>
      </c>
      <c r="U184" s="6">
        <v>15294.05</v>
      </c>
      <c r="V184" s="5">
        <v>56.997159743141864</v>
      </c>
      <c r="W184" s="5">
        <v>15.915277777777687</v>
      </c>
      <c r="X184" s="20">
        <v>1</v>
      </c>
      <c r="Y184" s="6">
        <v>134949.00362881203</v>
      </c>
      <c r="Z184" s="20">
        <v>18.30951129106163</v>
      </c>
      <c r="AA184" s="5">
        <v>16.456944444444364</v>
      </c>
      <c r="AB184" s="20">
        <v>1</v>
      </c>
      <c r="AC184" s="6">
        <v>672814.7939722439</v>
      </c>
      <c r="AD184" s="5">
        <v>18.178039850837195</v>
      </c>
      <c r="AE184" s="5">
        <v>34.12361111111135</v>
      </c>
      <c r="AF184" s="20">
        <v>1</v>
      </c>
      <c r="AG184" s="6">
        <v>1710404.7810925045</v>
      </c>
      <c r="AH184" s="5">
        <v>8.086397213462206</v>
      </c>
      <c r="AI184" s="5">
        <v>34.165277777778016</v>
      </c>
      <c r="AJ184" s="20">
        <v>1</v>
      </c>
      <c r="AK184" s="6">
        <v>2136783.629920767</v>
      </c>
      <c r="AL184" s="5">
        <v>28.260097556752363</v>
      </c>
      <c r="AM184" s="5">
        <v>43.081944444444176</v>
      </c>
      <c r="AN184" s="20">
        <v>1</v>
      </c>
      <c r="AO184" s="6">
        <v>3618607.546694095</v>
      </c>
      <c r="AP184" s="5">
        <v>7.861906129478187</v>
      </c>
      <c r="AQ184" s="127">
        <v>99.81743061295583</v>
      </c>
      <c r="AR184" s="42">
        <v>12</v>
      </c>
      <c r="AS184" s="43">
        <v>0.03890451449942789</v>
      </c>
      <c r="AT184">
        <v>11</v>
      </c>
      <c r="AU184">
        <v>0.00010007295587943776</v>
      </c>
      <c r="AV184" t="s">
        <v>52</v>
      </c>
    </row>
    <row r="185" spans="1:48" ht="12.75">
      <c r="A185">
        <v>19</v>
      </c>
      <c r="B185" t="s">
        <v>52</v>
      </c>
      <c r="C185" s="5">
        <v>0.45833333333333337</v>
      </c>
      <c r="D185" s="20">
        <v>0.038845811387884344</v>
      </c>
      <c r="E185" s="30">
        <v>107.88798692451402</v>
      </c>
      <c r="F185" s="5">
        <v>35.67459607659329</v>
      </c>
      <c r="G185" s="5">
        <v>5.541666666666671</v>
      </c>
      <c r="H185" s="20">
        <v>0.046334129847201685</v>
      </c>
      <c r="I185" s="6">
        <v>731.440104036791</v>
      </c>
      <c r="J185" s="5">
        <v>26.22056174006668</v>
      </c>
      <c r="K185" s="5">
        <v>5.83333333333334</v>
      </c>
      <c r="L185" s="20">
        <v>0.04781833291712644</v>
      </c>
      <c r="M185" s="6">
        <v>1155.1865493718424</v>
      </c>
      <c r="N185" s="5">
        <v>26.21316316312694</v>
      </c>
      <c r="O185" s="5">
        <v>11.875</v>
      </c>
      <c r="P185" s="20">
        <v>1</v>
      </c>
      <c r="Q185" s="6">
        <v>14190300.408334201</v>
      </c>
      <c r="R185" s="5">
        <v>16.45882696346886</v>
      </c>
      <c r="S185" s="2">
        <v>0.02361111111111106</v>
      </c>
      <c r="T185" s="20">
        <v>1</v>
      </c>
      <c r="U185" s="6">
        <v>14081.899999999747</v>
      </c>
      <c r="V185" s="5">
        <v>56.99731852642095</v>
      </c>
      <c r="W185" s="5">
        <v>15.873611111111021</v>
      </c>
      <c r="X185" s="20">
        <v>1</v>
      </c>
      <c r="Y185" s="6">
        <v>69443.59928330194</v>
      </c>
      <c r="Z185" s="20">
        <v>18.309885087595642</v>
      </c>
      <c r="AA185" s="5">
        <v>16.415277777777696</v>
      </c>
      <c r="AB185" s="20">
        <v>1</v>
      </c>
      <c r="AC185" s="6">
        <v>392015.80457471445</v>
      </c>
      <c r="AD185" s="5">
        <v>18.17927876187113</v>
      </c>
      <c r="AE185" s="5">
        <v>34.08194444444469</v>
      </c>
      <c r="AF185" s="20">
        <v>1</v>
      </c>
      <c r="AG185" s="6">
        <v>1005063.3521384078</v>
      </c>
      <c r="AH185" s="5">
        <v>8.083045808067242</v>
      </c>
      <c r="AI185" s="5">
        <v>34.12361111111135</v>
      </c>
      <c r="AJ185" s="20">
        <v>1</v>
      </c>
      <c r="AK185" s="6">
        <v>1288146.2670111638</v>
      </c>
      <c r="AL185" s="5">
        <v>28.26050888114764</v>
      </c>
      <c r="AM185" s="5">
        <v>42.998611111110854</v>
      </c>
      <c r="AN185" s="20">
        <v>1</v>
      </c>
      <c r="AO185" s="6">
        <v>2264728.3873775154</v>
      </c>
      <c r="AP185" s="5">
        <v>7.861906167499133</v>
      </c>
      <c r="AQ185" s="127">
        <v>99.81743061295583</v>
      </c>
      <c r="AR185" s="42">
        <v>12</v>
      </c>
      <c r="AS185" s="43">
        <v>0.03890451449942789</v>
      </c>
      <c r="AT185">
        <v>11</v>
      </c>
      <c r="AU185">
        <v>0.00010007295587943776</v>
      </c>
      <c r="AV185" t="s">
        <v>52</v>
      </c>
    </row>
    <row r="186" spans="1:48" ht="12.75">
      <c r="A186">
        <v>20</v>
      </c>
      <c r="B186" t="s">
        <v>52</v>
      </c>
      <c r="C186" s="5">
        <v>0.7083333333333331</v>
      </c>
      <c r="D186" s="20">
        <v>0.04488809204468143</v>
      </c>
      <c r="E186" s="30">
        <v>114.14280189940679</v>
      </c>
      <c r="F186" s="5">
        <v>35.670609399128125</v>
      </c>
      <c r="G186" s="5">
        <v>5.583333333333338</v>
      </c>
      <c r="H186" s="20">
        <v>0.057042201759742</v>
      </c>
      <c r="I186" s="6">
        <v>293.9012595292221</v>
      </c>
      <c r="J186" s="5">
        <v>26.564314258195008</v>
      </c>
      <c r="K186" s="5">
        <v>5.875000000000007</v>
      </c>
      <c r="L186" s="20">
        <v>0.058354813306973896</v>
      </c>
      <c r="M186" s="6">
        <v>293.47439709092043</v>
      </c>
      <c r="N186" s="5">
        <v>26.17352835184054</v>
      </c>
      <c r="O186" s="5">
        <v>11.958333333333298</v>
      </c>
      <c r="P186" s="20">
        <v>1</v>
      </c>
      <c r="Q186" s="6">
        <v>4055.8033473090213</v>
      </c>
      <c r="R186" s="5">
        <v>17.67725882313573</v>
      </c>
      <c r="S186" s="2">
        <v>0.025173611111111053</v>
      </c>
      <c r="T186" s="20">
        <v>1</v>
      </c>
      <c r="U186" s="6">
        <v>4</v>
      </c>
      <c r="V186" s="5">
        <v>57.01234614571819</v>
      </c>
      <c r="W186" s="5">
        <v>15.916336805555462</v>
      </c>
      <c r="X186" s="20">
        <v>1</v>
      </c>
      <c r="Y186" s="6">
        <v>2.495872813961488</v>
      </c>
      <c r="Z186" s="20">
        <v>16.952030596189797</v>
      </c>
      <c r="AA186" s="5">
        <v>16.459722222222144</v>
      </c>
      <c r="AB186" s="20">
        <v>1</v>
      </c>
      <c r="AC186" s="6">
        <v>2.709158800710579</v>
      </c>
      <c r="AD186" s="5">
        <v>17.2477080167815</v>
      </c>
      <c r="AE186" s="5">
        <v>34.12552951388913</v>
      </c>
      <c r="AF186" s="20">
        <v>1</v>
      </c>
      <c r="AG186" s="6">
        <v>2.9628537173513285</v>
      </c>
      <c r="AH186" s="5">
        <v>7.890206731295774</v>
      </c>
      <c r="AI186" s="5">
        <v>34.16737847222246</v>
      </c>
      <c r="AJ186" s="20">
        <v>1</v>
      </c>
      <c r="AK186" s="6">
        <v>3</v>
      </c>
      <c r="AL186" s="5">
        <v>28.257446190730906</v>
      </c>
      <c r="AM186" s="5">
        <v>43.08246527777751</v>
      </c>
      <c r="AN186" s="20">
        <v>1</v>
      </c>
      <c r="AO186" s="6">
        <v>3.1549473177543597</v>
      </c>
      <c r="AP186" s="5">
        <v>7.861906129478187</v>
      </c>
      <c r="AQ186" s="127">
        <v>99.81743061295583</v>
      </c>
      <c r="AR186" s="42">
        <v>12</v>
      </c>
      <c r="AS186" s="43">
        <v>0.0001</v>
      </c>
      <c r="AT186">
        <v>11</v>
      </c>
      <c r="AU186">
        <v>0.0001</v>
      </c>
      <c r="AV186" t="s">
        <v>52</v>
      </c>
    </row>
    <row r="187" spans="1:48" ht="12.75">
      <c r="A187">
        <v>21</v>
      </c>
      <c r="B187" t="s">
        <v>52</v>
      </c>
      <c r="C187" s="5">
        <v>0.6666666666666665</v>
      </c>
      <c r="D187" s="20">
        <v>0.04479036107772072</v>
      </c>
      <c r="E187" s="30">
        <v>114.0479864272794</v>
      </c>
      <c r="F187" s="5">
        <v>35.670609399128125</v>
      </c>
      <c r="G187" s="5">
        <v>5.583333333333338</v>
      </c>
      <c r="H187" s="20">
        <v>0.05007121793577395</v>
      </c>
      <c r="I187" s="6">
        <v>119.310270538138</v>
      </c>
      <c r="J187" s="5">
        <v>26.17352835184054</v>
      </c>
      <c r="K187" s="5">
        <v>5.875000000000007</v>
      </c>
      <c r="L187" s="20">
        <v>0.05125551386777842</v>
      </c>
      <c r="M187" s="6">
        <v>119.30233053654635</v>
      </c>
      <c r="N187" s="5">
        <v>26.171772026993715</v>
      </c>
      <c r="O187" s="5">
        <v>11.958333333333298</v>
      </c>
      <c r="P187" s="20">
        <v>0.11142864267481531</v>
      </c>
      <c r="Q187" s="6">
        <v>136.15130827073506</v>
      </c>
      <c r="R187" s="5">
        <v>9.683897888099013</v>
      </c>
      <c r="S187" s="2">
        <v>0.0324652777777777</v>
      </c>
      <c r="T187" s="20">
        <v>1</v>
      </c>
      <c r="U187" s="6">
        <v>0</v>
      </c>
      <c r="V187" s="5">
        <v>57.705619171079086</v>
      </c>
      <c r="W187" s="5">
        <v>15.92534722222213</v>
      </c>
      <c r="X187" s="20">
        <v>1</v>
      </c>
      <c r="Y187" s="6">
        <v>0.0001</v>
      </c>
      <c r="Z187" s="20">
        <v>10.01944963107044</v>
      </c>
      <c r="AA187" s="5">
        <v>16.46701388888881</v>
      </c>
      <c r="AB187" s="20">
        <v>1</v>
      </c>
      <c r="AC187" s="6">
        <v>0.0001</v>
      </c>
      <c r="AD187" s="5">
        <v>16.26410125915778</v>
      </c>
      <c r="AE187" s="5">
        <v>34.1336805555558</v>
      </c>
      <c r="AF187" s="20">
        <v>1</v>
      </c>
      <c r="AG187" s="6">
        <v>0.0001</v>
      </c>
      <c r="AH187" s="5">
        <v>7.811812789912548</v>
      </c>
      <c r="AI187" s="5">
        <v>34.17534722222246</v>
      </c>
      <c r="AJ187" s="20">
        <v>1</v>
      </c>
      <c r="AK187" s="6">
        <v>0.0001</v>
      </c>
      <c r="AL187" s="5">
        <v>28.24440114203195</v>
      </c>
      <c r="AM187" s="5">
        <v>43.09201388888862</v>
      </c>
      <c r="AN187" s="20">
        <v>1</v>
      </c>
      <c r="AO187" s="6">
        <v>0.0001</v>
      </c>
      <c r="AP187" s="5">
        <v>7.861906129478187</v>
      </c>
      <c r="AQ187" s="127">
        <v>99.81743061295583</v>
      </c>
      <c r="AR187" s="42">
        <v>12</v>
      </c>
      <c r="AS187" s="43">
        <v>0.0001</v>
      </c>
      <c r="AT187">
        <v>11</v>
      </c>
      <c r="AU187">
        <v>0.0001</v>
      </c>
      <c r="AV187" t="s">
        <v>52</v>
      </c>
    </row>
    <row r="188" spans="1:48" ht="12.75">
      <c r="A188">
        <v>22</v>
      </c>
      <c r="B188" t="s">
        <v>52</v>
      </c>
      <c r="C188" s="5">
        <v>0.6666666666666665</v>
      </c>
      <c r="D188" s="20">
        <v>0.043744700451256266</v>
      </c>
      <c r="E188" s="30">
        <v>113.2322719008092</v>
      </c>
      <c r="F188" s="5">
        <v>35.670609399128125</v>
      </c>
      <c r="G188" s="5">
        <v>5.5437499999998225</v>
      </c>
      <c r="H188" s="20">
        <v>0.04918129593110228</v>
      </c>
      <c r="I188" s="6">
        <v>118.25280310978447</v>
      </c>
      <c r="J188" s="5">
        <v>26.175221111546826</v>
      </c>
      <c r="K188" s="5">
        <v>5.875000000000007</v>
      </c>
      <c r="L188" s="20">
        <v>0.05035597443727969</v>
      </c>
      <c r="M188" s="6">
        <v>117.97913725007801</v>
      </c>
      <c r="N188" s="5">
        <v>26.173547119459723</v>
      </c>
      <c r="O188" s="5">
        <v>11.958333333333298</v>
      </c>
      <c r="P188" s="20">
        <v>0.11007661410154607</v>
      </c>
      <c r="Q188" s="6">
        <v>134.17166795699777</v>
      </c>
      <c r="R188" s="5">
        <v>9.687321773740768</v>
      </c>
      <c r="S188" s="2">
        <v>0.0324652777777777</v>
      </c>
      <c r="T188" s="20">
        <v>1</v>
      </c>
      <c r="U188" s="6">
        <v>0</v>
      </c>
      <c r="V188" s="5">
        <v>57.705620179421686</v>
      </c>
      <c r="W188" s="5">
        <v>15.92534722222213</v>
      </c>
      <c r="X188" s="20">
        <v>1</v>
      </c>
      <c r="Y188" s="6">
        <v>0.0001</v>
      </c>
      <c r="Z188" s="20">
        <v>10.018157724985652</v>
      </c>
      <c r="AA188" s="5">
        <v>16.46701388888881</v>
      </c>
      <c r="AB188" s="20">
        <v>1</v>
      </c>
      <c r="AC188" s="6">
        <v>0.0001</v>
      </c>
      <c r="AD188" s="5">
        <v>16.263138505111492</v>
      </c>
      <c r="AE188" s="5">
        <v>34.1336805555558</v>
      </c>
      <c r="AF188" s="20">
        <v>1</v>
      </c>
      <c r="AG188" s="6">
        <v>0.0001</v>
      </c>
      <c r="AH188" s="5">
        <v>7.811812789912548</v>
      </c>
      <c r="AI188" s="5">
        <v>34.17534722222246</v>
      </c>
      <c r="AJ188" s="20">
        <v>1</v>
      </c>
      <c r="AK188" s="6">
        <v>0.0001</v>
      </c>
      <c r="AL188" s="5">
        <v>28.24528408155945</v>
      </c>
      <c r="AM188" s="5">
        <v>43.092013888888616</v>
      </c>
      <c r="AN188" s="20">
        <v>1</v>
      </c>
      <c r="AO188" s="6">
        <v>0.0001</v>
      </c>
      <c r="AP188" s="5">
        <v>7.861906129478187</v>
      </c>
      <c r="AQ188" s="127">
        <v>99.81743061295583</v>
      </c>
      <c r="AR188" s="42">
        <v>12</v>
      </c>
      <c r="AS188" s="43">
        <v>0.0001</v>
      </c>
      <c r="AT188">
        <v>11</v>
      </c>
      <c r="AU188">
        <v>0.0001</v>
      </c>
      <c r="AV188" t="s">
        <v>52</v>
      </c>
    </row>
    <row r="189" spans="1:48" ht="12.75">
      <c r="A189">
        <v>23</v>
      </c>
      <c r="B189" t="s">
        <v>52</v>
      </c>
      <c r="C189" s="5">
        <v>0.45833333333333337</v>
      </c>
      <c r="D189" s="20">
        <v>0.038845811387884344</v>
      </c>
      <c r="E189" s="30">
        <v>107.88798692451402</v>
      </c>
      <c r="F189" s="5">
        <v>35.67459607659329</v>
      </c>
      <c r="G189" s="5">
        <v>5.541666666666671</v>
      </c>
      <c r="H189" s="20">
        <v>0.042607499707944585</v>
      </c>
      <c r="I189" s="6">
        <v>112.38592234448375</v>
      </c>
      <c r="J189" s="5">
        <v>26.21316316312694</v>
      </c>
      <c r="K189" s="5">
        <v>5.83333333333334</v>
      </c>
      <c r="L189" s="20">
        <v>0.0434947935765214</v>
      </c>
      <c r="M189" s="6">
        <v>111.98951848342199</v>
      </c>
      <c r="N189" s="5">
        <v>26.20968254628147</v>
      </c>
      <c r="O189" s="5">
        <v>11.875</v>
      </c>
      <c r="P189" s="20">
        <v>0.10361297302053464</v>
      </c>
      <c r="Q189" s="6">
        <v>126.19164819681319</v>
      </c>
      <c r="R189" s="5">
        <v>9.700339473481266</v>
      </c>
      <c r="S189" s="2">
        <v>0.0324652777777777</v>
      </c>
      <c r="T189" s="20">
        <v>1</v>
      </c>
      <c r="U189" s="6">
        <v>0</v>
      </c>
      <c r="V189" s="5">
        <v>57.705614903222816</v>
      </c>
      <c r="W189" s="5">
        <v>15.883680555555465</v>
      </c>
      <c r="X189" s="20">
        <v>1</v>
      </c>
      <c r="Y189" s="6">
        <v>0.0001</v>
      </c>
      <c r="Z189" s="20">
        <v>10.018821821623762</v>
      </c>
      <c r="AA189" s="5">
        <v>16.425347222222143</v>
      </c>
      <c r="AB189" s="20">
        <v>1</v>
      </c>
      <c r="AC189" s="6">
        <v>0.0001</v>
      </c>
      <c r="AD189" s="5">
        <v>16.265302231625686</v>
      </c>
      <c r="AE189" s="5">
        <v>34.092013888889134</v>
      </c>
      <c r="AF189" s="20">
        <v>1</v>
      </c>
      <c r="AG189" s="6">
        <v>0.0001</v>
      </c>
      <c r="AH189" s="5">
        <v>7.813339399661041</v>
      </c>
      <c r="AI189" s="5">
        <v>34.1336805555558</v>
      </c>
      <c r="AJ189" s="20">
        <v>1</v>
      </c>
      <c r="AK189" s="6">
        <v>0.0001</v>
      </c>
      <c r="AL189" s="5">
        <v>28.23800866192711</v>
      </c>
      <c r="AM189" s="5">
        <v>43.008680555555294</v>
      </c>
      <c r="AN189" s="20">
        <v>1</v>
      </c>
      <c r="AO189" s="6">
        <v>0.0001</v>
      </c>
      <c r="AP189" s="5">
        <v>7.861906167499133</v>
      </c>
      <c r="AQ189" s="127">
        <v>99.81743061295583</v>
      </c>
      <c r="AR189" s="42">
        <v>12</v>
      </c>
      <c r="AS189" s="43">
        <v>0.0001</v>
      </c>
      <c r="AT189">
        <v>11</v>
      </c>
      <c r="AU189">
        <v>0.0001</v>
      </c>
      <c r="AV189" t="s">
        <v>52</v>
      </c>
    </row>
    <row r="190" spans="1:48" ht="12.75">
      <c r="A190">
        <v>24</v>
      </c>
      <c r="B190" t="s">
        <v>52</v>
      </c>
      <c r="C190" s="5">
        <v>0.6666666666666665</v>
      </c>
      <c r="D190" s="20">
        <v>0.04479036107772072</v>
      </c>
      <c r="E190" s="30">
        <v>114.0479864272794</v>
      </c>
      <c r="F190" s="5">
        <v>35.670609399128125</v>
      </c>
      <c r="G190" s="5">
        <v>5.583333333333338</v>
      </c>
      <c r="H190" s="20">
        <v>0.052608915176202496</v>
      </c>
      <c r="I190" s="6">
        <v>174.96540861904265</v>
      </c>
      <c r="J190" s="5">
        <v>26.17352835184054</v>
      </c>
      <c r="K190" s="5">
        <v>5.875000000000007</v>
      </c>
      <c r="L190" s="20">
        <v>0.05419326828914236</v>
      </c>
      <c r="M190" s="6">
        <v>177.46368355616423</v>
      </c>
      <c r="N190" s="5">
        <v>26.171772026993715</v>
      </c>
      <c r="O190" s="5">
        <v>11.958333333333298</v>
      </c>
      <c r="P190" s="20">
        <v>1</v>
      </c>
      <c r="Q190" s="6">
        <v>743.8291410895698</v>
      </c>
      <c r="R190" s="5">
        <v>13.341503162825648</v>
      </c>
      <c r="S190" s="2">
        <v>0.031944444444444366</v>
      </c>
      <c r="T190" s="20">
        <v>1</v>
      </c>
      <c r="U190" s="6">
        <v>0</v>
      </c>
      <c r="V190" s="5">
        <v>57.70668495623112</v>
      </c>
      <c r="W190" s="5">
        <v>15.924305555555465</v>
      </c>
      <c r="X190" s="20">
        <v>1</v>
      </c>
      <c r="Y190" s="6">
        <v>0.0001</v>
      </c>
      <c r="Z190" s="20">
        <v>14.425152349006632</v>
      </c>
      <c r="AA190" s="5">
        <v>16.465972222222145</v>
      </c>
      <c r="AB190" s="20">
        <v>1</v>
      </c>
      <c r="AC190" s="6">
        <v>0.0001</v>
      </c>
      <c r="AD190" s="5">
        <v>16.855624012851095</v>
      </c>
      <c r="AE190" s="5">
        <v>34.13263888888913</v>
      </c>
      <c r="AF190" s="20">
        <v>1</v>
      </c>
      <c r="AG190" s="6">
        <v>0.0001</v>
      </c>
      <c r="AH190" s="5">
        <v>7.986618866632263</v>
      </c>
      <c r="AI190" s="5">
        <v>34.1743055555558</v>
      </c>
      <c r="AJ190" s="20">
        <v>1</v>
      </c>
      <c r="AK190" s="6">
        <v>0.0001</v>
      </c>
      <c r="AL190" s="5">
        <v>28.253872862943844</v>
      </c>
      <c r="AM190" s="5">
        <v>43.09097222222196</v>
      </c>
      <c r="AN190" s="20">
        <v>1</v>
      </c>
      <c r="AO190" s="6">
        <v>0.0001</v>
      </c>
      <c r="AP190" s="5">
        <v>7.861906129478187</v>
      </c>
      <c r="AQ190" s="127">
        <v>99.81743061295583</v>
      </c>
      <c r="AR190" s="42">
        <v>12</v>
      </c>
      <c r="AS190" s="43">
        <v>0.0001</v>
      </c>
      <c r="AT190">
        <v>11</v>
      </c>
      <c r="AU190">
        <v>0.0001</v>
      </c>
      <c r="AV190" t="s">
        <v>52</v>
      </c>
    </row>
    <row r="191" spans="1:48" ht="12.75">
      <c r="A191">
        <v>25</v>
      </c>
      <c r="B191" t="s">
        <v>52</v>
      </c>
      <c r="C191" s="5">
        <v>0.6666666666666665</v>
      </c>
      <c r="D191" s="20">
        <v>0.043744700451256266</v>
      </c>
      <c r="E191" s="30">
        <v>113.2322719008092</v>
      </c>
      <c r="F191" s="5">
        <v>35.670609399128125</v>
      </c>
      <c r="G191" s="5">
        <v>5.5437499999998225</v>
      </c>
      <c r="H191" s="20">
        <v>0.05145207449647581</v>
      </c>
      <c r="I191" s="6">
        <v>173.25385094647106</v>
      </c>
      <c r="J191" s="5">
        <v>26.175221111546826</v>
      </c>
      <c r="K191" s="5">
        <v>5.875000000000007</v>
      </c>
      <c r="L191" s="20">
        <v>0.05266914932110866</v>
      </c>
      <c r="M191" s="6">
        <v>174.9641316584362</v>
      </c>
      <c r="N191" s="5">
        <v>26.173547119459723</v>
      </c>
      <c r="O191" s="5">
        <v>11.958333333333298</v>
      </c>
      <c r="P191" s="20">
        <v>1</v>
      </c>
      <c r="Q191" s="6">
        <v>739.0247883234221</v>
      </c>
      <c r="R191" s="5">
        <v>13.341503162825648</v>
      </c>
      <c r="S191" s="2">
        <v>0.031944444444444366</v>
      </c>
      <c r="T191" s="20">
        <v>1</v>
      </c>
      <c r="U191" s="6">
        <v>0</v>
      </c>
      <c r="V191" s="5">
        <v>57.70668495623112</v>
      </c>
      <c r="W191" s="5">
        <v>15.924305555555465</v>
      </c>
      <c r="X191" s="20">
        <v>1</v>
      </c>
      <c r="Y191" s="6">
        <v>0.0001</v>
      </c>
      <c r="Z191" s="20">
        <v>14.424434626917797</v>
      </c>
      <c r="AA191" s="5">
        <v>16.465972222222145</v>
      </c>
      <c r="AB191" s="20">
        <v>1</v>
      </c>
      <c r="AC191" s="6">
        <v>0.0001</v>
      </c>
      <c r="AD191" s="5">
        <v>16.85372883289805</v>
      </c>
      <c r="AE191" s="5">
        <v>34.13263888888913</v>
      </c>
      <c r="AF191" s="20">
        <v>1</v>
      </c>
      <c r="AG191" s="6">
        <v>0.0001</v>
      </c>
      <c r="AH191" s="5">
        <v>7.986618884624095</v>
      </c>
      <c r="AI191" s="5">
        <v>34.1743055555558</v>
      </c>
      <c r="AJ191" s="20">
        <v>1</v>
      </c>
      <c r="AK191" s="6">
        <v>0.0001</v>
      </c>
      <c r="AL191" s="5">
        <v>28.256024306008708</v>
      </c>
      <c r="AM191" s="5">
        <v>43.09097222222195</v>
      </c>
      <c r="AN191" s="20">
        <v>1</v>
      </c>
      <c r="AO191" s="6">
        <v>0.0001</v>
      </c>
      <c r="AP191" s="5">
        <v>7.861906129478187</v>
      </c>
      <c r="AQ191" s="127">
        <v>99.81743061295583</v>
      </c>
      <c r="AR191" s="42">
        <v>12</v>
      </c>
      <c r="AS191" s="43">
        <v>0.0001</v>
      </c>
      <c r="AT191">
        <v>11</v>
      </c>
      <c r="AU191">
        <v>0.0001</v>
      </c>
      <c r="AV191" t="s">
        <v>52</v>
      </c>
    </row>
    <row r="192" spans="1:48" ht="12.75">
      <c r="A192">
        <v>26</v>
      </c>
      <c r="B192" t="s">
        <v>52</v>
      </c>
      <c r="C192" s="5">
        <v>0.45833333333333337</v>
      </c>
      <c r="D192" s="20">
        <v>0.038845811387884344</v>
      </c>
      <c r="E192" s="30">
        <v>107.88798692451402</v>
      </c>
      <c r="F192" s="5">
        <v>35.67459607659329</v>
      </c>
      <c r="G192" s="5">
        <v>5.541666666666671</v>
      </c>
      <c r="H192" s="20">
        <v>0.04421653412164905</v>
      </c>
      <c r="I192" s="6">
        <v>155.75848985175526</v>
      </c>
      <c r="J192" s="5">
        <v>26.21316316312694</v>
      </c>
      <c r="K192" s="5">
        <v>5.83333333333334</v>
      </c>
      <c r="L192" s="20">
        <v>0.045350360542137</v>
      </c>
      <c r="M192" s="6">
        <v>158.15605761734517</v>
      </c>
      <c r="N192" s="5">
        <v>26.20968254628147</v>
      </c>
      <c r="O192" s="5">
        <v>11.875</v>
      </c>
      <c r="P192" s="20">
        <v>1</v>
      </c>
      <c r="Q192" s="6">
        <v>536.6356889014056</v>
      </c>
      <c r="R192" s="5">
        <v>13.336799429492439</v>
      </c>
      <c r="S192" s="2">
        <v>0.031944444444444366</v>
      </c>
      <c r="T192" s="20">
        <v>1</v>
      </c>
      <c r="U192" s="6">
        <v>0</v>
      </c>
      <c r="V192" s="5">
        <v>57.70667906548006</v>
      </c>
      <c r="W192" s="5">
        <v>15.882638888888799</v>
      </c>
      <c r="X192" s="20">
        <v>1</v>
      </c>
      <c r="Y192" s="6">
        <v>0.0001</v>
      </c>
      <c r="Z192" s="20">
        <v>14.425146029930184</v>
      </c>
      <c r="AA192" s="5">
        <v>16.424305555555478</v>
      </c>
      <c r="AB192" s="20">
        <v>1</v>
      </c>
      <c r="AC192" s="6">
        <v>0.0001</v>
      </c>
      <c r="AD192" s="5">
        <v>16.85583913131387</v>
      </c>
      <c r="AE192" s="5">
        <v>34.09097222222247</v>
      </c>
      <c r="AF192" s="20">
        <v>1</v>
      </c>
      <c r="AG192" s="6">
        <v>0.0001</v>
      </c>
      <c r="AH192" s="5">
        <v>7.986497129744075</v>
      </c>
      <c r="AI192" s="5">
        <v>34.13263888888913</v>
      </c>
      <c r="AJ192" s="20">
        <v>1</v>
      </c>
      <c r="AK192" s="6">
        <v>0.0001</v>
      </c>
      <c r="AL192" s="5">
        <v>28.252808336953898</v>
      </c>
      <c r="AM192" s="5">
        <v>43.00763888888863</v>
      </c>
      <c r="AN192" s="20">
        <v>1</v>
      </c>
      <c r="AO192" s="6">
        <v>0.0001</v>
      </c>
      <c r="AP192" s="5">
        <v>7.861906167499133</v>
      </c>
      <c r="AQ192" s="127">
        <v>99.81743061295583</v>
      </c>
      <c r="AR192" s="42">
        <v>12</v>
      </c>
      <c r="AS192" s="43">
        <v>0.0001</v>
      </c>
      <c r="AT192">
        <v>11</v>
      </c>
      <c r="AU192">
        <v>0.0001</v>
      </c>
      <c r="AV192" t="s">
        <v>52</v>
      </c>
    </row>
    <row r="193" spans="1:48" ht="12.75">
      <c r="A193">
        <v>27</v>
      </c>
      <c r="B193" t="s">
        <v>52</v>
      </c>
      <c r="C193" s="5">
        <v>0.6666666666666665</v>
      </c>
      <c r="D193" s="20">
        <v>0.04479036107772072</v>
      </c>
      <c r="E193" s="30">
        <v>114.0479864272794</v>
      </c>
      <c r="F193" s="5">
        <v>35.670609399128125</v>
      </c>
      <c r="G193" s="5">
        <v>5.583333333333338</v>
      </c>
      <c r="H193" s="20">
        <v>0.05547639201631098</v>
      </c>
      <c r="I193" s="6">
        <v>1219.2893610511653</v>
      </c>
      <c r="J193" s="5">
        <v>26.192140920324814</v>
      </c>
      <c r="K193" s="5">
        <v>5.875000000000007</v>
      </c>
      <c r="L193" s="20">
        <v>0.0579913640009707</v>
      </c>
      <c r="M193" s="6">
        <v>2360.8108185718534</v>
      </c>
      <c r="N193" s="5">
        <v>26.17352835184054</v>
      </c>
      <c r="O193" s="5">
        <v>11.958333333333298</v>
      </c>
      <c r="P193" s="20">
        <v>1</v>
      </c>
      <c r="Q193" s="6">
        <v>15811388.300841894</v>
      </c>
      <c r="R193" s="5">
        <v>16.458160736446963</v>
      </c>
      <c r="S193" s="2">
        <v>0.031423611111111034</v>
      </c>
      <c r="T193" s="20">
        <v>1</v>
      </c>
      <c r="U193" s="6">
        <v>134</v>
      </c>
      <c r="V193" s="5">
        <v>57.70771570347948</v>
      </c>
      <c r="W193" s="5">
        <v>15.923263888888798</v>
      </c>
      <c r="X193" s="20">
        <v>1</v>
      </c>
      <c r="Y193" s="6">
        <v>47.90541545862937</v>
      </c>
      <c r="Z193" s="20">
        <v>18.282370029369247</v>
      </c>
      <c r="AA193" s="5">
        <v>16.464930555555476</v>
      </c>
      <c r="AB193" s="20">
        <v>1</v>
      </c>
      <c r="AC193" s="6">
        <v>202.86836915943607</v>
      </c>
      <c r="AD193" s="5">
        <v>18.166329760392767</v>
      </c>
      <c r="AE193" s="5">
        <v>34.13159722222246</v>
      </c>
      <c r="AF193" s="20">
        <v>1</v>
      </c>
      <c r="AG193" s="6">
        <v>782.0548489330348</v>
      </c>
      <c r="AH193" s="5">
        <v>8.086397213462206</v>
      </c>
      <c r="AI193" s="5">
        <v>34.173263888889124</v>
      </c>
      <c r="AJ193" s="20">
        <v>1</v>
      </c>
      <c r="AK193" s="6">
        <v>1180.1074214451141</v>
      </c>
      <c r="AL193" s="5">
        <v>28.260502994551832</v>
      </c>
      <c r="AM193" s="5">
        <v>43.089930555555284</v>
      </c>
      <c r="AN193" s="20">
        <v>1</v>
      </c>
      <c r="AO193" s="6">
        <v>2486.568581926582</v>
      </c>
      <c r="AP193" s="5">
        <v>7.861906129478187</v>
      </c>
      <c r="AQ193" s="127">
        <v>99.81743061295583</v>
      </c>
      <c r="AR193" s="42">
        <v>12</v>
      </c>
      <c r="AS193" s="43">
        <v>0.0001</v>
      </c>
      <c r="AT193">
        <v>11</v>
      </c>
      <c r="AU193">
        <v>0.0001</v>
      </c>
      <c r="AV193" t="s">
        <v>52</v>
      </c>
    </row>
    <row r="194" spans="1:48" ht="12.75">
      <c r="A194">
        <v>28</v>
      </c>
      <c r="B194" t="s">
        <v>52</v>
      </c>
      <c r="C194" s="5">
        <v>0.6666666666666665</v>
      </c>
      <c r="D194" s="20">
        <v>0.043744700451256266</v>
      </c>
      <c r="E194" s="30">
        <v>113.2322719008092</v>
      </c>
      <c r="F194" s="5">
        <v>35.670609399128125</v>
      </c>
      <c r="G194" s="5">
        <v>5.5437499999998225</v>
      </c>
      <c r="H194" s="20">
        <v>0.053694190586923464</v>
      </c>
      <c r="I194" s="6">
        <v>1121.9908240160157</v>
      </c>
      <c r="J194" s="5">
        <v>26.19558788227007</v>
      </c>
      <c r="K194" s="5">
        <v>5.875000000000007</v>
      </c>
      <c r="L194" s="20">
        <v>0.05572372831526577</v>
      </c>
      <c r="M194" s="6">
        <v>2176.189444473846</v>
      </c>
      <c r="N194" s="5">
        <v>26.175221111546826</v>
      </c>
      <c r="O194" s="5">
        <v>11.958333333333298</v>
      </c>
      <c r="P194" s="20">
        <v>1</v>
      </c>
      <c r="Q194" s="6">
        <v>15811388.300841894</v>
      </c>
      <c r="R194" s="5">
        <v>16.457126352577887</v>
      </c>
      <c r="S194" s="2">
        <v>0.031423611111111034</v>
      </c>
      <c r="T194" s="20">
        <v>1</v>
      </c>
      <c r="U194" s="6">
        <v>133</v>
      </c>
      <c r="V194" s="5">
        <v>57.70770987542475</v>
      </c>
      <c r="W194" s="5">
        <v>15.923263888888798</v>
      </c>
      <c r="X194" s="20">
        <v>1</v>
      </c>
      <c r="Y194" s="6">
        <v>41.293141913532985</v>
      </c>
      <c r="Z194" s="20">
        <v>18.28250275060369</v>
      </c>
      <c r="AA194" s="5">
        <v>16.464930555555476</v>
      </c>
      <c r="AB194" s="20">
        <v>1</v>
      </c>
      <c r="AC194" s="6">
        <v>158.2438421310438</v>
      </c>
      <c r="AD194" s="5">
        <v>18.166674330436102</v>
      </c>
      <c r="AE194" s="5">
        <v>34.13159722222246</v>
      </c>
      <c r="AF194" s="20">
        <v>1</v>
      </c>
      <c r="AG194" s="6">
        <v>689.9684478292425</v>
      </c>
      <c r="AH194" s="5">
        <v>8.086397213462206</v>
      </c>
      <c r="AI194" s="5">
        <v>34.173263888889124</v>
      </c>
      <c r="AJ194" s="20">
        <v>1</v>
      </c>
      <c r="AK194" s="6">
        <v>889.9607173659161</v>
      </c>
      <c r="AL194" s="5">
        <v>28.260097556752363</v>
      </c>
      <c r="AM194" s="5">
        <v>43.089930555555284</v>
      </c>
      <c r="AN194" s="20">
        <v>1</v>
      </c>
      <c r="AO194" s="6">
        <v>2143.6899329421067</v>
      </c>
      <c r="AP194" s="5">
        <v>7.861906129478187</v>
      </c>
      <c r="AQ194" s="127">
        <v>99.81743061295583</v>
      </c>
      <c r="AR194" s="42">
        <v>12</v>
      </c>
      <c r="AS194" s="43">
        <v>0.0001</v>
      </c>
      <c r="AT194">
        <v>11</v>
      </c>
      <c r="AU194">
        <v>0.0001</v>
      </c>
      <c r="AV194" t="s">
        <v>52</v>
      </c>
    </row>
    <row r="195" spans="1:48" ht="12.75">
      <c r="A195">
        <v>29</v>
      </c>
      <c r="B195" t="s">
        <v>52</v>
      </c>
      <c r="C195" s="5">
        <v>0.45833333333333337</v>
      </c>
      <c r="D195" s="20">
        <v>0.038845811387884344</v>
      </c>
      <c r="E195" s="30">
        <v>107.88798692451402</v>
      </c>
      <c r="F195" s="5">
        <v>35.67459607659329</v>
      </c>
      <c r="G195" s="5">
        <v>5.541666666666671</v>
      </c>
      <c r="H195" s="20">
        <v>0.046334129847201685</v>
      </c>
      <c r="I195" s="6">
        <v>731.440104036791</v>
      </c>
      <c r="J195" s="5">
        <v>26.22056174006668</v>
      </c>
      <c r="K195" s="5">
        <v>5.83333333333334</v>
      </c>
      <c r="L195" s="20">
        <v>0.04781833291712644</v>
      </c>
      <c r="M195" s="6">
        <v>1155.1865493718424</v>
      </c>
      <c r="N195" s="5">
        <v>26.21316316312694</v>
      </c>
      <c r="O195" s="5">
        <v>11.875</v>
      </c>
      <c r="P195" s="20">
        <v>1</v>
      </c>
      <c r="Q195" s="6">
        <v>14190300.408334201</v>
      </c>
      <c r="R195" s="5">
        <v>16.45882696346886</v>
      </c>
      <c r="S195" s="2">
        <v>0.031423611111111034</v>
      </c>
      <c r="T195" s="20">
        <v>1</v>
      </c>
      <c r="U195" s="6">
        <v>123</v>
      </c>
      <c r="V195" s="5">
        <v>57.70771294225291</v>
      </c>
      <c r="W195" s="5">
        <v>15.881597222222132</v>
      </c>
      <c r="X195" s="20">
        <v>1</v>
      </c>
      <c r="Y195" s="6">
        <v>23.431606962794362</v>
      </c>
      <c r="Z195" s="20">
        <v>18.283540905153803</v>
      </c>
      <c r="AA195" s="5">
        <v>16.42326388888881</v>
      </c>
      <c r="AB195" s="20">
        <v>1</v>
      </c>
      <c r="AC195" s="6">
        <v>79.61470765466369</v>
      </c>
      <c r="AD195" s="5">
        <v>18.169660842843758</v>
      </c>
      <c r="AE195" s="5">
        <v>34.089930555555796</v>
      </c>
      <c r="AF195" s="20">
        <v>1</v>
      </c>
      <c r="AG195" s="6">
        <v>308.84891333731946</v>
      </c>
      <c r="AH195" s="5">
        <v>8.082440331435777</v>
      </c>
      <c r="AI195" s="5">
        <v>34.13159722222246</v>
      </c>
      <c r="AJ195" s="20">
        <v>1</v>
      </c>
      <c r="AK195" s="6">
        <v>382.2371709475478</v>
      </c>
      <c r="AL195" s="5">
        <v>28.26050888114764</v>
      </c>
      <c r="AM195" s="5">
        <v>43.00659722222196</v>
      </c>
      <c r="AN195" s="20">
        <v>1</v>
      </c>
      <c r="AO195" s="6">
        <v>757.6546205028417</v>
      </c>
      <c r="AP195" s="5">
        <v>7.861906167499133</v>
      </c>
      <c r="AQ195" s="127">
        <v>99.81743061295583</v>
      </c>
      <c r="AR195" s="42">
        <v>12</v>
      </c>
      <c r="AS195" s="43">
        <v>0.0001</v>
      </c>
      <c r="AT195">
        <v>11</v>
      </c>
      <c r="AU195">
        <v>0.0001</v>
      </c>
      <c r="AV195" t="s">
        <v>52</v>
      </c>
    </row>
    <row r="196" spans="1:48" ht="12.75">
      <c r="A196">
        <v>30</v>
      </c>
      <c r="B196" t="s">
        <v>52</v>
      </c>
      <c r="C196" s="5">
        <v>0.7083333333333331</v>
      </c>
      <c r="D196" s="20">
        <v>0.04488809204468143</v>
      </c>
      <c r="E196" s="30">
        <v>114.14280189940679</v>
      </c>
      <c r="F196" s="5">
        <v>35.670609399128125</v>
      </c>
      <c r="G196" s="5">
        <v>5.583333333333338</v>
      </c>
      <c r="H196" s="20">
        <v>0.057042201759742</v>
      </c>
      <c r="I196" s="6">
        <v>293.9012595292221</v>
      </c>
      <c r="J196" s="5">
        <v>26.564314258195008</v>
      </c>
      <c r="K196" s="5">
        <v>5.875000000000007</v>
      </c>
      <c r="L196" s="20">
        <v>0.058354813306973896</v>
      </c>
      <c r="M196" s="6">
        <v>293.47439709092043</v>
      </c>
      <c r="N196" s="5">
        <v>26.17352835184054</v>
      </c>
      <c r="O196" s="5">
        <v>11.958333333333298</v>
      </c>
      <c r="P196" s="20">
        <v>1</v>
      </c>
      <c r="Q196" s="6">
        <v>4055.8033473090213</v>
      </c>
      <c r="R196" s="5">
        <v>17.67725882313573</v>
      </c>
      <c r="S196" s="2">
        <v>0.03298611111111103</v>
      </c>
      <c r="T196" s="20">
        <v>1</v>
      </c>
      <c r="U196" s="6">
        <v>0</v>
      </c>
      <c r="V196" s="5">
        <v>57.7101997993656</v>
      </c>
      <c r="W196" s="5">
        <v>15.924305555555465</v>
      </c>
      <c r="X196" s="20">
        <v>1</v>
      </c>
      <c r="Y196" s="6">
        <v>0.0001</v>
      </c>
      <c r="Z196" s="20">
        <v>16.952022884771953</v>
      </c>
      <c r="AA196" s="5">
        <v>16.467708333333256</v>
      </c>
      <c r="AB196" s="20">
        <v>1</v>
      </c>
      <c r="AC196" s="6">
        <v>0.0001</v>
      </c>
      <c r="AD196" s="5">
        <v>17.25132091064771</v>
      </c>
      <c r="AE196" s="5">
        <v>34.13334201388913</v>
      </c>
      <c r="AF196" s="20">
        <v>1</v>
      </c>
      <c r="AG196" s="6">
        <v>0.0001</v>
      </c>
      <c r="AH196" s="5">
        <v>7.891237699300201</v>
      </c>
      <c r="AI196" s="5">
        <v>34.1751822916669</v>
      </c>
      <c r="AJ196" s="20">
        <v>1</v>
      </c>
      <c r="AK196" s="6">
        <v>0.0001</v>
      </c>
      <c r="AL196" s="5">
        <v>28.257446190730906</v>
      </c>
      <c r="AM196" s="5">
        <v>43.09027777777751</v>
      </c>
      <c r="AN196" s="20">
        <v>1</v>
      </c>
      <c r="AO196" s="6">
        <v>0.0001</v>
      </c>
      <c r="AP196" s="5">
        <v>7.861906129478187</v>
      </c>
      <c r="AQ196" s="127">
        <v>99.81743061295583</v>
      </c>
      <c r="AR196" s="42">
        <v>12</v>
      </c>
      <c r="AS196" s="43">
        <v>0.0001</v>
      </c>
      <c r="AT196">
        <v>11</v>
      </c>
      <c r="AU196">
        <v>0.0001</v>
      </c>
      <c r="AV196" t="s">
        <v>52</v>
      </c>
    </row>
  </sheetData>
  <mergeCells count="9">
    <mergeCell ref="N4:O4"/>
    <mergeCell ref="H4:H5"/>
    <mergeCell ref="I4:I5"/>
    <mergeCell ref="J4:K4"/>
    <mergeCell ref="L4:M4"/>
    <mergeCell ref="AY20:BA20"/>
    <mergeCell ref="BD20:BF20"/>
    <mergeCell ref="P4:Q4"/>
    <mergeCell ref="R4:S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7:AX363"/>
  <sheetViews>
    <sheetView workbookViewId="0" topLeftCell="A9">
      <selection activeCell="A29" sqref="A29"/>
    </sheetView>
  </sheetViews>
  <sheetFormatPr defaultColWidth="9.140625" defaultRowHeight="12.75"/>
  <cols>
    <col min="1" max="1" width="14.421875" style="0" bestFit="1" customWidth="1"/>
    <col min="4" max="4" width="13.28125" style="0" customWidth="1"/>
    <col min="5" max="6" width="12.00390625" style="0" bestFit="1" customWidth="1"/>
    <col min="7" max="7" width="11.140625" style="0" customWidth="1"/>
    <col min="9" max="9" width="13.00390625" style="0" bestFit="1" customWidth="1"/>
    <col min="25" max="25" width="12.8515625" style="0" customWidth="1"/>
    <col min="50" max="50" width="11.28125" style="0" bestFit="1" customWidth="1"/>
  </cols>
  <sheetData>
    <row r="7" spans="3:15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3:25" ht="12.75">
      <c r="C8" t="s">
        <v>37</v>
      </c>
      <c r="Y8" s="16"/>
    </row>
    <row r="9" spans="3:25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Y9" s="15"/>
    </row>
    <row r="10" spans="3:14" ht="12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12.75">
      <c r="Y11" s="15"/>
    </row>
    <row r="13" spans="3:50" ht="12.75">
      <c r="C13" t="s">
        <v>48</v>
      </c>
      <c r="D13" t="s">
        <v>10</v>
      </c>
      <c r="E13" t="s">
        <v>50</v>
      </c>
      <c r="F13" t="s">
        <v>49</v>
      </c>
      <c r="G13" t="s">
        <v>48</v>
      </c>
      <c r="H13" t="s">
        <v>10</v>
      </c>
      <c r="I13" t="s">
        <v>50</v>
      </c>
      <c r="J13" t="s">
        <v>49</v>
      </c>
      <c r="K13" t="s">
        <v>48</v>
      </c>
      <c r="L13" t="s">
        <v>10</v>
      </c>
      <c r="M13" t="s">
        <v>50</v>
      </c>
      <c r="N13" t="s">
        <v>49</v>
      </c>
      <c r="O13" t="s">
        <v>48</v>
      </c>
      <c r="P13" t="s">
        <v>10</v>
      </c>
      <c r="Q13" t="s">
        <v>50</v>
      </c>
      <c r="R13" t="s">
        <v>49</v>
      </c>
      <c r="S13" t="s">
        <v>48</v>
      </c>
      <c r="T13" t="s">
        <v>10</v>
      </c>
      <c r="U13" t="s">
        <v>50</v>
      </c>
      <c r="V13" t="s">
        <v>49</v>
      </c>
      <c r="W13" t="s">
        <v>48</v>
      </c>
      <c r="X13" t="s">
        <v>10</v>
      </c>
      <c r="Y13" t="s">
        <v>50</v>
      </c>
      <c r="Z13" t="s">
        <v>49</v>
      </c>
      <c r="AA13" t="s">
        <v>48</v>
      </c>
      <c r="AB13" t="s">
        <v>10</v>
      </c>
      <c r="AC13" t="s">
        <v>50</v>
      </c>
      <c r="AD13" t="s">
        <v>49</v>
      </c>
      <c r="AE13" t="s">
        <v>48</v>
      </c>
      <c r="AF13" t="s">
        <v>10</v>
      </c>
      <c r="AG13" t="s">
        <v>50</v>
      </c>
      <c r="AH13" t="s">
        <v>49</v>
      </c>
      <c r="AI13" t="s">
        <v>48</v>
      </c>
      <c r="AJ13" t="s">
        <v>10</v>
      </c>
      <c r="AK13" t="s">
        <v>50</v>
      </c>
      <c r="AL13" t="s">
        <v>49</v>
      </c>
      <c r="AM13" t="s">
        <v>48</v>
      </c>
      <c r="AN13" t="s">
        <v>10</v>
      </c>
      <c r="AO13" t="s">
        <v>50</v>
      </c>
      <c r="AP13" t="s">
        <v>49</v>
      </c>
      <c r="AQ13" t="s">
        <v>135</v>
      </c>
      <c r="AR13" t="s">
        <v>134</v>
      </c>
      <c r="AS13" t="s">
        <v>50</v>
      </c>
      <c r="AT13" t="s">
        <v>140</v>
      </c>
      <c r="AU13" t="s">
        <v>141</v>
      </c>
      <c r="AV13">
        <v>6.6601443136802E-06</v>
      </c>
      <c r="AW13">
        <f>1/AV13</f>
        <v>150146.89665897487</v>
      </c>
      <c r="AX13" s="6">
        <f>AV13*PasteurizationSims!AZ38</f>
        <v>336390.56899535947</v>
      </c>
    </row>
    <row r="14" spans="1:48" ht="12.75">
      <c r="A14" s="70">
        <v>38012.975636574076</v>
      </c>
      <c r="B14" t="s">
        <v>65</v>
      </c>
      <c r="C14">
        <v>0.2708033333333342</v>
      </c>
      <c r="D14">
        <v>0.06915514286044633</v>
      </c>
      <c r="E14">
        <v>9099774.0477306</v>
      </c>
      <c r="F14">
        <v>25.17150159587218</v>
      </c>
      <c r="G14">
        <v>2.395851666666656</v>
      </c>
      <c r="H14">
        <v>0.07341591444396935</v>
      </c>
      <c r="I14">
        <v>103745042.42954834</v>
      </c>
      <c r="J14">
        <v>14.745837339197593</v>
      </c>
      <c r="K14">
        <v>2.654165833333327</v>
      </c>
      <c r="L14">
        <v>0.07383116373205917</v>
      </c>
      <c r="M14">
        <v>108564206.96797352</v>
      </c>
      <c r="N14">
        <v>12.773045091976629</v>
      </c>
      <c r="O14">
        <v>5.03808916666667</v>
      </c>
      <c r="P14">
        <v>0.07880441160645694</v>
      </c>
      <c r="Q14">
        <v>203808851.94649473</v>
      </c>
      <c r="R14" s="14">
        <v>9.776363909534014</v>
      </c>
      <c r="S14" s="14">
        <v>0.015121916666671302</v>
      </c>
      <c r="T14" s="14">
        <v>0.8186184984515352</v>
      </c>
      <c r="U14" s="14">
        <v>19726497.094665043</v>
      </c>
      <c r="V14" s="14">
        <v>53.623876264607155</v>
      </c>
      <c r="W14" s="14">
        <v>7.044688267361537</v>
      </c>
      <c r="X14" s="14">
        <v>0.9639751427404359</v>
      </c>
      <c r="Y14" s="15">
        <v>233091639.65636733</v>
      </c>
      <c r="Z14" s="15">
        <v>10.30393395901986</v>
      </c>
      <c r="AA14" s="14">
        <v>7.638592434028266</v>
      </c>
      <c r="AB14" s="14">
        <v>0.9646153093867198</v>
      </c>
      <c r="AC14">
        <v>264397808.65928254</v>
      </c>
      <c r="AD14">
        <v>11.046569570548513</v>
      </c>
      <c r="AE14">
        <v>17.24472160069385</v>
      </c>
      <c r="AF14">
        <v>0.967306834818645</v>
      </c>
      <c r="AG14">
        <v>308237678.9259406</v>
      </c>
      <c r="AH14">
        <v>4.909846938916886</v>
      </c>
      <c r="AI14">
        <v>17.29196910069418</v>
      </c>
      <c r="AJ14">
        <v>0.9674264269304033</v>
      </c>
      <c r="AK14">
        <v>316383209.71543306</v>
      </c>
      <c r="AL14">
        <v>16.20635954781721</v>
      </c>
      <c r="AM14">
        <v>24.301397434026835</v>
      </c>
      <c r="AN14">
        <v>0.9697154589788138</v>
      </c>
      <c r="AO14">
        <v>338596606.8881119</v>
      </c>
      <c r="AP14">
        <v>4.850714514731535</v>
      </c>
      <c r="AQ14">
        <v>26.05557462616903</v>
      </c>
      <c r="AR14">
        <v>8.623156888890444</v>
      </c>
      <c r="AS14">
        <v>2633010.4036821914</v>
      </c>
      <c r="AT14">
        <v>3.21752</v>
      </c>
      <c r="AU14">
        <v>0.022370694268637997</v>
      </c>
      <c r="AV14" t="s">
        <v>65</v>
      </c>
    </row>
    <row r="15" spans="1:48" ht="12.75">
      <c r="A15" s="70">
        <v>38012.81796296296</v>
      </c>
      <c r="B15" t="s">
        <v>64</v>
      </c>
      <c r="C15">
        <v>0.25</v>
      </c>
      <c r="D15">
        <v>0.02480556705561232</v>
      </c>
      <c r="E15">
        <v>10.44821570888569</v>
      </c>
      <c r="F15">
        <v>24.86491963125021</v>
      </c>
      <c r="G15">
        <v>2.125</v>
      </c>
      <c r="H15">
        <v>0.026915837124362962</v>
      </c>
      <c r="I15">
        <v>12.100986346224715</v>
      </c>
      <c r="J15">
        <v>13.657488946473837</v>
      </c>
      <c r="K15">
        <v>2.4166666666666665</v>
      </c>
      <c r="L15">
        <v>0.027175285173356878</v>
      </c>
      <c r="M15">
        <v>12.18950354968243</v>
      </c>
      <c r="N15">
        <v>11.316006697539887</v>
      </c>
      <c r="O15">
        <v>3.916666666666661</v>
      </c>
      <c r="P15">
        <v>0.028765527955501247</v>
      </c>
      <c r="Q15">
        <v>13.058539862624414</v>
      </c>
      <c r="R15" s="14">
        <v>9.198785685516913</v>
      </c>
      <c r="S15" s="14">
        <v>0.015277777777777755</v>
      </c>
      <c r="T15" s="14">
        <v>0.8103402321987478</v>
      </c>
      <c r="U15" s="14">
        <v>1</v>
      </c>
      <c r="V15" s="14">
        <v>53.62268345447768</v>
      </c>
      <c r="W15" s="14">
        <v>5.739322916666673</v>
      </c>
      <c r="X15" s="14">
        <v>1</v>
      </c>
      <c r="Y15" s="14">
        <v>1</v>
      </c>
      <c r="Z15" s="14">
        <v>10.023339839066749</v>
      </c>
      <c r="AA15" s="14">
        <v>6.325173611111121</v>
      </c>
      <c r="AB15" s="14">
        <v>1</v>
      </c>
      <c r="AC15">
        <v>1</v>
      </c>
      <c r="AD15">
        <v>10.757318209047071</v>
      </c>
      <c r="AE15">
        <v>15.197916666666586</v>
      </c>
      <c r="AF15">
        <v>1</v>
      </c>
      <c r="AG15">
        <v>1</v>
      </c>
      <c r="AH15">
        <v>4</v>
      </c>
      <c r="AI15">
        <v>15.239930555555475</v>
      </c>
      <c r="AJ15">
        <v>1</v>
      </c>
      <c r="AK15">
        <v>1</v>
      </c>
      <c r="AL15">
        <v>16.28524349017435</v>
      </c>
      <c r="AM15">
        <v>22.322569444444532</v>
      </c>
      <c r="AN15">
        <v>1</v>
      </c>
      <c r="AO15">
        <v>1</v>
      </c>
      <c r="AP15">
        <v>4</v>
      </c>
      <c r="AQ15">
        <v>9.825837449342796</v>
      </c>
      <c r="AR15">
        <v>12</v>
      </c>
      <c r="AS15">
        <v>0.0001</v>
      </c>
      <c r="AT15">
        <v>2</v>
      </c>
      <c r="AU15">
        <v>0.0001</v>
      </c>
      <c r="AV15" t="s">
        <v>64</v>
      </c>
    </row>
    <row r="16" spans="2:48" ht="12.75">
      <c r="B16" t="s">
        <v>66</v>
      </c>
      <c r="C16">
        <v>0.14472196020886807</v>
      </c>
      <c r="D16">
        <v>0.20284929887799744</v>
      </c>
      <c r="E16">
        <v>559010164.7859775</v>
      </c>
      <c r="F16">
        <v>6.321314158418081</v>
      </c>
      <c r="G16">
        <v>1.6928376759111212</v>
      </c>
      <c r="H16">
        <v>0.20678528867576212</v>
      </c>
      <c r="I16">
        <v>1958771614.5071316</v>
      </c>
      <c r="J16">
        <v>6.136373123737024</v>
      </c>
      <c r="K16">
        <v>1.7541997114535368</v>
      </c>
      <c r="L16">
        <v>0.20715031791951172</v>
      </c>
      <c r="M16">
        <v>1999314702.8590996</v>
      </c>
      <c r="N16">
        <v>6.373346054634598</v>
      </c>
      <c r="O16">
        <v>4.564585161322675</v>
      </c>
      <c r="P16">
        <v>0.21210283399804464</v>
      </c>
      <c r="Q16">
        <v>2750630847.3117986</v>
      </c>
      <c r="R16" s="15">
        <v>4.353492301514332</v>
      </c>
      <c r="S16" s="14">
        <v>0.0005922571930370782</v>
      </c>
      <c r="T16" s="14">
        <v>0.04953988881863816</v>
      </c>
      <c r="U16" s="14">
        <v>266308892.45776457</v>
      </c>
      <c r="V16" s="14">
        <v>0.03640536192092482</v>
      </c>
      <c r="W16" s="14">
        <v>5.253085097599767</v>
      </c>
      <c r="X16" s="14">
        <v>0.07594873952386551</v>
      </c>
      <c r="Y16">
        <v>2841987686.1721044</v>
      </c>
      <c r="Z16" s="14">
        <v>3.7856631243626073</v>
      </c>
      <c r="AA16" s="14">
        <v>5.265465400265766</v>
      </c>
      <c r="AB16" s="14">
        <v>0.07528565004639996</v>
      </c>
      <c r="AC16">
        <v>3027615672.484264</v>
      </c>
      <c r="AD16">
        <v>3.518347374594473</v>
      </c>
      <c r="AE16">
        <v>8.961569938067</v>
      </c>
      <c r="AF16">
        <v>0.07138130559691455</v>
      </c>
      <c r="AG16">
        <v>3280129725.9780407</v>
      </c>
      <c r="AH16">
        <v>1.396930829731449</v>
      </c>
      <c r="AI16">
        <v>8.961751890855451</v>
      </c>
      <c r="AJ16">
        <v>0.07121193525655142</v>
      </c>
      <c r="AK16">
        <v>3322249973.7741427</v>
      </c>
      <c r="AL16">
        <v>7.2015812855096275</v>
      </c>
      <c r="AM16">
        <v>10.000508728370768</v>
      </c>
      <c r="AN16">
        <v>0.06787981553532504</v>
      </c>
      <c r="AO16">
        <v>3443842703.3231645</v>
      </c>
      <c r="AP16">
        <v>1.3793043766262647</v>
      </c>
      <c r="AQ16">
        <v>53.41640605890591</v>
      </c>
      <c r="AR16">
        <v>3.902340721929154</v>
      </c>
      <c r="AS16">
        <v>99785998.03135286</v>
      </c>
      <c r="AT16">
        <v>4.621146194337828</v>
      </c>
      <c r="AU16">
        <v>0.29257194905230943</v>
      </c>
      <c r="AV16" t="s">
        <v>66</v>
      </c>
    </row>
    <row r="17" spans="2:48" ht="12.75">
      <c r="B17" t="s">
        <v>51</v>
      </c>
      <c r="C17">
        <v>0.041666666666666664</v>
      </c>
      <c r="D17">
        <v>0.024245296071277345</v>
      </c>
      <c r="E17">
        <v>1</v>
      </c>
      <c r="F17">
        <v>15.343441425306274</v>
      </c>
      <c r="G17">
        <v>0.20833333333333331</v>
      </c>
      <c r="H17">
        <v>0.02451998367833999</v>
      </c>
      <c r="I17">
        <v>1</v>
      </c>
      <c r="J17">
        <v>6.90907720424627</v>
      </c>
      <c r="K17">
        <v>0.20833333333333331</v>
      </c>
      <c r="L17">
        <v>0.02452069041505727</v>
      </c>
      <c r="M17">
        <v>1</v>
      </c>
      <c r="N17">
        <v>5.426302080136347</v>
      </c>
      <c r="O17">
        <v>1.4583333333333337</v>
      </c>
      <c r="P17">
        <v>0.025759034218547913</v>
      </c>
      <c r="Q17" s="14">
        <v>1</v>
      </c>
      <c r="R17" s="15">
        <v>4</v>
      </c>
      <c r="S17" s="14">
        <v>0.0140625</v>
      </c>
      <c r="T17" s="14">
        <v>0.7683713749586016</v>
      </c>
      <c r="U17" s="14">
        <v>0.0001</v>
      </c>
      <c r="V17" s="14">
        <v>53.57376023625303</v>
      </c>
      <c r="W17" s="14">
        <v>2.2815972222222225</v>
      </c>
      <c r="X17" s="14">
        <v>0.7877247186673597</v>
      </c>
      <c r="Y17" s="15">
        <v>0.0001</v>
      </c>
      <c r="Z17" s="15">
        <v>4.203485956534721</v>
      </c>
      <c r="AA17" s="15">
        <v>2.8202864583333334</v>
      </c>
      <c r="AB17" s="15">
        <v>0.7886656303957613</v>
      </c>
      <c r="AC17">
        <v>0.0001</v>
      </c>
      <c r="AD17">
        <v>5.734873062739523</v>
      </c>
      <c r="AE17">
        <v>7.325173611111129</v>
      </c>
      <c r="AF17">
        <v>0.7966351393149492</v>
      </c>
      <c r="AG17">
        <v>0.0001</v>
      </c>
      <c r="AH17">
        <v>4</v>
      </c>
      <c r="AI17">
        <v>7.400512152777797</v>
      </c>
      <c r="AJ17">
        <v>0.7969662098885785</v>
      </c>
      <c r="AK17">
        <v>0.0001</v>
      </c>
      <c r="AL17">
        <v>4</v>
      </c>
      <c r="AM17">
        <v>12.281944444444406</v>
      </c>
      <c r="AN17">
        <v>0.8039349395133973</v>
      </c>
      <c r="AO17">
        <v>0.0001</v>
      </c>
      <c r="AP17">
        <v>4</v>
      </c>
      <c r="AQ17">
        <v>1</v>
      </c>
      <c r="AR17">
        <v>0.94</v>
      </c>
      <c r="AS17">
        <v>0.0001</v>
      </c>
      <c r="AT17">
        <v>1</v>
      </c>
      <c r="AU17">
        <v>0.0001</v>
      </c>
      <c r="AV17" t="s">
        <v>51</v>
      </c>
    </row>
    <row r="18" spans="2:48" ht="12.75">
      <c r="B18" t="s">
        <v>52</v>
      </c>
      <c r="C18">
        <v>0.5</v>
      </c>
      <c r="D18">
        <v>0.041098703444662446</v>
      </c>
      <c r="E18">
        <v>111.63834783990308</v>
      </c>
      <c r="F18">
        <v>36.04452474027109</v>
      </c>
      <c r="G18">
        <v>5.541666666666671</v>
      </c>
      <c r="H18">
        <v>0.05169212638945413</v>
      </c>
      <c r="I18">
        <v>265.7540381769179</v>
      </c>
      <c r="J18">
        <v>27.320194483675376</v>
      </c>
      <c r="K18">
        <v>5.83333333333334</v>
      </c>
      <c r="L18">
        <v>0.05260919016918721</v>
      </c>
      <c r="M18">
        <v>284.9230309588964</v>
      </c>
      <c r="N18">
        <v>27.040949370445315</v>
      </c>
      <c r="O18">
        <v>11.916666666666632</v>
      </c>
      <c r="P18">
        <v>1</v>
      </c>
      <c r="Q18" s="14">
        <v>3016.1739094357054</v>
      </c>
      <c r="R18" s="15">
        <v>17.760936926408608</v>
      </c>
      <c r="S18" s="14">
        <v>0.015798611111111086</v>
      </c>
      <c r="T18" s="14">
        <v>1</v>
      </c>
      <c r="U18" s="14">
        <v>285.04999999999563</v>
      </c>
      <c r="V18" s="14">
        <v>53.681543859757845</v>
      </c>
      <c r="W18" s="14">
        <v>15.863211805555464</v>
      </c>
      <c r="X18" s="14">
        <v>1</v>
      </c>
      <c r="Y18" s="15">
        <v>16902.417965932003</v>
      </c>
      <c r="Z18" s="15">
        <v>16.97863205785062</v>
      </c>
      <c r="AA18" s="15">
        <v>16.40815972222214</v>
      </c>
      <c r="AB18" s="15">
        <v>1</v>
      </c>
      <c r="AC18">
        <v>33168.34999999988</v>
      </c>
      <c r="AD18">
        <v>17.252128299670293</v>
      </c>
      <c r="AE18">
        <v>34.074826388889136</v>
      </c>
      <c r="AF18">
        <v>1</v>
      </c>
      <c r="AG18">
        <v>70111.94999999984</v>
      </c>
      <c r="AH18">
        <v>7.891791151315975</v>
      </c>
      <c r="AI18">
        <v>34.1164930555558</v>
      </c>
      <c r="AJ18">
        <v>1</v>
      </c>
      <c r="AK18">
        <v>81848.97348239046</v>
      </c>
      <c r="AL18">
        <v>28.22183943264401</v>
      </c>
      <c r="AM18">
        <v>43.030911458333065</v>
      </c>
      <c r="AN18">
        <v>1</v>
      </c>
      <c r="AO18">
        <v>128360.58002024642</v>
      </c>
      <c r="AP18">
        <v>7.8619009245147025</v>
      </c>
      <c r="AQ18">
        <v>100.81753699127246</v>
      </c>
      <c r="AR18">
        <v>12</v>
      </c>
      <c r="AS18">
        <v>0.3444460864490648</v>
      </c>
      <c r="AT18">
        <v>11</v>
      </c>
      <c r="AU18">
        <v>0.0008847120094954697</v>
      </c>
      <c r="AV18" t="s">
        <v>52</v>
      </c>
    </row>
    <row r="19" spans="17:28" ht="12.75">
      <c r="Q19" s="14"/>
      <c r="R19" s="15"/>
      <c r="S19" s="14"/>
      <c r="T19" s="14"/>
      <c r="U19" s="14"/>
      <c r="V19" s="14"/>
      <c r="W19" s="14"/>
      <c r="X19" s="14"/>
      <c r="Y19" s="15"/>
      <c r="Z19" s="15"/>
      <c r="AA19" s="15"/>
      <c r="AB19" s="15"/>
    </row>
    <row r="20" spans="17:28" ht="12.75">
      <c r="Q20" s="14"/>
      <c r="R20" s="15"/>
      <c r="S20" s="14"/>
      <c r="T20" s="14"/>
      <c r="U20" s="14"/>
      <c r="V20" s="14"/>
      <c r="W20" s="14"/>
      <c r="X20" s="14"/>
      <c r="Y20" s="15"/>
      <c r="Z20" s="15"/>
      <c r="AA20" s="15"/>
      <c r="AB20" s="15"/>
    </row>
    <row r="21" spans="3:50" ht="12.75">
      <c r="C21" t="s">
        <v>48</v>
      </c>
      <c r="D21" t="s">
        <v>10</v>
      </c>
      <c r="E21" t="s">
        <v>50</v>
      </c>
      <c r="F21" t="s">
        <v>49</v>
      </c>
      <c r="G21" t="s">
        <v>48</v>
      </c>
      <c r="H21" t="s">
        <v>10</v>
      </c>
      <c r="I21" t="s">
        <v>50</v>
      </c>
      <c r="J21" t="s">
        <v>49</v>
      </c>
      <c r="K21" t="s">
        <v>48</v>
      </c>
      <c r="L21" t="s">
        <v>10</v>
      </c>
      <c r="M21" t="s">
        <v>50</v>
      </c>
      <c r="N21" t="s">
        <v>49</v>
      </c>
      <c r="O21" t="s">
        <v>48</v>
      </c>
      <c r="P21" t="s">
        <v>10</v>
      </c>
      <c r="Q21" s="14" t="s">
        <v>50</v>
      </c>
      <c r="R21" s="15" t="s">
        <v>49</v>
      </c>
      <c r="S21" s="14" t="s">
        <v>48</v>
      </c>
      <c r="T21" s="14" t="s">
        <v>10</v>
      </c>
      <c r="U21" s="14" t="s">
        <v>50</v>
      </c>
      <c r="V21" s="14" t="s">
        <v>49</v>
      </c>
      <c r="W21" s="14" t="s">
        <v>48</v>
      </c>
      <c r="X21" s="14" t="s">
        <v>10</v>
      </c>
      <c r="Y21" s="15" t="s">
        <v>50</v>
      </c>
      <c r="Z21" s="15" t="s">
        <v>49</v>
      </c>
      <c r="AA21" s="15" t="s">
        <v>48</v>
      </c>
      <c r="AB21" s="15" t="s">
        <v>10</v>
      </c>
      <c r="AC21" t="s">
        <v>50</v>
      </c>
      <c r="AD21" t="s">
        <v>49</v>
      </c>
      <c r="AE21" t="s">
        <v>48</v>
      </c>
      <c r="AF21" t="s">
        <v>10</v>
      </c>
      <c r="AG21" t="s">
        <v>50</v>
      </c>
      <c r="AH21" t="s">
        <v>49</v>
      </c>
      <c r="AI21" t="s">
        <v>48</v>
      </c>
      <c r="AJ21" t="s">
        <v>10</v>
      </c>
      <c r="AK21" t="s">
        <v>50</v>
      </c>
      <c r="AL21" t="s">
        <v>49</v>
      </c>
      <c r="AM21" t="s">
        <v>48</v>
      </c>
      <c r="AN21" t="s">
        <v>10</v>
      </c>
      <c r="AO21" t="s">
        <v>50</v>
      </c>
      <c r="AP21" t="s">
        <v>49</v>
      </c>
      <c r="AQ21" t="s">
        <v>135</v>
      </c>
      <c r="AR21" t="s">
        <v>134</v>
      </c>
      <c r="AS21" t="s">
        <v>50</v>
      </c>
      <c r="AT21" t="s">
        <v>140</v>
      </c>
      <c r="AU21" t="s">
        <v>141</v>
      </c>
      <c r="AV21">
        <v>3.7396601639430356E-06</v>
      </c>
      <c r="AX21" s="6">
        <f>AV21*PasteurizationSims!AZ38</f>
        <v>188882.7555604348</v>
      </c>
    </row>
    <row r="22" spans="1:48" ht="12.75">
      <c r="A22" s="70">
        <v>38013.13346064815</v>
      </c>
      <c r="B22" t="s">
        <v>65</v>
      </c>
      <c r="C22">
        <v>0.2708033333333342</v>
      </c>
      <c r="D22">
        <v>0.06915514286044633</v>
      </c>
      <c r="E22">
        <v>9099774.0477306</v>
      </c>
      <c r="F22">
        <v>25.17150159587218</v>
      </c>
      <c r="G22">
        <v>2.395851666666656</v>
      </c>
      <c r="H22">
        <v>0.07341591444396935</v>
      </c>
      <c r="I22">
        <v>103745042.42954834</v>
      </c>
      <c r="J22">
        <v>14.745837339197593</v>
      </c>
      <c r="K22">
        <v>2.654165833333327</v>
      </c>
      <c r="L22">
        <v>0.07383116373205917</v>
      </c>
      <c r="M22">
        <v>108564206.96797352</v>
      </c>
      <c r="N22">
        <v>12.773045091976629</v>
      </c>
      <c r="O22">
        <v>5.03808916666667</v>
      </c>
      <c r="P22">
        <v>0.07880441160645694</v>
      </c>
      <c r="Q22" s="14">
        <v>203808851.94649473</v>
      </c>
      <c r="R22" s="15">
        <v>9.776363909534014</v>
      </c>
      <c r="S22" s="14">
        <v>0.015121916666671302</v>
      </c>
      <c r="T22" s="14">
        <v>0.8186184984515352</v>
      </c>
      <c r="U22" s="14">
        <v>19726497.094665043</v>
      </c>
      <c r="V22" s="14">
        <v>53.623876264607155</v>
      </c>
      <c r="W22" s="14">
        <v>7.044688267361537</v>
      </c>
      <c r="X22" s="14">
        <v>0.9639751427404359</v>
      </c>
      <c r="Y22" s="15">
        <v>58642822.98998487</v>
      </c>
      <c r="Z22" s="15">
        <v>10.30393395901986</v>
      </c>
      <c r="AA22" s="15">
        <v>7.638592434028266</v>
      </c>
      <c r="AB22" s="15">
        <v>0.9646153093867198</v>
      </c>
      <c r="AC22">
        <v>64291056.694057845</v>
      </c>
      <c r="AD22">
        <v>11.046569570548513</v>
      </c>
      <c r="AE22">
        <v>17.24472160069385</v>
      </c>
      <c r="AF22">
        <v>0.967306834818645</v>
      </c>
      <c r="AG22">
        <v>69667391.09772113</v>
      </c>
      <c r="AH22">
        <v>4.909846938916886</v>
      </c>
      <c r="AI22">
        <v>17.29196910069418</v>
      </c>
      <c r="AJ22">
        <v>0.9674264269304033</v>
      </c>
      <c r="AK22">
        <v>71218418.67159955</v>
      </c>
      <c r="AL22">
        <v>16.20635954781721</v>
      </c>
      <c r="AM22">
        <v>24.301397434026835</v>
      </c>
      <c r="AN22">
        <v>0.9697154589788138</v>
      </c>
      <c r="AO22">
        <v>75195542.4996123</v>
      </c>
      <c r="AP22">
        <v>4.850714514731535</v>
      </c>
      <c r="AQ22">
        <v>26.05557462616903</v>
      </c>
      <c r="AR22">
        <v>8.623156888890444</v>
      </c>
      <c r="AS22">
        <v>265142.7223457099</v>
      </c>
      <c r="AT22">
        <v>3.21752</v>
      </c>
      <c r="AU22">
        <v>0.012561108326787428</v>
      </c>
      <c r="AV22" t="s">
        <v>65</v>
      </c>
    </row>
    <row r="23" spans="1:48" ht="12.75">
      <c r="A23" s="70">
        <v>38012.975636574076</v>
      </c>
      <c r="B23" t="s">
        <v>64</v>
      </c>
      <c r="C23">
        <v>0.25</v>
      </c>
      <c r="D23">
        <v>0.02480556705561232</v>
      </c>
      <c r="E23">
        <v>10.44821570888569</v>
      </c>
      <c r="F23">
        <v>24.86491963125021</v>
      </c>
      <c r="G23">
        <v>2.125</v>
      </c>
      <c r="H23">
        <v>0.026915837124362962</v>
      </c>
      <c r="I23">
        <v>12.100986346224715</v>
      </c>
      <c r="J23">
        <v>13.657488946473837</v>
      </c>
      <c r="K23">
        <v>2.4166666666666665</v>
      </c>
      <c r="L23">
        <v>0.027175285173356878</v>
      </c>
      <c r="M23">
        <v>12.18950354968243</v>
      </c>
      <c r="N23" s="17">
        <v>11.316006697539887</v>
      </c>
      <c r="O23" s="17">
        <v>3.916666666666661</v>
      </c>
      <c r="P23" s="17">
        <v>0.028765527955501247</v>
      </c>
      <c r="Q23">
        <v>13.058539862624414</v>
      </c>
      <c r="R23" s="14">
        <v>9.198785685516913</v>
      </c>
      <c r="S23" s="14">
        <v>0.015277777777777755</v>
      </c>
      <c r="T23" s="14">
        <v>0.8103402321987478</v>
      </c>
      <c r="U23" s="14">
        <v>1</v>
      </c>
      <c r="V23" s="14">
        <v>53.62268345447768</v>
      </c>
      <c r="W23" s="14">
        <v>5.739322916666673</v>
      </c>
      <c r="X23" s="14">
        <v>1</v>
      </c>
      <c r="Y23" s="14">
        <v>1</v>
      </c>
      <c r="Z23" s="14">
        <v>10.023339839066749</v>
      </c>
      <c r="AA23" s="15">
        <v>6.325173611111121</v>
      </c>
      <c r="AB23" s="15">
        <v>1</v>
      </c>
      <c r="AC23" s="15">
        <v>1</v>
      </c>
      <c r="AD23">
        <v>10.757318209047071</v>
      </c>
      <c r="AE23">
        <v>15.197916666666586</v>
      </c>
      <c r="AF23">
        <v>1</v>
      </c>
      <c r="AG23">
        <v>1</v>
      </c>
      <c r="AH23">
        <v>4</v>
      </c>
      <c r="AI23">
        <v>15.239930555555475</v>
      </c>
      <c r="AJ23">
        <v>1</v>
      </c>
      <c r="AK23">
        <v>1</v>
      </c>
      <c r="AL23">
        <v>16.28524349017435</v>
      </c>
      <c r="AM23">
        <v>22.322569444444532</v>
      </c>
      <c r="AN23">
        <v>1</v>
      </c>
      <c r="AO23">
        <v>1</v>
      </c>
      <c r="AP23">
        <v>4</v>
      </c>
      <c r="AQ23">
        <v>9.825837449342796</v>
      </c>
      <c r="AR23">
        <v>12</v>
      </c>
      <c r="AS23">
        <v>0.0001</v>
      </c>
      <c r="AT23">
        <v>2</v>
      </c>
      <c r="AU23">
        <v>0.0001</v>
      </c>
      <c r="AV23" t="s">
        <v>64</v>
      </c>
    </row>
    <row r="24" spans="2:48" ht="12.75">
      <c r="B24" t="s">
        <v>66</v>
      </c>
      <c r="C24">
        <v>0.14472196020886807</v>
      </c>
      <c r="D24">
        <v>0.20284929887799744</v>
      </c>
      <c r="E24">
        <v>559010164.7859775</v>
      </c>
      <c r="F24">
        <v>6.321314158418081</v>
      </c>
      <c r="G24">
        <v>1.6928376759111212</v>
      </c>
      <c r="H24">
        <v>0.20678528867576212</v>
      </c>
      <c r="I24">
        <v>1958771614.5071316</v>
      </c>
      <c r="J24">
        <v>6.136373123737024</v>
      </c>
      <c r="K24">
        <v>1.7541997114535368</v>
      </c>
      <c r="L24">
        <v>0.20715031791951172</v>
      </c>
      <c r="M24">
        <v>1999314702.8590996</v>
      </c>
      <c r="N24" s="17">
        <v>6.373346054634598</v>
      </c>
      <c r="O24" s="17">
        <v>4.564585161322675</v>
      </c>
      <c r="P24" s="17">
        <v>0.21210283399804464</v>
      </c>
      <c r="Q24">
        <v>2750630847.3117986</v>
      </c>
      <c r="R24" s="14">
        <v>4.353492301514332</v>
      </c>
      <c r="S24" s="14">
        <v>0.0005922571930370782</v>
      </c>
      <c r="T24" s="14">
        <v>0.04953988881863816</v>
      </c>
      <c r="U24" s="14">
        <v>266308892.45776457</v>
      </c>
      <c r="V24" s="14">
        <v>0.03640536192092482</v>
      </c>
      <c r="W24" s="14">
        <v>5.253085097599767</v>
      </c>
      <c r="X24" s="14">
        <v>0.07594873952386551</v>
      </c>
      <c r="Y24" s="14">
        <v>1209775388.091081</v>
      </c>
      <c r="Z24" s="14">
        <v>3.7856631243626073</v>
      </c>
      <c r="AA24" s="14">
        <v>5.265465400265766</v>
      </c>
      <c r="AB24" s="14">
        <v>0.07528565004639996</v>
      </c>
      <c r="AC24">
        <v>1278170940.2536633</v>
      </c>
      <c r="AD24">
        <v>3.518347374594473</v>
      </c>
      <c r="AE24">
        <v>8.961569938067</v>
      </c>
      <c r="AF24">
        <v>0.07138130559691455</v>
      </c>
      <c r="AG24">
        <v>1349307355.4318926</v>
      </c>
      <c r="AH24">
        <v>1.396930829731449</v>
      </c>
      <c r="AI24">
        <v>8.961751890855451</v>
      </c>
      <c r="AJ24">
        <v>0.07121193525655142</v>
      </c>
      <c r="AK24">
        <v>1366707161.7708125</v>
      </c>
      <c r="AL24">
        <v>7.2015812855096275</v>
      </c>
      <c r="AM24">
        <v>10.000508728370768</v>
      </c>
      <c r="AN24">
        <v>0.06787981553532504</v>
      </c>
      <c r="AO24">
        <v>1418496899.856744</v>
      </c>
      <c r="AP24">
        <v>1.3793043766262647</v>
      </c>
      <c r="AQ24">
        <v>53.41640605890591</v>
      </c>
      <c r="AR24">
        <v>3.902340721929154</v>
      </c>
      <c r="AS24">
        <v>21749212.728124924</v>
      </c>
      <c r="AT24">
        <v>4.621146194337828</v>
      </c>
      <c r="AU24">
        <v>0.19648435398326156</v>
      </c>
      <c r="AV24" t="s">
        <v>66</v>
      </c>
    </row>
    <row r="25" spans="2:48" ht="12.75">
      <c r="B25" t="s">
        <v>51</v>
      </c>
      <c r="C25">
        <v>0.041666666666666664</v>
      </c>
      <c r="D25">
        <v>0.024245296071277345</v>
      </c>
      <c r="E25">
        <v>1</v>
      </c>
      <c r="F25">
        <v>15.343441425306274</v>
      </c>
      <c r="G25">
        <v>0.20833333333333331</v>
      </c>
      <c r="H25">
        <v>0.02451998367833999</v>
      </c>
      <c r="I25">
        <v>1</v>
      </c>
      <c r="J25">
        <v>6.90907720424627</v>
      </c>
      <c r="K25">
        <v>0.20833333333333331</v>
      </c>
      <c r="L25">
        <v>0.02452069041505727</v>
      </c>
      <c r="M25">
        <v>1</v>
      </c>
      <c r="N25" s="17">
        <v>5.426302080136347</v>
      </c>
      <c r="O25" s="17">
        <v>1.4583333333333337</v>
      </c>
      <c r="P25" s="17">
        <v>0.025759034218547913</v>
      </c>
      <c r="Q25">
        <v>1</v>
      </c>
      <c r="R25" s="14">
        <v>4</v>
      </c>
      <c r="S25" s="14">
        <v>0.0140625</v>
      </c>
      <c r="T25" s="14">
        <v>0.7683713749586016</v>
      </c>
      <c r="U25" s="14">
        <v>0.0001</v>
      </c>
      <c r="V25" s="14">
        <v>53.57376023625303</v>
      </c>
      <c r="W25" s="14">
        <v>2.2815972222222225</v>
      </c>
      <c r="X25" s="14">
        <v>0.7877247186673597</v>
      </c>
      <c r="Y25" s="14">
        <v>0.0001</v>
      </c>
      <c r="Z25" s="14">
        <v>4.203485956534721</v>
      </c>
      <c r="AA25" s="14">
        <v>2.8202864583333334</v>
      </c>
      <c r="AB25" s="14">
        <v>0.7886656303957613</v>
      </c>
      <c r="AC25">
        <v>0.0001</v>
      </c>
      <c r="AD25">
        <v>5.734873062739523</v>
      </c>
      <c r="AE25">
        <v>7.325173611111129</v>
      </c>
      <c r="AF25">
        <v>0.7966351393149492</v>
      </c>
      <c r="AG25">
        <v>0.0001</v>
      </c>
      <c r="AH25">
        <v>4</v>
      </c>
      <c r="AI25">
        <v>7.400512152777797</v>
      </c>
      <c r="AJ25">
        <v>0.7969662098885785</v>
      </c>
      <c r="AK25">
        <v>0.0001</v>
      </c>
      <c r="AL25">
        <v>4</v>
      </c>
      <c r="AM25">
        <v>12.281944444444406</v>
      </c>
      <c r="AN25">
        <v>0.8039349395133973</v>
      </c>
      <c r="AO25">
        <v>0.0001</v>
      </c>
      <c r="AP25">
        <v>4</v>
      </c>
      <c r="AQ25">
        <v>1</v>
      </c>
      <c r="AR25">
        <v>0.94</v>
      </c>
      <c r="AS25">
        <v>0.0001</v>
      </c>
      <c r="AT25">
        <v>1</v>
      </c>
      <c r="AU25">
        <v>0.0001</v>
      </c>
      <c r="AV25" t="s">
        <v>51</v>
      </c>
    </row>
    <row r="26" spans="2:48" ht="12.75">
      <c r="B26" t="s">
        <v>52</v>
      </c>
      <c r="C26">
        <v>0.5</v>
      </c>
      <c r="D26">
        <v>0.041098703444662446</v>
      </c>
      <c r="E26">
        <v>111.63834783990308</v>
      </c>
      <c r="F26">
        <v>36.04452474027109</v>
      </c>
      <c r="G26">
        <v>5.541666666666671</v>
      </c>
      <c r="H26">
        <v>0.05169212638945413</v>
      </c>
      <c r="I26">
        <v>265.7540381769179</v>
      </c>
      <c r="J26">
        <v>27.320194483675376</v>
      </c>
      <c r="K26">
        <v>5.83333333333334</v>
      </c>
      <c r="L26">
        <v>0.05260919016918721</v>
      </c>
      <c r="M26">
        <v>284.9230309588964</v>
      </c>
      <c r="N26" s="17">
        <v>27.040949370445315</v>
      </c>
      <c r="O26" s="17">
        <v>11.916666666666632</v>
      </c>
      <c r="P26" s="17">
        <v>1</v>
      </c>
      <c r="Q26">
        <v>3016.1739094357054</v>
      </c>
      <c r="R26" s="14">
        <v>17.760936926408608</v>
      </c>
      <c r="S26" s="14">
        <v>0.015798611111111086</v>
      </c>
      <c r="T26" s="14">
        <v>1</v>
      </c>
      <c r="U26" s="14">
        <v>285.04999999999563</v>
      </c>
      <c r="V26" s="14">
        <v>53.681543859757845</v>
      </c>
      <c r="W26" s="14">
        <v>15.863211805555464</v>
      </c>
      <c r="X26" s="14">
        <v>1</v>
      </c>
      <c r="Y26" s="14">
        <v>1280.2999999999738</v>
      </c>
      <c r="Z26" s="14">
        <v>16.97863205785062</v>
      </c>
      <c r="AA26" s="14">
        <v>16.40815972222214</v>
      </c>
      <c r="AB26" s="14">
        <v>1</v>
      </c>
      <c r="AC26">
        <v>1614.416104569741</v>
      </c>
      <c r="AD26">
        <v>17.252128299670293</v>
      </c>
      <c r="AE26">
        <v>34.074826388889136</v>
      </c>
      <c r="AF26">
        <v>1</v>
      </c>
      <c r="AG26">
        <v>2115.065929766305</v>
      </c>
      <c r="AH26">
        <v>7.891791151315975</v>
      </c>
      <c r="AI26">
        <v>34.1164930555558</v>
      </c>
      <c r="AJ26">
        <v>1</v>
      </c>
      <c r="AK26">
        <v>2183.1889011360636</v>
      </c>
      <c r="AL26">
        <v>28.22183943264401</v>
      </c>
      <c r="AM26">
        <v>43.030911458333065</v>
      </c>
      <c r="AN26">
        <v>1</v>
      </c>
      <c r="AO26">
        <v>2527.1272578406024</v>
      </c>
      <c r="AP26">
        <v>7.8619009245147025</v>
      </c>
      <c r="AQ26">
        <v>100.81753699127246</v>
      </c>
      <c r="AR26">
        <v>12</v>
      </c>
      <c r="AS26">
        <v>0.22591410773741877</v>
      </c>
      <c r="AT26">
        <v>11</v>
      </c>
      <c r="AU26">
        <v>0.0005799202288493399</v>
      </c>
      <c r="AV26" t="s">
        <v>52</v>
      </c>
    </row>
    <row r="27" spans="14:28" ht="12.75">
      <c r="N27" s="17"/>
      <c r="O27" s="17"/>
      <c r="P27" s="17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7:28" ht="12.75">
      <c r="G28" t="s">
        <v>492</v>
      </c>
      <c r="N28" s="17"/>
      <c r="O28" s="17"/>
      <c r="P28" s="1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4:28" ht="12.75">
      <c r="D29" t="s">
        <v>494</v>
      </c>
      <c r="E29" t="s">
        <v>495</v>
      </c>
      <c r="N29" s="17"/>
      <c r="O29" s="17"/>
      <c r="P29" s="17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3:28" ht="12.75">
      <c r="C30" t="s">
        <v>491</v>
      </c>
      <c r="D30" s="278">
        <f>AQ14</f>
        <v>26.05557462616903</v>
      </c>
      <c r="E30" s="278">
        <f>AQ22</f>
        <v>26.05557462616903</v>
      </c>
      <c r="F30">
        <f>E30/D30</f>
        <v>1</v>
      </c>
      <c r="N30" s="17"/>
      <c r="O30" s="17"/>
      <c r="P30" s="17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3:28" ht="12.75">
      <c r="C31" t="s">
        <v>13</v>
      </c>
      <c r="D31" s="278">
        <f>E14</f>
        <v>9099774.0477306</v>
      </c>
      <c r="E31" s="278">
        <f>E22</f>
        <v>9099774.0477306</v>
      </c>
      <c r="F31">
        <f aca="true" t="shared" si="0" ref="F31:F41">E31/D31</f>
        <v>1</v>
      </c>
      <c r="N31" s="17"/>
      <c r="O31" s="17"/>
      <c r="P31" s="17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3:28" ht="12.75">
      <c r="C32" t="s">
        <v>58</v>
      </c>
      <c r="D32" s="278">
        <f>I14</f>
        <v>103745042.42954834</v>
      </c>
      <c r="E32" s="278">
        <f>I22</f>
        <v>103745042.42954834</v>
      </c>
      <c r="F32">
        <f t="shared" si="0"/>
        <v>1</v>
      </c>
      <c r="N32" s="17"/>
      <c r="O32" s="17"/>
      <c r="P32" s="1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3:28" ht="12.75">
      <c r="C33" t="s">
        <v>16</v>
      </c>
      <c r="D33" s="278">
        <f>M14</f>
        <v>108564206.96797352</v>
      </c>
      <c r="E33" s="278">
        <f>M22</f>
        <v>108564206.96797352</v>
      </c>
      <c r="F33">
        <f t="shared" si="0"/>
        <v>1</v>
      </c>
      <c r="N33" s="17"/>
      <c r="O33" s="17"/>
      <c r="P33" s="17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3:28" ht="12.75">
      <c r="C34" t="s">
        <v>57</v>
      </c>
      <c r="D34" s="278">
        <f>Q14</f>
        <v>203808851.94649473</v>
      </c>
      <c r="E34" s="278">
        <f>Q22</f>
        <v>203808851.94649473</v>
      </c>
      <c r="F34">
        <f t="shared" si="0"/>
        <v>1</v>
      </c>
      <c r="N34" s="17"/>
      <c r="O34" s="17"/>
      <c r="P34" s="17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3:28" ht="12.75">
      <c r="C35" t="s">
        <v>56</v>
      </c>
      <c r="D35" s="279">
        <f>U14</f>
        <v>19726497.094665043</v>
      </c>
      <c r="E35" s="278">
        <f>U22</f>
        <v>19726497.094665043</v>
      </c>
      <c r="F35">
        <f t="shared" si="0"/>
        <v>1</v>
      </c>
      <c r="N35" s="17"/>
      <c r="O35" s="17"/>
      <c r="P35" s="17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3:28" ht="12.75">
      <c r="C36" t="s">
        <v>55</v>
      </c>
      <c r="D36" s="278">
        <f>Y14</f>
        <v>233091639.65636733</v>
      </c>
      <c r="E36" s="278">
        <f>Y22</f>
        <v>58642822.98998487</v>
      </c>
      <c r="F36">
        <f t="shared" si="0"/>
        <v>0.25158698560119264</v>
      </c>
      <c r="N36" s="17"/>
      <c r="O36" s="17"/>
      <c r="P36" s="1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3:28" ht="12.75">
      <c r="C37" t="s">
        <v>54</v>
      </c>
      <c r="D37" s="278">
        <f>AC14</f>
        <v>264397808.65928254</v>
      </c>
      <c r="E37" s="278">
        <f>AC22</f>
        <v>64291056.694057845</v>
      </c>
      <c r="F37">
        <f t="shared" si="0"/>
        <v>0.24316032352940872</v>
      </c>
      <c r="N37" s="17"/>
      <c r="O37" s="17"/>
      <c r="P37" s="17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3:28" ht="12.75">
      <c r="C38" t="s">
        <v>53</v>
      </c>
      <c r="D38" s="278">
        <f>AG14</f>
        <v>308237678.9259406</v>
      </c>
      <c r="E38" s="278">
        <f>AG22</f>
        <v>69667391.09772113</v>
      </c>
      <c r="F38">
        <f t="shared" si="0"/>
        <v>0.22601841325978816</v>
      </c>
      <c r="N38" s="17"/>
      <c r="O38" s="17"/>
      <c r="P38" s="17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3:28" ht="12.75">
      <c r="C39" t="s">
        <v>59</v>
      </c>
      <c r="D39" s="278">
        <f>AK14</f>
        <v>316383209.71543306</v>
      </c>
      <c r="E39" s="278">
        <f>AK22</f>
        <v>71218418.67159955</v>
      </c>
      <c r="F39">
        <f t="shared" si="0"/>
        <v>0.2251017642044155</v>
      </c>
      <c r="N39" s="17"/>
      <c r="O39" s="17"/>
      <c r="P39" s="17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3:28" ht="12.75">
      <c r="C40" t="s">
        <v>46</v>
      </c>
      <c r="D40" s="278">
        <f>AO14</f>
        <v>338596606.8881119</v>
      </c>
      <c r="E40" s="278">
        <f>AO22</f>
        <v>75195542.4996123</v>
      </c>
      <c r="F40">
        <f t="shared" si="0"/>
        <v>0.22208002375068223</v>
      </c>
      <c r="N40" s="17"/>
      <c r="O40" s="17"/>
      <c r="P40" s="1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3:28" ht="12.75">
      <c r="C41" t="s">
        <v>493</v>
      </c>
      <c r="D41" s="278">
        <f>AS14</f>
        <v>2633010.4036821914</v>
      </c>
      <c r="E41" s="278">
        <f>AS22</f>
        <v>265142.7223457099</v>
      </c>
      <c r="F41">
        <f t="shared" si="0"/>
        <v>0.10069945867852069</v>
      </c>
      <c r="N41" s="17"/>
      <c r="O41" s="17"/>
      <c r="P41" s="17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4:28" ht="12.75">
      <c r="N42" s="17"/>
      <c r="O42" s="17"/>
      <c r="P42" s="17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4:28" ht="12.75">
      <c r="N43" s="17"/>
      <c r="O43" s="17"/>
      <c r="P43" s="17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4:28" ht="12.75">
      <c r="N44" s="17"/>
      <c r="O44" s="17"/>
      <c r="P44" s="1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4:28" ht="12.75">
      <c r="N45" s="17"/>
      <c r="O45" s="17"/>
      <c r="P45" s="17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4:28" ht="12.75">
      <c r="N46" s="17"/>
      <c r="O46" s="17"/>
      <c r="P46" s="17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4:28" ht="12.75">
      <c r="N47" s="17"/>
      <c r="O47" s="17"/>
      <c r="P47" s="17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4:28" ht="12.75">
      <c r="N48" s="17"/>
      <c r="O48" s="17"/>
      <c r="P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4:28" ht="12.75">
      <c r="N49" s="17"/>
      <c r="O49" s="17"/>
      <c r="P49" s="17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4:16" ht="12.75">
      <c r="N50" s="17"/>
      <c r="O50" s="17"/>
      <c r="P50" s="17"/>
    </row>
    <row r="51" spans="14:16" ht="12.75">
      <c r="N51" s="17"/>
      <c r="O51" s="17"/>
      <c r="P51" s="17"/>
    </row>
    <row r="52" spans="14:16" ht="12.75">
      <c r="N52" s="17"/>
      <c r="O52" s="17"/>
      <c r="P52" s="17"/>
    </row>
    <row r="53" spans="14:16" ht="12.75">
      <c r="N53" s="17"/>
      <c r="O53" s="17"/>
      <c r="P53" s="17"/>
    </row>
    <row r="54" spans="14:16" ht="12.75">
      <c r="N54" s="17"/>
      <c r="O54" s="17"/>
      <c r="P54" s="17"/>
    </row>
    <row r="55" spans="14:16" ht="12.75">
      <c r="N55" s="17"/>
      <c r="O55" s="17"/>
      <c r="P55" s="17"/>
    </row>
    <row r="56" spans="14:16" ht="12.75">
      <c r="N56" s="17"/>
      <c r="O56" s="17"/>
      <c r="P56" s="17"/>
    </row>
    <row r="57" spans="14:16" ht="12.75">
      <c r="N57" s="17"/>
      <c r="O57" s="17"/>
      <c r="P57" s="17"/>
    </row>
    <row r="58" spans="14:16" ht="12.75">
      <c r="N58" s="17"/>
      <c r="O58" s="17"/>
      <c r="P58" s="17"/>
    </row>
    <row r="59" spans="14:16" ht="12.75">
      <c r="N59" s="17"/>
      <c r="O59" s="17"/>
      <c r="P59" s="17"/>
    </row>
    <row r="60" spans="14:16" ht="12.75">
      <c r="N60" s="17"/>
      <c r="O60" s="17"/>
      <c r="P60" s="17"/>
    </row>
    <row r="61" spans="14:16" ht="12.75">
      <c r="N61" s="17"/>
      <c r="O61" s="17"/>
      <c r="P61" s="17"/>
    </row>
    <row r="62" spans="14:16" ht="12.75">
      <c r="N62" s="17"/>
      <c r="O62" s="17"/>
      <c r="P62" s="17"/>
    </row>
    <row r="63" spans="14:16" ht="12.75">
      <c r="N63" s="17"/>
      <c r="O63" s="17"/>
      <c r="P63" s="17"/>
    </row>
    <row r="64" spans="14:16" ht="12.75">
      <c r="N64" s="17"/>
      <c r="O64" s="17"/>
      <c r="P64" s="17"/>
    </row>
    <row r="65" spans="14:16" ht="12.75">
      <c r="N65" s="17"/>
      <c r="O65" s="17"/>
      <c r="P65" s="17"/>
    </row>
    <row r="66" spans="14:16" ht="12.75">
      <c r="N66" s="17"/>
      <c r="O66" s="17"/>
      <c r="P66" s="17"/>
    </row>
    <row r="67" spans="14:16" ht="12.75">
      <c r="N67" s="17"/>
      <c r="O67" s="17"/>
      <c r="P67" s="17"/>
    </row>
    <row r="68" spans="14:16" ht="12.75">
      <c r="N68" s="17"/>
      <c r="O68" s="17"/>
      <c r="P68" s="17"/>
    </row>
    <row r="69" spans="14:16" ht="12.75">
      <c r="N69" s="17"/>
      <c r="O69" s="17"/>
      <c r="P69" s="17"/>
    </row>
    <row r="70" spans="14:16" ht="12.75">
      <c r="N70" s="17"/>
      <c r="O70" s="17"/>
      <c r="P70" s="17"/>
    </row>
    <row r="71" spans="14:16" ht="12.75">
      <c r="N71" s="17"/>
      <c r="O71" s="17"/>
      <c r="P71" s="17"/>
    </row>
    <row r="72" spans="14:16" ht="12.75">
      <c r="N72" s="17"/>
      <c r="O72" s="17"/>
      <c r="P72" s="17"/>
    </row>
    <row r="73" spans="14:16" ht="12.75">
      <c r="N73" s="17"/>
      <c r="O73" s="17"/>
      <c r="P73" s="17"/>
    </row>
    <row r="74" spans="14:16" ht="12.75">
      <c r="N74" s="17"/>
      <c r="O74" s="17"/>
      <c r="P74" s="17"/>
    </row>
    <row r="75" spans="14:16" ht="12.75">
      <c r="N75" s="17"/>
      <c r="O75" s="17"/>
      <c r="P75" s="17"/>
    </row>
    <row r="76" spans="14:16" ht="12.75">
      <c r="N76" s="17"/>
      <c r="O76" s="17"/>
      <c r="P76" s="17"/>
    </row>
    <row r="77" spans="14:16" ht="12.75">
      <c r="N77" s="17"/>
      <c r="O77" s="17"/>
      <c r="P77" s="17"/>
    </row>
    <row r="78" spans="14:16" ht="12.75">
      <c r="N78" s="17"/>
      <c r="O78" s="17"/>
      <c r="P78" s="17"/>
    </row>
    <row r="79" spans="14:16" ht="12.75">
      <c r="N79" s="17"/>
      <c r="O79" s="17"/>
      <c r="P79" s="17"/>
    </row>
    <row r="80" spans="14:16" ht="12.75">
      <c r="N80" s="17"/>
      <c r="O80" s="17"/>
      <c r="P80" s="17"/>
    </row>
    <row r="81" spans="14:16" ht="12.75">
      <c r="N81" s="17"/>
      <c r="O81" s="17"/>
      <c r="P81" s="17"/>
    </row>
    <row r="82" spans="14:16" ht="12.75">
      <c r="N82" s="17"/>
      <c r="O82" s="17"/>
      <c r="P82" s="17"/>
    </row>
    <row r="83" spans="14:16" ht="12.75">
      <c r="N83" s="17"/>
      <c r="O83" s="17"/>
      <c r="P83" s="17"/>
    </row>
    <row r="84" spans="14:16" ht="12.75">
      <c r="N84" s="17"/>
      <c r="O84" s="17"/>
      <c r="P84" s="17"/>
    </row>
    <row r="85" spans="14:16" ht="12.75">
      <c r="N85" s="17"/>
      <c r="O85" s="17"/>
      <c r="P85" s="17"/>
    </row>
    <row r="86" spans="14:16" ht="12.75">
      <c r="N86" s="17"/>
      <c r="O86" s="17"/>
      <c r="P86" s="17"/>
    </row>
    <row r="87" spans="14:16" ht="12.75">
      <c r="N87" s="17"/>
      <c r="O87" s="17"/>
      <c r="P87" s="17"/>
    </row>
    <row r="88" spans="14:16" ht="12.75">
      <c r="N88" s="17"/>
      <c r="O88" s="17"/>
      <c r="P88" s="17"/>
    </row>
    <row r="89" spans="14:16" ht="12.75">
      <c r="N89" s="17"/>
      <c r="O89" s="17"/>
      <c r="P89" s="17"/>
    </row>
    <row r="90" spans="14:16" ht="12.75">
      <c r="N90" s="17"/>
      <c r="O90" s="17"/>
      <c r="P90" s="17"/>
    </row>
    <row r="91" spans="14:16" ht="12.75">
      <c r="N91" s="17"/>
      <c r="O91" s="17"/>
      <c r="P91" s="17"/>
    </row>
    <row r="92" spans="14:16" ht="12.75">
      <c r="N92" s="17"/>
      <c r="O92" s="17"/>
      <c r="P92" s="17"/>
    </row>
    <row r="93" spans="14:16" ht="12.75">
      <c r="N93" s="17"/>
      <c r="O93" s="17"/>
      <c r="P93" s="17"/>
    </row>
    <row r="94" spans="14:16" ht="12.75">
      <c r="N94" s="17"/>
      <c r="O94" s="17"/>
      <c r="P94" s="17"/>
    </row>
    <row r="95" spans="14:16" ht="12.75">
      <c r="N95" s="17"/>
      <c r="O95" s="17"/>
      <c r="P95" s="17"/>
    </row>
    <row r="96" spans="14:16" ht="12.75">
      <c r="N96" s="17"/>
      <c r="O96" s="17"/>
      <c r="P96" s="17"/>
    </row>
    <row r="97" spans="14:16" ht="12.75">
      <c r="N97" s="17"/>
      <c r="O97" s="17"/>
      <c r="P97" s="17"/>
    </row>
    <row r="98" spans="14:16" ht="12.75">
      <c r="N98" s="17"/>
      <c r="O98" s="17"/>
      <c r="P98" s="17"/>
    </row>
    <row r="99" spans="14:16" ht="12.75">
      <c r="N99" s="17"/>
      <c r="O99" s="17"/>
      <c r="P99" s="17"/>
    </row>
    <row r="100" spans="14:16" ht="12.75">
      <c r="N100" s="17"/>
      <c r="O100" s="17"/>
      <c r="P100" s="17"/>
    </row>
    <row r="101" spans="14:16" ht="12.75">
      <c r="N101" s="17"/>
      <c r="O101" s="17"/>
      <c r="P101" s="17"/>
    </row>
    <row r="102" spans="14:16" ht="12.75">
      <c r="N102" s="17"/>
      <c r="O102" s="17"/>
      <c r="P102" s="17"/>
    </row>
    <row r="103" spans="14:16" ht="12.75">
      <c r="N103" s="17"/>
      <c r="O103" s="17"/>
      <c r="P103" s="17"/>
    </row>
    <row r="104" spans="14:16" ht="12.75">
      <c r="N104" s="17"/>
      <c r="O104" s="17"/>
      <c r="P104" s="17"/>
    </row>
    <row r="105" spans="14:16" ht="12.75">
      <c r="N105" s="17"/>
      <c r="O105" s="17"/>
      <c r="P105" s="17"/>
    </row>
    <row r="106" spans="14:16" ht="12.75">
      <c r="N106" s="17"/>
      <c r="O106" s="17"/>
      <c r="P106" s="17"/>
    </row>
    <row r="107" spans="14:16" ht="12.75">
      <c r="N107" s="17"/>
      <c r="O107" s="17"/>
      <c r="P107" s="17"/>
    </row>
    <row r="108" spans="14:16" ht="12.75">
      <c r="N108" s="17"/>
      <c r="O108" s="17"/>
      <c r="P108" s="17"/>
    </row>
    <row r="109" spans="14:16" ht="12.75">
      <c r="N109" s="17"/>
      <c r="O109" s="17"/>
      <c r="P109" s="17"/>
    </row>
    <row r="110" spans="14:16" ht="12.75">
      <c r="N110" s="17"/>
      <c r="O110" s="17"/>
      <c r="P110" s="17"/>
    </row>
    <row r="111" spans="14:16" ht="12.75">
      <c r="N111" s="17"/>
      <c r="O111" s="17"/>
      <c r="P111" s="17"/>
    </row>
    <row r="112" spans="14:16" ht="12.75">
      <c r="N112" s="17"/>
      <c r="O112" s="17"/>
      <c r="P112" s="17"/>
    </row>
    <row r="113" spans="14:16" ht="12.75">
      <c r="N113" s="17"/>
      <c r="O113" s="17"/>
      <c r="P113" s="17"/>
    </row>
    <row r="114" spans="14:16" ht="12.75">
      <c r="N114" s="17"/>
      <c r="O114" s="17"/>
      <c r="P114" s="17"/>
    </row>
    <row r="115" spans="14:16" ht="12.75">
      <c r="N115" s="17"/>
      <c r="O115" s="17"/>
      <c r="P115" s="17"/>
    </row>
    <row r="116" spans="14:16" ht="12.75">
      <c r="N116" s="17"/>
      <c r="O116" s="17"/>
      <c r="P116" s="17"/>
    </row>
    <row r="117" spans="14:16" ht="12.75">
      <c r="N117" s="17"/>
      <c r="O117" s="17"/>
      <c r="P117" s="17"/>
    </row>
    <row r="118" spans="14:16" ht="12.75">
      <c r="N118" s="17"/>
      <c r="O118" s="17"/>
      <c r="P118" s="17"/>
    </row>
    <row r="119" spans="14:16" ht="12.75">
      <c r="N119" s="17"/>
      <c r="O119" s="17"/>
      <c r="P119" s="17"/>
    </row>
    <row r="120" spans="7:16" ht="12.75">
      <c r="G120" s="17"/>
      <c r="I120" s="17"/>
      <c r="N120" s="17"/>
      <c r="O120" s="17"/>
      <c r="P120" s="17"/>
    </row>
    <row r="121" spans="7:16" ht="12.75">
      <c r="G121" s="17"/>
      <c r="I121" s="17"/>
      <c r="N121" s="17"/>
      <c r="O121" s="17"/>
      <c r="P121" s="17"/>
    </row>
    <row r="122" spans="7:16" ht="12.75">
      <c r="G122" s="17"/>
      <c r="I122" s="17"/>
      <c r="N122" s="17"/>
      <c r="O122" s="17"/>
      <c r="P122" s="17"/>
    </row>
    <row r="123" spans="7:16" ht="12.75">
      <c r="G123" s="17"/>
      <c r="I123" s="17"/>
      <c r="N123" s="17"/>
      <c r="O123" s="17"/>
      <c r="P123" s="17"/>
    </row>
    <row r="124" spans="7:16" ht="12.75">
      <c r="G124" s="17"/>
      <c r="I124" s="17"/>
      <c r="N124" s="17"/>
      <c r="O124" s="17"/>
      <c r="P124" s="17"/>
    </row>
    <row r="125" spans="7:16" ht="12.75">
      <c r="G125" s="17"/>
      <c r="I125" s="17"/>
      <c r="N125" s="17"/>
      <c r="O125" s="17"/>
      <c r="P125" s="17"/>
    </row>
    <row r="126" spans="7:16" ht="12.75">
      <c r="G126" s="17"/>
      <c r="I126" s="17"/>
      <c r="N126" s="17"/>
      <c r="O126" s="17"/>
      <c r="P126" s="17"/>
    </row>
    <row r="127" spans="7:16" ht="12.75">
      <c r="G127" s="17"/>
      <c r="I127" s="17"/>
      <c r="N127" s="17"/>
      <c r="O127" s="17"/>
      <c r="P127" s="17"/>
    </row>
    <row r="128" spans="7:16" ht="12.75">
      <c r="G128" s="17"/>
      <c r="I128" s="17"/>
      <c r="N128" s="17"/>
      <c r="O128" s="17"/>
      <c r="P128" s="17"/>
    </row>
    <row r="129" spans="7:16" ht="12.75">
      <c r="G129" s="17"/>
      <c r="I129" s="17"/>
      <c r="N129" s="17"/>
      <c r="O129" s="17"/>
      <c r="P129" s="17"/>
    </row>
    <row r="130" spans="7:16" ht="12.75">
      <c r="G130" s="17"/>
      <c r="I130" s="17"/>
      <c r="N130" s="17"/>
      <c r="O130" s="17"/>
      <c r="P130" s="17"/>
    </row>
    <row r="131" spans="7:16" ht="12.75">
      <c r="G131" s="17"/>
      <c r="I131" s="17"/>
      <c r="N131" s="17"/>
      <c r="O131" s="17"/>
      <c r="P131" s="17"/>
    </row>
    <row r="132" spans="7:16" ht="12.75">
      <c r="G132" s="17"/>
      <c r="I132" s="17"/>
      <c r="N132" s="17"/>
      <c r="O132" s="17"/>
      <c r="P132" s="17"/>
    </row>
    <row r="133" spans="7:16" ht="12.75">
      <c r="G133" s="17"/>
      <c r="I133" s="17"/>
      <c r="N133" s="17"/>
      <c r="O133" s="17"/>
      <c r="P133" s="17"/>
    </row>
    <row r="134" spans="7:16" ht="12.75">
      <c r="G134" s="17"/>
      <c r="I134" s="17"/>
      <c r="N134" s="17"/>
      <c r="O134" s="17"/>
      <c r="P134" s="17"/>
    </row>
    <row r="135" spans="7:16" ht="12.75">
      <c r="G135" s="17"/>
      <c r="I135" s="17"/>
      <c r="N135" s="17"/>
      <c r="O135" s="17"/>
      <c r="P135" s="17"/>
    </row>
    <row r="136" spans="7:16" ht="12.75">
      <c r="G136" s="17"/>
      <c r="I136" s="17"/>
      <c r="N136" s="17"/>
      <c r="O136" s="17"/>
      <c r="P136" s="17"/>
    </row>
    <row r="137" spans="7:16" ht="12.75">
      <c r="G137" s="17"/>
      <c r="I137" s="17"/>
      <c r="N137" s="17"/>
      <c r="O137" s="17"/>
      <c r="P137" s="17"/>
    </row>
    <row r="138" spans="7:16" ht="12.75">
      <c r="G138" s="17"/>
      <c r="I138" s="17"/>
      <c r="N138" s="17"/>
      <c r="O138" s="17"/>
      <c r="P138" s="17"/>
    </row>
    <row r="139" spans="7:16" ht="12.75">
      <c r="G139" s="17"/>
      <c r="I139" s="17"/>
      <c r="N139" s="17"/>
      <c r="O139" s="17"/>
      <c r="P139" s="17"/>
    </row>
    <row r="140" spans="7:16" ht="12.75">
      <c r="G140" s="17"/>
      <c r="I140" s="17"/>
      <c r="N140" s="17"/>
      <c r="O140" s="17"/>
      <c r="P140" s="17"/>
    </row>
    <row r="141" spans="7:16" ht="12.75">
      <c r="G141" s="17"/>
      <c r="I141" s="17"/>
      <c r="N141" s="17"/>
      <c r="O141" s="17"/>
      <c r="P141" s="17"/>
    </row>
    <row r="142" spans="7:16" ht="12.75">
      <c r="G142" s="17"/>
      <c r="I142" s="17"/>
      <c r="N142" s="17"/>
      <c r="O142" s="17"/>
      <c r="P142" s="17"/>
    </row>
    <row r="143" spans="7:16" ht="12.75">
      <c r="G143" s="17"/>
      <c r="I143" s="17"/>
      <c r="N143" s="17"/>
      <c r="O143" s="17"/>
      <c r="P143" s="17"/>
    </row>
    <row r="144" spans="7:16" ht="12.75">
      <c r="G144" s="17"/>
      <c r="I144" s="17"/>
      <c r="N144" s="17"/>
      <c r="O144" s="17"/>
      <c r="P144" s="17"/>
    </row>
    <row r="145" spans="7:16" ht="12.75">
      <c r="G145" s="17"/>
      <c r="I145" s="17"/>
      <c r="N145" s="17"/>
      <c r="O145" s="17"/>
      <c r="P145" s="17"/>
    </row>
    <row r="146" spans="7:16" ht="12.75">
      <c r="G146" s="17"/>
      <c r="I146" s="17"/>
      <c r="N146" s="17"/>
      <c r="O146" s="17"/>
      <c r="P146" s="17"/>
    </row>
    <row r="147" spans="7:16" ht="12.75">
      <c r="G147" s="17"/>
      <c r="I147" s="17"/>
      <c r="N147" s="17"/>
      <c r="O147" s="17"/>
      <c r="P147" s="17"/>
    </row>
    <row r="148" spans="7:16" ht="12.75">
      <c r="G148" s="17"/>
      <c r="I148" s="17"/>
      <c r="N148" s="17"/>
      <c r="O148" s="17"/>
      <c r="P148" s="17"/>
    </row>
    <row r="149" spans="7:16" ht="12.75">
      <c r="G149" s="17"/>
      <c r="I149" s="17"/>
      <c r="N149" s="17"/>
      <c r="O149" s="17"/>
      <c r="P149" s="17"/>
    </row>
    <row r="150" spans="7:16" ht="12.75">
      <c r="G150" s="17"/>
      <c r="I150" s="17"/>
      <c r="N150" s="17"/>
      <c r="O150" s="17"/>
      <c r="P150" s="17"/>
    </row>
    <row r="151" spans="7:16" ht="12.75">
      <c r="G151" s="17"/>
      <c r="I151" s="17"/>
      <c r="N151" s="17"/>
      <c r="O151" s="17"/>
      <c r="P151" s="17"/>
    </row>
    <row r="152" spans="7:16" ht="12.75">
      <c r="G152" s="17"/>
      <c r="I152" s="17"/>
      <c r="N152" s="17"/>
      <c r="O152" s="17"/>
      <c r="P152" s="17"/>
    </row>
    <row r="153" spans="7:16" ht="12.75">
      <c r="G153" s="17"/>
      <c r="I153" s="17"/>
      <c r="N153" s="17"/>
      <c r="O153" s="17"/>
      <c r="P153" s="17"/>
    </row>
    <row r="154" spans="7:16" ht="12.75">
      <c r="G154" s="17"/>
      <c r="I154" s="17"/>
      <c r="N154" s="17"/>
      <c r="O154" s="17"/>
      <c r="P154" s="17"/>
    </row>
    <row r="155" spans="7:16" ht="12.75">
      <c r="G155" s="17"/>
      <c r="I155" s="17"/>
      <c r="N155" s="17"/>
      <c r="O155" s="17"/>
      <c r="P155" s="17"/>
    </row>
    <row r="156" spans="7:16" ht="12.75">
      <c r="G156" s="17"/>
      <c r="I156" s="17"/>
      <c r="N156" s="17"/>
      <c r="O156" s="17"/>
      <c r="P156" s="17"/>
    </row>
    <row r="157" spans="7:16" ht="12.75">
      <c r="G157" s="17"/>
      <c r="I157" s="17"/>
      <c r="N157" s="17"/>
      <c r="O157" s="17"/>
      <c r="P157" s="17"/>
    </row>
    <row r="158" spans="7:16" ht="12.75">
      <c r="G158" s="17"/>
      <c r="I158" s="17"/>
      <c r="N158" s="17"/>
      <c r="O158" s="17"/>
      <c r="P158" s="17"/>
    </row>
    <row r="159" spans="7:16" ht="12.75">
      <c r="G159" s="17"/>
      <c r="I159" s="17"/>
      <c r="N159" s="17"/>
      <c r="O159" s="17"/>
      <c r="P159" s="17"/>
    </row>
    <row r="160" spans="7:16" ht="12.75">
      <c r="G160" s="17"/>
      <c r="I160" s="17"/>
      <c r="N160" s="17"/>
      <c r="O160" s="17"/>
      <c r="P160" s="17"/>
    </row>
    <row r="161" spans="7:16" ht="12.75">
      <c r="G161" s="17"/>
      <c r="I161" s="17"/>
      <c r="N161" s="17"/>
      <c r="O161" s="17"/>
      <c r="P161" s="17"/>
    </row>
    <row r="162" spans="7:16" ht="12.75">
      <c r="G162" s="17"/>
      <c r="I162" s="17"/>
      <c r="N162" s="17"/>
      <c r="O162" s="17"/>
      <c r="P162" s="17"/>
    </row>
    <row r="163" spans="7:16" ht="12.75">
      <c r="G163" s="17"/>
      <c r="I163" s="17"/>
      <c r="N163" s="17"/>
      <c r="O163" s="17"/>
      <c r="P163" s="17"/>
    </row>
    <row r="164" spans="7:16" ht="12.75">
      <c r="G164" s="17"/>
      <c r="I164" s="17"/>
      <c r="N164" s="17"/>
      <c r="O164" s="17"/>
      <c r="P164" s="17"/>
    </row>
    <row r="165" spans="7:16" ht="12.75">
      <c r="G165" s="17"/>
      <c r="I165" s="17"/>
      <c r="N165" s="17"/>
      <c r="O165" s="17"/>
      <c r="P165" s="17"/>
    </row>
    <row r="166" spans="7:16" ht="12.75">
      <c r="G166" s="17"/>
      <c r="I166" s="17"/>
      <c r="N166" s="17"/>
      <c r="O166" s="17"/>
      <c r="P166" s="17"/>
    </row>
    <row r="167" spans="7:16" ht="12.75">
      <c r="G167" s="17"/>
      <c r="I167" s="17"/>
      <c r="N167" s="17"/>
      <c r="O167" s="17"/>
      <c r="P167" s="17"/>
    </row>
    <row r="168" spans="7:16" ht="12.75">
      <c r="G168" s="17"/>
      <c r="I168" s="17"/>
      <c r="N168" s="17"/>
      <c r="O168" s="17"/>
      <c r="P168" s="17"/>
    </row>
    <row r="169" spans="7:16" ht="12.75">
      <c r="G169" s="17"/>
      <c r="I169" s="17"/>
      <c r="N169" s="17"/>
      <c r="O169" s="17"/>
      <c r="P169" s="17"/>
    </row>
    <row r="170" spans="7:16" ht="12.75">
      <c r="G170" s="17"/>
      <c r="I170" s="17"/>
      <c r="N170" s="17"/>
      <c r="O170" s="17"/>
      <c r="P170" s="17"/>
    </row>
    <row r="171" spans="7:16" ht="12.75">
      <c r="G171" s="17"/>
      <c r="I171" s="17"/>
      <c r="N171" s="17"/>
      <c r="O171" s="17"/>
      <c r="P171" s="17"/>
    </row>
    <row r="172" spans="7:16" ht="12.75">
      <c r="G172" s="17"/>
      <c r="I172" s="17"/>
      <c r="N172" s="17"/>
      <c r="O172" s="17"/>
      <c r="P172" s="17"/>
    </row>
    <row r="173" spans="7:16" ht="12.75">
      <c r="G173" s="17"/>
      <c r="I173" s="17"/>
      <c r="N173" s="17"/>
      <c r="O173" s="17"/>
      <c r="P173" s="17"/>
    </row>
    <row r="174" spans="7:16" ht="12.75">
      <c r="G174" s="17"/>
      <c r="I174" s="17"/>
      <c r="N174" s="17"/>
      <c r="O174" s="17"/>
      <c r="P174" s="17"/>
    </row>
    <row r="175" spans="7:16" ht="12.75">
      <c r="G175" s="17"/>
      <c r="I175" s="17"/>
      <c r="N175" s="17"/>
      <c r="O175" s="17"/>
      <c r="P175" s="17"/>
    </row>
    <row r="176" spans="7:16" ht="12.75">
      <c r="G176" s="17"/>
      <c r="I176" s="17"/>
      <c r="N176" s="17"/>
      <c r="O176" s="17"/>
      <c r="P176" s="17"/>
    </row>
    <row r="177" spans="7:16" ht="12.75">
      <c r="G177" s="17"/>
      <c r="I177" s="17"/>
      <c r="N177" s="17"/>
      <c r="O177" s="17"/>
      <c r="P177" s="17"/>
    </row>
    <row r="178" spans="7:16" ht="12.75">
      <c r="G178" s="17"/>
      <c r="I178" s="17"/>
      <c r="N178" s="17"/>
      <c r="O178" s="17"/>
      <c r="P178" s="17"/>
    </row>
    <row r="179" spans="7:16" ht="12.75">
      <c r="G179" s="17"/>
      <c r="I179" s="17"/>
      <c r="N179" s="17"/>
      <c r="O179" s="17"/>
      <c r="P179" s="17"/>
    </row>
    <row r="180" spans="7:16" ht="12.75">
      <c r="G180" s="17"/>
      <c r="I180" s="17"/>
      <c r="N180" s="17"/>
      <c r="O180" s="17"/>
      <c r="P180" s="17"/>
    </row>
    <row r="181" spans="7:16" ht="12.75">
      <c r="G181" s="17"/>
      <c r="I181" s="17"/>
      <c r="N181" s="17"/>
      <c r="O181" s="17"/>
      <c r="P181" s="17"/>
    </row>
    <row r="182" spans="7:16" ht="12.75">
      <c r="G182" s="17"/>
      <c r="I182" s="17"/>
      <c r="N182" s="17"/>
      <c r="O182" s="17"/>
      <c r="P182" s="17"/>
    </row>
    <row r="183" spans="7:16" ht="12.75">
      <c r="G183" s="17"/>
      <c r="I183" s="17"/>
      <c r="N183" s="17"/>
      <c r="O183" s="17"/>
      <c r="P183" s="17"/>
    </row>
    <row r="184" spans="7:16" ht="12.75">
      <c r="G184" s="17"/>
      <c r="I184" s="17"/>
      <c r="N184" s="17"/>
      <c r="O184" s="17"/>
      <c r="P184" s="17"/>
    </row>
    <row r="185" spans="7:16" ht="12.75">
      <c r="G185" s="17"/>
      <c r="I185" s="17"/>
      <c r="N185" s="17"/>
      <c r="O185" s="17"/>
      <c r="P185" s="17"/>
    </row>
    <row r="186" spans="7:16" ht="12.75">
      <c r="G186" s="17"/>
      <c r="I186" s="17"/>
      <c r="N186" s="17"/>
      <c r="O186" s="17"/>
      <c r="P186" s="17"/>
    </row>
    <row r="187" spans="7:16" ht="12.75">
      <c r="G187" s="17"/>
      <c r="I187" s="17"/>
      <c r="N187" s="17"/>
      <c r="O187" s="17"/>
      <c r="P187" s="17"/>
    </row>
    <row r="188" spans="7:16" ht="12.75">
      <c r="G188" s="17"/>
      <c r="I188" s="17"/>
      <c r="N188" s="17"/>
      <c r="O188" s="17"/>
      <c r="P188" s="17"/>
    </row>
    <row r="189" spans="7:16" ht="12.75">
      <c r="G189" s="17"/>
      <c r="I189" s="17"/>
      <c r="N189" s="17"/>
      <c r="O189" s="17"/>
      <c r="P189" s="17"/>
    </row>
    <row r="190" spans="7:16" ht="12.75">
      <c r="G190" s="17"/>
      <c r="I190" s="17"/>
      <c r="N190" s="17"/>
      <c r="O190" s="17"/>
      <c r="P190" s="17"/>
    </row>
    <row r="191" spans="7:16" ht="12.75">
      <c r="G191" s="17"/>
      <c r="I191" s="17"/>
      <c r="N191" s="17"/>
      <c r="O191" s="17"/>
      <c r="P191" s="17"/>
    </row>
    <row r="192" spans="7:16" ht="12.75">
      <c r="G192" s="17"/>
      <c r="I192" s="17"/>
      <c r="N192" s="17"/>
      <c r="O192" s="17"/>
      <c r="P192" s="17"/>
    </row>
    <row r="193" spans="7:16" ht="12.75">
      <c r="G193" s="17"/>
      <c r="I193" s="17"/>
      <c r="N193" s="17"/>
      <c r="O193" s="17"/>
      <c r="P193" s="17"/>
    </row>
    <row r="194" spans="14:16" ht="12.75">
      <c r="N194" s="17"/>
      <c r="O194" s="17"/>
      <c r="P194" s="17"/>
    </row>
    <row r="195" spans="14:16" ht="12.75">
      <c r="N195" s="17"/>
      <c r="O195" s="17"/>
      <c r="P195" s="17"/>
    </row>
    <row r="196" spans="14:16" ht="12.75">
      <c r="N196" s="17"/>
      <c r="O196" s="17"/>
      <c r="P196" s="17"/>
    </row>
    <row r="197" spans="14:16" ht="12.75">
      <c r="N197" s="17"/>
      <c r="O197" s="17"/>
      <c r="P197" s="17"/>
    </row>
    <row r="198" spans="14:16" ht="12.75">
      <c r="N198" s="17"/>
      <c r="O198" s="17"/>
      <c r="P198" s="17"/>
    </row>
    <row r="199" spans="14:16" ht="12.75">
      <c r="N199" s="17"/>
      <c r="O199" s="17"/>
      <c r="P199" s="17"/>
    </row>
    <row r="200" spans="14:16" ht="12.75">
      <c r="N200" s="17"/>
      <c r="O200" s="17"/>
      <c r="P200" s="17"/>
    </row>
    <row r="201" spans="14:16" ht="12.75">
      <c r="N201" s="17"/>
      <c r="O201" s="17"/>
      <c r="P201" s="17"/>
    </row>
    <row r="202" spans="14:16" ht="12.75">
      <c r="N202" s="17"/>
      <c r="O202" s="17"/>
      <c r="P202" s="17"/>
    </row>
    <row r="203" spans="14:16" ht="12.75">
      <c r="N203" s="17"/>
      <c r="O203" s="17"/>
      <c r="P203" s="17"/>
    </row>
    <row r="204" spans="14:16" ht="12.75">
      <c r="N204" s="17"/>
      <c r="O204" s="17"/>
      <c r="P204" s="17"/>
    </row>
    <row r="205" spans="14:16" ht="12.75">
      <c r="N205" s="17"/>
      <c r="O205" s="17"/>
      <c r="P205" s="17"/>
    </row>
    <row r="206" spans="14:16" ht="12.75">
      <c r="N206" s="17"/>
      <c r="O206" s="17"/>
      <c r="P206" s="17"/>
    </row>
    <row r="207" spans="14:16" ht="12.75">
      <c r="N207" s="17"/>
      <c r="O207" s="17"/>
      <c r="P207" s="17"/>
    </row>
    <row r="208" spans="14:16" ht="12.75">
      <c r="N208" s="17"/>
      <c r="O208" s="17"/>
      <c r="P208" s="17"/>
    </row>
    <row r="209" spans="14:16" ht="12.75">
      <c r="N209" s="17"/>
      <c r="O209" s="17"/>
      <c r="P209" s="17"/>
    </row>
    <row r="210" spans="14:16" ht="12.75">
      <c r="N210" s="17"/>
      <c r="O210" s="17"/>
      <c r="P210" s="17"/>
    </row>
    <row r="211" spans="14:16" ht="12.75">
      <c r="N211" s="17"/>
      <c r="O211" s="17"/>
      <c r="P211" s="17"/>
    </row>
    <row r="212" spans="14:16" ht="12.75">
      <c r="N212" s="17"/>
      <c r="O212" s="17"/>
      <c r="P212" s="17"/>
    </row>
    <row r="213" spans="14:16" ht="12.75">
      <c r="N213" s="17"/>
      <c r="O213" s="17"/>
      <c r="P213" s="17"/>
    </row>
    <row r="214" spans="14:16" ht="12.75">
      <c r="N214" s="17"/>
      <c r="O214" s="17"/>
      <c r="P214" s="17"/>
    </row>
    <row r="215" spans="14:16" ht="12.75">
      <c r="N215" s="17"/>
      <c r="O215" s="17"/>
      <c r="P215" s="17"/>
    </row>
    <row r="216" spans="14:16" ht="12.75">
      <c r="N216" s="17"/>
      <c r="O216" s="17"/>
      <c r="P216" s="17"/>
    </row>
    <row r="217" spans="14:16" ht="12.75">
      <c r="N217" s="17"/>
      <c r="O217" s="17"/>
      <c r="P217" s="17"/>
    </row>
    <row r="218" spans="14:16" ht="12.75">
      <c r="N218" s="17"/>
      <c r="O218" s="17"/>
      <c r="P218" s="17"/>
    </row>
    <row r="219" spans="14:16" ht="12.75">
      <c r="N219" s="17"/>
      <c r="O219" s="17"/>
      <c r="P219" s="17"/>
    </row>
    <row r="220" spans="14:16" ht="12.75">
      <c r="N220" s="17"/>
      <c r="O220" s="17"/>
      <c r="P220" s="17"/>
    </row>
    <row r="221" spans="14:16" ht="12.75">
      <c r="N221" s="17"/>
      <c r="O221" s="17"/>
      <c r="P221" s="17"/>
    </row>
    <row r="222" spans="14:16" ht="12.75">
      <c r="N222" s="17"/>
      <c r="O222" s="17"/>
      <c r="P222" s="17"/>
    </row>
    <row r="223" spans="14:16" ht="12.75">
      <c r="N223" s="17"/>
      <c r="O223" s="17"/>
      <c r="P223" s="17"/>
    </row>
    <row r="224" spans="14:16" ht="12.75">
      <c r="N224" s="17"/>
      <c r="O224" s="17"/>
      <c r="P224" s="17"/>
    </row>
    <row r="225" spans="14:16" ht="12.75">
      <c r="N225" s="17"/>
      <c r="O225" s="17"/>
      <c r="P225" s="17"/>
    </row>
    <row r="226" spans="14:16" ht="12.75">
      <c r="N226" s="17"/>
      <c r="O226" s="17"/>
      <c r="P226" s="17"/>
    </row>
    <row r="227" spans="14:16" ht="12.75">
      <c r="N227" s="17"/>
      <c r="O227" s="17"/>
      <c r="P227" s="17"/>
    </row>
    <row r="228" spans="14:16" ht="12.75">
      <c r="N228" s="17"/>
      <c r="O228" s="17"/>
      <c r="P228" s="17"/>
    </row>
    <row r="229" spans="14:16" ht="12.75">
      <c r="N229" s="17"/>
      <c r="O229" s="17"/>
      <c r="P229" s="17"/>
    </row>
    <row r="230" spans="14:16" ht="12.75">
      <c r="N230" s="17"/>
      <c r="O230" s="17"/>
      <c r="P230" s="17"/>
    </row>
    <row r="231" spans="14:16" ht="12.75">
      <c r="N231" s="17"/>
      <c r="O231" s="17"/>
      <c r="P231" s="17"/>
    </row>
    <row r="232" spans="14:16" ht="12.75">
      <c r="N232" s="17"/>
      <c r="O232" s="17"/>
      <c r="P232" s="17"/>
    </row>
    <row r="233" spans="14:16" ht="12.75">
      <c r="N233" s="17"/>
      <c r="O233" s="17"/>
      <c r="P233" s="17"/>
    </row>
    <row r="234" spans="14:16" ht="12.75">
      <c r="N234" s="17"/>
      <c r="O234" s="17"/>
      <c r="P234" s="17"/>
    </row>
    <row r="235" spans="14:16" ht="12.75">
      <c r="N235" s="17"/>
      <c r="O235" s="17"/>
      <c r="P235" s="17"/>
    </row>
    <row r="236" spans="14:16" ht="12.75">
      <c r="N236" s="17"/>
      <c r="O236" s="17"/>
      <c r="P236" s="17"/>
    </row>
    <row r="237" spans="14:16" ht="12.75">
      <c r="N237" s="17"/>
      <c r="O237" s="17"/>
      <c r="P237" s="17"/>
    </row>
    <row r="238" spans="14:16" ht="12.75">
      <c r="N238" s="17"/>
      <c r="O238" s="17"/>
      <c r="P238" s="17"/>
    </row>
    <row r="239" spans="14:16" ht="12.75">
      <c r="N239" s="17"/>
      <c r="O239" s="17"/>
      <c r="P239" s="17"/>
    </row>
    <row r="240" spans="14:16" ht="12.75">
      <c r="N240" s="17"/>
      <c r="O240" s="17"/>
      <c r="P240" s="17"/>
    </row>
    <row r="241" spans="14:16" ht="12.75">
      <c r="N241" s="17"/>
      <c r="O241" s="17"/>
      <c r="P241" s="17"/>
    </row>
    <row r="242" spans="14:16" ht="12.75">
      <c r="N242" s="17"/>
      <c r="O242" s="17"/>
      <c r="P242" s="17"/>
    </row>
    <row r="243" spans="14:16" ht="12.75">
      <c r="N243" s="17"/>
      <c r="O243" s="17"/>
      <c r="P243" s="17"/>
    </row>
    <row r="244" spans="14:16" ht="12.75">
      <c r="N244" s="17"/>
      <c r="O244" s="17"/>
      <c r="P244" s="17"/>
    </row>
    <row r="245" spans="14:16" ht="12.75">
      <c r="N245" s="17"/>
      <c r="O245" s="17"/>
      <c r="P245" s="17"/>
    </row>
    <row r="246" spans="14:16" ht="12.75">
      <c r="N246" s="17"/>
      <c r="O246" s="17"/>
      <c r="P246" s="17"/>
    </row>
    <row r="247" spans="14:16" ht="12.75">
      <c r="N247" s="17"/>
      <c r="O247" s="17"/>
      <c r="P247" s="17"/>
    </row>
    <row r="248" spans="14:16" ht="12.75">
      <c r="N248" s="17"/>
      <c r="O248" s="17"/>
      <c r="P248" s="17"/>
    </row>
    <row r="249" spans="14:16" ht="12.75">
      <c r="N249" s="17"/>
      <c r="O249" s="17"/>
      <c r="P249" s="17"/>
    </row>
    <row r="250" spans="14:16" ht="12.75">
      <c r="N250" s="17"/>
      <c r="O250" s="17"/>
      <c r="P250" s="17"/>
    </row>
    <row r="251" spans="14:16" ht="12.75">
      <c r="N251" s="17"/>
      <c r="O251" s="17"/>
      <c r="P251" s="17"/>
    </row>
    <row r="252" spans="14:16" ht="12.75">
      <c r="N252" s="17"/>
      <c r="O252" s="17"/>
      <c r="P252" s="17"/>
    </row>
    <row r="253" spans="14:16" ht="12.75">
      <c r="N253" s="17"/>
      <c r="O253" s="17"/>
      <c r="P253" s="17"/>
    </row>
    <row r="254" spans="14:16" ht="12.75">
      <c r="N254" s="17"/>
      <c r="O254" s="17"/>
      <c r="P254" s="17"/>
    </row>
    <row r="255" spans="14:16" ht="12.75">
      <c r="N255" s="17"/>
      <c r="O255" s="17"/>
      <c r="P255" s="17"/>
    </row>
    <row r="256" spans="14:16" ht="12.75">
      <c r="N256" s="17"/>
      <c r="O256" s="17"/>
      <c r="P256" s="17"/>
    </row>
    <row r="257" spans="14:16" ht="12.75">
      <c r="N257" s="17"/>
      <c r="O257" s="17"/>
      <c r="P257" s="17"/>
    </row>
    <row r="258" spans="14:16" ht="12.75">
      <c r="N258" s="17"/>
      <c r="O258" s="17"/>
      <c r="P258" s="17"/>
    </row>
    <row r="259" spans="14:16" ht="12.75">
      <c r="N259" s="17"/>
      <c r="O259" s="17"/>
      <c r="P259" s="17"/>
    </row>
    <row r="260" spans="14:16" ht="12.75">
      <c r="N260" s="17"/>
      <c r="O260" s="17"/>
      <c r="P260" s="17"/>
    </row>
    <row r="261" spans="14:16" ht="12.75">
      <c r="N261" s="17"/>
      <c r="O261" s="17"/>
      <c r="P261" s="17"/>
    </row>
    <row r="262" spans="14:16" ht="12.75">
      <c r="N262" s="17"/>
      <c r="O262" s="17"/>
      <c r="P262" s="17"/>
    </row>
    <row r="263" spans="14:16" ht="12.75">
      <c r="N263" s="17"/>
      <c r="O263" s="17"/>
      <c r="P263" s="17"/>
    </row>
    <row r="264" spans="14:16" ht="12.75">
      <c r="N264" s="17"/>
      <c r="O264" s="17"/>
      <c r="P264" s="17"/>
    </row>
    <row r="265" spans="14:16" ht="12.75">
      <c r="N265" s="17"/>
      <c r="O265" s="17"/>
      <c r="P265" s="17"/>
    </row>
    <row r="266" spans="14:16" ht="12.75">
      <c r="N266" s="17"/>
      <c r="O266" s="17"/>
      <c r="P266" s="17"/>
    </row>
    <row r="267" spans="14:16" ht="12.75">
      <c r="N267" s="17"/>
      <c r="O267" s="17"/>
      <c r="P267" s="17"/>
    </row>
    <row r="268" spans="14:16" ht="12.75">
      <c r="N268" s="17"/>
      <c r="O268" s="17"/>
      <c r="P268" s="17"/>
    </row>
    <row r="269" spans="14:16" ht="12.75">
      <c r="N269" s="17"/>
      <c r="O269" s="17"/>
      <c r="P269" s="17"/>
    </row>
    <row r="270" spans="14:16" ht="12.75">
      <c r="N270" s="17"/>
      <c r="O270" s="17"/>
      <c r="P270" s="17"/>
    </row>
    <row r="271" spans="14:16" ht="12.75">
      <c r="N271" s="17"/>
      <c r="O271" s="17"/>
      <c r="P271" s="17"/>
    </row>
    <row r="272" spans="14:16" ht="12.75">
      <c r="N272" s="17"/>
      <c r="O272" s="17"/>
      <c r="P272" s="17"/>
    </row>
    <row r="273" spans="14:16" ht="12.75">
      <c r="N273" s="17"/>
      <c r="O273" s="17"/>
      <c r="P273" s="17"/>
    </row>
    <row r="274" spans="14:16" ht="12.75">
      <c r="N274" s="17"/>
      <c r="O274" s="17"/>
      <c r="P274" s="17"/>
    </row>
    <row r="275" spans="14:16" ht="12.75">
      <c r="N275" s="17"/>
      <c r="O275" s="17"/>
      <c r="P275" s="17"/>
    </row>
    <row r="276" spans="14:16" ht="12.75">
      <c r="N276" s="17"/>
      <c r="O276" s="17"/>
      <c r="P276" s="17"/>
    </row>
    <row r="277" spans="14:16" ht="12.75">
      <c r="N277" s="17"/>
      <c r="O277" s="17"/>
      <c r="P277" s="17"/>
    </row>
    <row r="278" spans="14:16" ht="12.75">
      <c r="N278" s="17"/>
      <c r="O278" s="17"/>
      <c r="P278" s="17"/>
    </row>
    <row r="279" spans="14:16" ht="12.75">
      <c r="N279" s="17"/>
      <c r="O279" s="17"/>
      <c r="P279" s="17"/>
    </row>
    <row r="280" spans="14:16" ht="12.75">
      <c r="N280" s="17"/>
      <c r="O280" s="17"/>
      <c r="P280" s="17"/>
    </row>
    <row r="281" spans="14:16" ht="12.75">
      <c r="N281" s="17"/>
      <c r="O281" s="17"/>
      <c r="P281" s="17"/>
    </row>
    <row r="282" spans="14:16" ht="12.75">
      <c r="N282" s="17"/>
      <c r="O282" s="17"/>
      <c r="P282" s="17"/>
    </row>
    <row r="283" spans="14:16" ht="12.75">
      <c r="N283" s="17"/>
      <c r="O283" s="17"/>
      <c r="P283" s="17"/>
    </row>
    <row r="284" spans="14:16" ht="12.75">
      <c r="N284" s="17"/>
      <c r="O284" s="17"/>
      <c r="P284" s="17"/>
    </row>
    <row r="285" spans="14:16" ht="12.75">
      <c r="N285" s="17"/>
      <c r="O285" s="17"/>
      <c r="P285" s="17"/>
    </row>
    <row r="286" spans="14:16" ht="12.75">
      <c r="N286" s="17"/>
      <c r="O286" s="17"/>
      <c r="P286" s="17"/>
    </row>
    <row r="287" spans="14:16" ht="12.75">
      <c r="N287" s="17"/>
      <c r="O287" s="17"/>
      <c r="P287" s="17"/>
    </row>
    <row r="288" spans="14:16" ht="12.75">
      <c r="N288" s="17"/>
      <c r="O288" s="17"/>
      <c r="P288" s="17"/>
    </row>
    <row r="289" spans="14:16" ht="12.75">
      <c r="N289" s="17"/>
      <c r="O289" s="17"/>
      <c r="P289" s="17"/>
    </row>
    <row r="290" spans="14:16" ht="12.75">
      <c r="N290" s="17"/>
      <c r="O290" s="17"/>
      <c r="P290" s="17"/>
    </row>
    <row r="291" spans="14:16" ht="12.75">
      <c r="N291" s="17"/>
      <c r="O291" s="17"/>
      <c r="P291" s="17"/>
    </row>
    <row r="292" spans="14:16" ht="12.75">
      <c r="N292" s="17"/>
      <c r="O292" s="17"/>
      <c r="P292" s="17"/>
    </row>
    <row r="293" spans="14:16" ht="12.75">
      <c r="N293" s="17"/>
      <c r="O293" s="17"/>
      <c r="P293" s="17"/>
    </row>
    <row r="294" spans="14:16" ht="12.75">
      <c r="N294" s="17"/>
      <c r="O294" s="17"/>
      <c r="P294" s="17"/>
    </row>
    <row r="295" spans="14:16" ht="12.75">
      <c r="N295" s="17"/>
      <c r="O295" s="17"/>
      <c r="P295" s="17"/>
    </row>
    <row r="296" spans="14:16" ht="12.75">
      <c r="N296" s="17"/>
      <c r="O296" s="17"/>
      <c r="P296" s="17"/>
    </row>
    <row r="297" spans="14:16" ht="12.75">
      <c r="N297" s="17"/>
      <c r="O297" s="17"/>
      <c r="P297" s="17"/>
    </row>
    <row r="298" spans="14:16" ht="12.75">
      <c r="N298" s="17"/>
      <c r="O298" s="17"/>
      <c r="P298" s="17"/>
    </row>
    <row r="299" spans="14:16" ht="12.75">
      <c r="N299" s="17"/>
      <c r="O299" s="17"/>
      <c r="P299" s="17"/>
    </row>
    <row r="300" spans="14:16" ht="12.75">
      <c r="N300" s="17"/>
      <c r="O300" s="17"/>
      <c r="P300" s="17"/>
    </row>
    <row r="301" spans="14:16" ht="12.75">
      <c r="N301" s="17"/>
      <c r="O301" s="17"/>
      <c r="P301" s="17"/>
    </row>
    <row r="302" spans="14:16" ht="12.75">
      <c r="N302" s="17"/>
      <c r="O302" s="17"/>
      <c r="P302" s="17"/>
    </row>
    <row r="303" spans="14:16" ht="12.75">
      <c r="N303" s="17"/>
      <c r="O303" s="17"/>
      <c r="P303" s="17"/>
    </row>
    <row r="304" spans="14:16" ht="12.75">
      <c r="N304" s="17"/>
      <c r="O304" s="17"/>
      <c r="P304" s="17"/>
    </row>
    <row r="305" spans="14:16" ht="12.75">
      <c r="N305" s="17"/>
      <c r="O305" s="17"/>
      <c r="P305" s="17"/>
    </row>
    <row r="306" spans="14:16" ht="12.75">
      <c r="N306" s="17"/>
      <c r="O306" s="17"/>
      <c r="P306" s="17"/>
    </row>
    <row r="307" spans="14:16" ht="12.75">
      <c r="N307" s="17"/>
      <c r="O307" s="17"/>
      <c r="P307" s="17"/>
    </row>
    <row r="308" spans="14:16" ht="12.75">
      <c r="N308" s="17"/>
      <c r="O308" s="17"/>
      <c r="P308" s="17"/>
    </row>
    <row r="309" spans="14:16" ht="12.75">
      <c r="N309" s="17"/>
      <c r="O309" s="17"/>
      <c r="P309" s="17"/>
    </row>
    <row r="310" spans="14:16" ht="12.75">
      <c r="N310" s="17"/>
      <c r="O310" s="17"/>
      <c r="P310" s="17"/>
    </row>
    <row r="311" spans="14:16" ht="12.75">
      <c r="N311" s="17"/>
      <c r="O311" s="17"/>
      <c r="P311" s="17"/>
    </row>
    <row r="312" spans="14:16" ht="12.75">
      <c r="N312" s="17"/>
      <c r="O312" s="17"/>
      <c r="P312" s="17"/>
    </row>
    <row r="313" spans="14:16" ht="12.75">
      <c r="N313" s="17"/>
      <c r="O313" s="17"/>
      <c r="P313" s="17"/>
    </row>
    <row r="314" spans="14:16" ht="12.75">
      <c r="N314" s="17"/>
      <c r="O314" s="17"/>
      <c r="P314" s="17"/>
    </row>
    <row r="315" spans="14:16" ht="12.75">
      <c r="N315" s="17"/>
      <c r="O315" s="17"/>
      <c r="P315" s="17"/>
    </row>
    <row r="316" spans="14:16" ht="12.75">
      <c r="N316" s="17"/>
      <c r="O316" s="17"/>
      <c r="P316" s="17"/>
    </row>
    <row r="317" spans="14:16" ht="12.75">
      <c r="N317" s="17"/>
      <c r="O317" s="17"/>
      <c r="P317" s="17"/>
    </row>
    <row r="318" spans="14:16" ht="12.75">
      <c r="N318" s="17"/>
      <c r="O318" s="17"/>
      <c r="P318" s="17"/>
    </row>
    <row r="319" spans="14:16" ht="12.75">
      <c r="N319" s="17"/>
      <c r="O319" s="17"/>
      <c r="P319" s="17"/>
    </row>
    <row r="320" spans="14:16" ht="12.75">
      <c r="N320" s="17"/>
      <c r="O320" s="17"/>
      <c r="P320" s="17"/>
    </row>
    <row r="321" spans="14:16" ht="12.75">
      <c r="N321" s="17"/>
      <c r="O321" s="17"/>
      <c r="P321" s="17"/>
    </row>
    <row r="322" spans="14:16" ht="12.75">
      <c r="N322" s="17"/>
      <c r="O322" s="17"/>
      <c r="P322" s="17"/>
    </row>
    <row r="323" spans="14:16" ht="12.75">
      <c r="N323" s="17"/>
      <c r="O323" s="17"/>
      <c r="P323" s="17"/>
    </row>
    <row r="324" spans="14:16" ht="12.75">
      <c r="N324" s="17"/>
      <c r="O324" s="17"/>
      <c r="P324" s="17"/>
    </row>
    <row r="325" spans="14:16" ht="12.75">
      <c r="N325" s="17"/>
      <c r="O325" s="17"/>
      <c r="P325" s="17"/>
    </row>
    <row r="326" spans="14:16" ht="12.75">
      <c r="N326" s="17"/>
      <c r="O326" s="17"/>
      <c r="P326" s="17"/>
    </row>
    <row r="327" spans="14:16" ht="12.75">
      <c r="N327" s="17"/>
      <c r="O327" s="17"/>
      <c r="P327" s="17"/>
    </row>
    <row r="328" spans="14:16" ht="12.75">
      <c r="N328" s="17"/>
      <c r="O328" s="17"/>
      <c r="P328" s="17"/>
    </row>
    <row r="329" spans="14:16" ht="12.75">
      <c r="N329" s="17"/>
      <c r="O329" s="17"/>
      <c r="P329" s="17"/>
    </row>
    <row r="330" spans="14:16" ht="12.75">
      <c r="N330" s="17"/>
      <c r="O330" s="17"/>
      <c r="P330" s="17"/>
    </row>
    <row r="331" spans="14:16" ht="12.75">
      <c r="N331" s="17"/>
      <c r="O331" s="17"/>
      <c r="P331" s="17"/>
    </row>
    <row r="332" spans="14:16" ht="12.75">
      <c r="N332" s="17"/>
      <c r="O332" s="17"/>
      <c r="P332" s="17"/>
    </row>
    <row r="333" spans="14:16" ht="12.75">
      <c r="N333" s="17"/>
      <c r="O333" s="17"/>
      <c r="P333" s="17"/>
    </row>
    <row r="334" spans="14:16" ht="12.75">
      <c r="N334" s="17"/>
      <c r="O334" s="17"/>
      <c r="P334" s="17"/>
    </row>
    <row r="335" spans="14:16" ht="12.75">
      <c r="N335" s="17"/>
      <c r="O335" s="17"/>
      <c r="P335" s="17"/>
    </row>
    <row r="336" spans="14:16" ht="12.75">
      <c r="N336" s="17"/>
      <c r="O336" s="17"/>
      <c r="P336" s="17"/>
    </row>
    <row r="337" spans="14:16" ht="12.75">
      <c r="N337" s="17"/>
      <c r="O337" s="17"/>
      <c r="P337" s="17"/>
    </row>
    <row r="338" spans="14:16" ht="12.75">
      <c r="N338" s="17"/>
      <c r="O338" s="17"/>
      <c r="P338" s="17"/>
    </row>
    <row r="339" spans="14:16" ht="12.75">
      <c r="N339" s="17"/>
      <c r="O339" s="17"/>
      <c r="P339" s="17"/>
    </row>
    <row r="340" spans="14:16" ht="12.75">
      <c r="N340" s="17"/>
      <c r="O340" s="17"/>
      <c r="P340" s="17"/>
    </row>
    <row r="341" spans="14:16" ht="12.75">
      <c r="N341" s="17"/>
      <c r="O341" s="17"/>
      <c r="P341" s="17"/>
    </row>
    <row r="342" spans="14:16" ht="12.75">
      <c r="N342" s="17"/>
      <c r="O342" s="17"/>
      <c r="P342" s="17"/>
    </row>
    <row r="343" spans="14:16" ht="12.75">
      <c r="N343" s="17"/>
      <c r="O343" s="17"/>
      <c r="P343" s="17"/>
    </row>
    <row r="344" spans="14:16" ht="12.75">
      <c r="N344" s="17"/>
      <c r="O344" s="17"/>
      <c r="P344" s="17"/>
    </row>
    <row r="345" spans="14:16" ht="12.75">
      <c r="N345" s="17"/>
      <c r="O345" s="17"/>
      <c r="P345" s="17"/>
    </row>
    <row r="346" spans="14:16" ht="12.75">
      <c r="N346" s="17"/>
      <c r="O346" s="17"/>
      <c r="P346" s="17"/>
    </row>
    <row r="347" spans="14:16" ht="12.75">
      <c r="N347" s="17"/>
      <c r="O347" s="17"/>
      <c r="P347" s="17"/>
    </row>
    <row r="348" spans="14:16" ht="12.75">
      <c r="N348" s="17"/>
      <c r="O348" s="17"/>
      <c r="P348" s="17"/>
    </row>
    <row r="349" spans="14:16" ht="12.75">
      <c r="N349" s="17"/>
      <c r="O349" s="17"/>
      <c r="P349" s="17"/>
    </row>
    <row r="350" spans="14:16" ht="12.75">
      <c r="N350" s="17"/>
      <c r="O350" s="17"/>
      <c r="P350" s="17"/>
    </row>
    <row r="351" spans="14:16" ht="12.75">
      <c r="N351" s="17"/>
      <c r="O351" s="17"/>
      <c r="P351" s="17"/>
    </row>
    <row r="352" spans="14:16" ht="12.75">
      <c r="N352" s="17"/>
      <c r="O352" s="17"/>
      <c r="P352" s="17"/>
    </row>
    <row r="353" spans="14:16" ht="12.75">
      <c r="N353" s="17"/>
      <c r="O353" s="17"/>
      <c r="P353" s="17"/>
    </row>
    <row r="354" spans="14:16" ht="12.75">
      <c r="N354" s="17"/>
      <c r="O354" s="17"/>
      <c r="P354" s="17"/>
    </row>
    <row r="355" spans="14:16" ht="12.75">
      <c r="N355" s="17"/>
      <c r="O355" s="17"/>
      <c r="P355" s="17"/>
    </row>
    <row r="356" spans="14:16" ht="12.75">
      <c r="N356" s="17"/>
      <c r="O356" s="17"/>
      <c r="P356" s="17"/>
    </row>
    <row r="357" spans="14:16" ht="12.75">
      <c r="N357" s="17"/>
      <c r="O357" s="17"/>
      <c r="P357" s="17"/>
    </row>
    <row r="358" spans="14:16" ht="12.75">
      <c r="N358" s="17"/>
      <c r="O358" s="17"/>
      <c r="P358" s="17"/>
    </row>
    <row r="359" spans="14:16" ht="12.75">
      <c r="N359" s="17"/>
      <c r="O359" s="17"/>
      <c r="P359" s="17"/>
    </row>
    <row r="360" spans="14:16" ht="12.75">
      <c r="N360" s="17"/>
      <c r="O360" s="17"/>
      <c r="P360" s="17"/>
    </row>
    <row r="361" spans="14:16" ht="12.75">
      <c r="N361" s="17"/>
      <c r="O361" s="17"/>
      <c r="P361" s="17"/>
    </row>
    <row r="362" spans="14:16" ht="12.75">
      <c r="N362" s="17"/>
      <c r="O362" s="17"/>
      <c r="P362" s="17"/>
    </row>
    <row r="363" spans="14:16" ht="12.75">
      <c r="N363" s="17"/>
      <c r="O363" s="17"/>
      <c r="P363" s="17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3:BM39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6" customWidth="1"/>
    <col min="2" max="2" width="9.140625" style="5" customWidth="1"/>
    <col min="3" max="3" width="9.140625" style="3" customWidth="1"/>
    <col min="4" max="4" width="10.28125" style="3" customWidth="1"/>
    <col min="5" max="5" width="12.28125" style="3" bestFit="1" customWidth="1"/>
    <col min="6" max="7" width="9.140625" style="3" customWidth="1"/>
    <col min="8" max="8" width="16.140625" style="3" customWidth="1"/>
    <col min="9" max="9" width="11.28125" style="3" bestFit="1" customWidth="1"/>
    <col min="10" max="11" width="9.140625" style="3" customWidth="1"/>
    <col min="12" max="12" width="13.8515625" style="3" bestFit="1" customWidth="1"/>
    <col min="13" max="13" width="11.28125" style="3" bestFit="1" customWidth="1"/>
    <col min="14" max="15" width="9.140625" style="3" customWidth="1"/>
    <col min="16" max="16" width="14.8515625" style="3" bestFit="1" customWidth="1"/>
    <col min="17" max="17" width="11.28125" style="3" bestFit="1" customWidth="1"/>
    <col min="18" max="19" width="9.140625" style="3" customWidth="1"/>
    <col min="20" max="20" width="12.28125" style="3" bestFit="1" customWidth="1"/>
    <col min="21" max="21" width="11.28125" style="3" bestFit="1" customWidth="1"/>
    <col min="22" max="23" width="9.140625" style="3" customWidth="1"/>
    <col min="24" max="24" width="14.8515625" style="3" bestFit="1" customWidth="1"/>
    <col min="25" max="25" width="11.28125" style="3" bestFit="1" customWidth="1"/>
    <col min="26" max="27" width="9.140625" style="3" customWidth="1"/>
    <col min="28" max="28" width="14.8515625" style="3" bestFit="1" customWidth="1"/>
    <col min="29" max="29" width="11.28125" style="3" bestFit="1" customWidth="1"/>
    <col min="30" max="31" width="9.140625" style="3" customWidth="1"/>
    <col min="32" max="32" width="14.8515625" style="3" bestFit="1" customWidth="1"/>
    <col min="33" max="33" width="11.28125" style="3" bestFit="1" customWidth="1"/>
    <col min="34" max="35" width="9.140625" style="3" customWidth="1"/>
    <col min="36" max="36" width="14.8515625" style="3" bestFit="1" customWidth="1"/>
    <col min="37" max="37" width="11.28125" style="3" bestFit="1" customWidth="1"/>
    <col min="38" max="39" width="9.140625" style="3" customWidth="1"/>
    <col min="40" max="40" width="14.8515625" style="3" bestFit="1" customWidth="1"/>
    <col min="41" max="41" width="11.28125" style="3" bestFit="1" customWidth="1"/>
    <col min="42" max="16384" width="9.140625" style="3" customWidth="1"/>
  </cols>
  <sheetData>
    <row r="3" spans="2:41" ht="12.75">
      <c r="B3" s="338" t="s">
        <v>13</v>
      </c>
      <c r="C3" s="338"/>
      <c r="D3" s="338"/>
      <c r="E3" s="338"/>
      <c r="F3" s="338" t="s">
        <v>58</v>
      </c>
      <c r="G3" s="338"/>
      <c r="H3" s="338"/>
      <c r="I3" s="338"/>
      <c r="J3" s="338" t="s">
        <v>16</v>
      </c>
      <c r="K3" s="338"/>
      <c r="L3" s="338"/>
      <c r="M3" s="338"/>
      <c r="N3" s="338" t="s">
        <v>57</v>
      </c>
      <c r="O3" s="338"/>
      <c r="P3" s="338"/>
      <c r="Q3" s="338"/>
      <c r="R3" s="338" t="s">
        <v>56</v>
      </c>
      <c r="S3" s="338"/>
      <c r="T3" s="338"/>
      <c r="U3" s="338"/>
      <c r="V3" s="338" t="s">
        <v>55</v>
      </c>
      <c r="W3" s="338"/>
      <c r="X3" s="338"/>
      <c r="Y3" s="338"/>
      <c r="Z3" s="338" t="s">
        <v>54</v>
      </c>
      <c r="AA3" s="338"/>
      <c r="AB3" s="338"/>
      <c r="AC3" s="338"/>
      <c r="AD3" s="338" t="s">
        <v>53</v>
      </c>
      <c r="AE3" s="338"/>
      <c r="AF3" s="338"/>
      <c r="AG3" s="338"/>
      <c r="AH3" s="338" t="s">
        <v>59</v>
      </c>
      <c r="AI3" s="338"/>
      <c r="AJ3" s="338"/>
      <c r="AK3" s="338"/>
      <c r="AL3" s="338" t="s">
        <v>46</v>
      </c>
      <c r="AM3" s="338"/>
      <c r="AN3" s="338"/>
      <c r="AO3" s="338"/>
    </row>
    <row r="4" spans="2:41" ht="12.75">
      <c r="B4" s="21" t="s">
        <v>48</v>
      </c>
      <c r="C4" s="39" t="s">
        <v>10</v>
      </c>
      <c r="D4" s="32" t="s">
        <v>50</v>
      </c>
      <c r="E4" s="21" t="s">
        <v>49</v>
      </c>
      <c r="F4" s="21" t="s">
        <v>48</v>
      </c>
      <c r="G4" s="39" t="s">
        <v>10</v>
      </c>
      <c r="H4" s="32" t="s">
        <v>50</v>
      </c>
      <c r="I4" s="21" t="s">
        <v>49</v>
      </c>
      <c r="J4" s="21" t="s">
        <v>48</v>
      </c>
      <c r="K4" s="39" t="s">
        <v>10</v>
      </c>
      <c r="L4" s="32" t="s">
        <v>50</v>
      </c>
      <c r="M4" s="21" t="s">
        <v>49</v>
      </c>
      <c r="N4" s="21" t="s">
        <v>48</v>
      </c>
      <c r="O4" s="39" t="s">
        <v>10</v>
      </c>
      <c r="P4" s="32" t="s">
        <v>50</v>
      </c>
      <c r="Q4" s="21" t="s">
        <v>49</v>
      </c>
      <c r="R4" s="21" t="s">
        <v>48</v>
      </c>
      <c r="S4" s="39" t="s">
        <v>10</v>
      </c>
      <c r="T4" s="32" t="s">
        <v>50</v>
      </c>
      <c r="U4" s="21" t="s">
        <v>49</v>
      </c>
      <c r="V4" s="21" t="s">
        <v>48</v>
      </c>
      <c r="W4" s="39" t="s">
        <v>10</v>
      </c>
      <c r="X4" s="32" t="s">
        <v>50</v>
      </c>
      <c r="Y4" s="21" t="s">
        <v>49</v>
      </c>
      <c r="Z4" s="21" t="s">
        <v>48</v>
      </c>
      <c r="AA4" s="39" t="s">
        <v>10</v>
      </c>
      <c r="AB4" s="32" t="s">
        <v>50</v>
      </c>
      <c r="AC4" s="21" t="s">
        <v>49</v>
      </c>
      <c r="AD4" s="21" t="s">
        <v>48</v>
      </c>
      <c r="AE4" s="39" t="s">
        <v>10</v>
      </c>
      <c r="AF4" s="32" t="s">
        <v>50</v>
      </c>
      <c r="AG4" s="21" t="s">
        <v>49</v>
      </c>
      <c r="AH4" s="21" t="s">
        <v>48</v>
      </c>
      <c r="AI4" s="39" t="s">
        <v>10</v>
      </c>
      <c r="AJ4" s="32" t="s">
        <v>50</v>
      </c>
      <c r="AK4" s="21" t="s">
        <v>49</v>
      </c>
      <c r="AL4" s="21" t="s">
        <v>48</v>
      </c>
      <c r="AM4" s="39" t="s">
        <v>10</v>
      </c>
      <c r="AN4" s="32" t="s">
        <v>50</v>
      </c>
      <c r="AO4" s="21" t="s">
        <v>49</v>
      </c>
    </row>
    <row r="5" spans="2:41" ht="12.75">
      <c r="B5" s="33">
        <f>Results!C6</f>
        <v>0.29999999999999993</v>
      </c>
      <c r="C5" s="34">
        <v>0</v>
      </c>
      <c r="D5" s="40">
        <v>0</v>
      </c>
      <c r="E5" s="35">
        <f>Results!F6</f>
        <v>26.812337504277856</v>
      </c>
      <c r="F5" s="33">
        <f>Results!G6</f>
        <v>3.466666666666664</v>
      </c>
      <c r="G5" s="34">
        <v>0</v>
      </c>
      <c r="H5" s="40">
        <v>0</v>
      </c>
      <c r="I5" s="35">
        <f>Results!J6</f>
        <v>13.370670433857928</v>
      </c>
      <c r="J5" s="33">
        <f>Results!K6</f>
        <v>3.7541666666666655</v>
      </c>
      <c r="K5" s="34">
        <v>0</v>
      </c>
      <c r="L5" s="40">
        <v>0</v>
      </c>
      <c r="M5" s="35">
        <f>Results!N6</f>
        <v>10.765335683061895</v>
      </c>
      <c r="N5" s="33">
        <f>Results!O6</f>
        <v>6.066666666666671</v>
      </c>
      <c r="O5" s="34">
        <v>0</v>
      </c>
      <c r="P5" s="40">
        <v>0</v>
      </c>
      <c r="Q5" s="35">
        <f>Results!R6</f>
        <v>8.124244559163802</v>
      </c>
      <c r="R5" s="33">
        <f>Results!S6</f>
        <v>0.01536458333333331</v>
      </c>
      <c r="S5" s="34">
        <v>0</v>
      </c>
      <c r="T5" s="40">
        <v>0</v>
      </c>
      <c r="U5" s="35">
        <f>Results!V6</f>
        <v>53.63177881510203</v>
      </c>
      <c r="V5" s="33">
        <f>Results!W6</f>
        <v>8.298715277777779</v>
      </c>
      <c r="W5" s="34">
        <v>0</v>
      </c>
      <c r="X5" s="40">
        <v>0</v>
      </c>
      <c r="Y5" s="35">
        <f>Results!Z6</f>
        <v>9.629996317999554</v>
      </c>
      <c r="Z5" s="33">
        <f>Results!AA6</f>
        <v>8.886215277777774</v>
      </c>
      <c r="AA5" s="34">
        <v>0</v>
      </c>
      <c r="AB5" s="40">
        <v>0</v>
      </c>
      <c r="AC5" s="35">
        <f>Results!AD6</f>
        <v>11.404303788199602</v>
      </c>
      <c r="AD5" s="33">
        <f>Results!AE6</f>
        <v>15.936215277777766</v>
      </c>
      <c r="AE5" s="34">
        <v>0</v>
      </c>
      <c r="AF5" s="40">
        <v>0</v>
      </c>
      <c r="AG5" s="35">
        <f>Results!AH6</f>
        <v>4.4712301439519635</v>
      </c>
      <c r="AH5" s="33">
        <f>Results!AI6</f>
        <v>15.982048611111097</v>
      </c>
      <c r="AI5" s="34">
        <v>0</v>
      </c>
      <c r="AJ5" s="40">
        <v>0</v>
      </c>
      <c r="AK5" s="35">
        <f>Results!AL6</f>
        <v>17.270404363743417</v>
      </c>
      <c r="AL5" s="33">
        <f>Results!AM6</f>
        <v>25.544548611111146</v>
      </c>
      <c r="AM5" s="34">
        <v>0</v>
      </c>
      <c r="AN5" s="40">
        <v>0</v>
      </c>
      <c r="AO5" s="35">
        <f>Results!AP6</f>
        <v>4.495525976875337</v>
      </c>
    </row>
    <row r="6" spans="2:41" ht="12.75">
      <c r="B6" s="33">
        <f>B5+(B$25-B$5)/20</f>
        <v>0.29366248118306254</v>
      </c>
      <c r="C6" s="34">
        <f>C5+(C$25-C$5)/20</f>
        <v>0.05</v>
      </c>
      <c r="D6" s="40">
        <v>1</v>
      </c>
      <c r="E6" s="35">
        <f>E5+(E$25-E$5)/20</f>
        <v>25.75278675734023</v>
      </c>
      <c r="F6" s="33">
        <f>F5+(F$25-F$5)/20</f>
        <v>3.336676904061373</v>
      </c>
      <c r="G6" s="34">
        <f aca="true" t="shared" si="0" ref="G6:G24">G5+(G$25-G$5)/20</f>
        <v>0.05</v>
      </c>
      <c r="H6" s="40">
        <v>1</v>
      </c>
      <c r="I6" s="35">
        <f aca="true" t="shared" si="1" ref="I6:I24">I5+(I$25-I$5)/20</f>
        <v>12.941294831316128</v>
      </c>
      <c r="J6" s="33">
        <f>J5+(J$25-J$5)/20</f>
        <v>3.609942423832539</v>
      </c>
      <c r="K6" s="34">
        <f aca="true" t="shared" si="2" ref="K6:K24">K5+(K$25-K$5)/20</f>
        <v>0.05</v>
      </c>
      <c r="L6" s="40">
        <v>1</v>
      </c>
      <c r="M6" s="35">
        <f aca="true" t="shared" si="3" ref="M6:M24">M5+(M$25-M$5)/20</f>
        <v>10.393066388376273</v>
      </c>
      <c r="N6" s="33">
        <f>N5+(N$25-N$5)/20</f>
        <v>5.898990882622024</v>
      </c>
      <c r="O6" s="34">
        <f aca="true" t="shared" si="4" ref="O6:O24">O5+(O$25-O$5)/20</f>
        <v>0.05</v>
      </c>
      <c r="P6" s="40">
        <v>1</v>
      </c>
      <c r="Q6" s="35">
        <f aca="true" t="shared" si="5" ref="Q6:Q24">Q5+(Q$25-Q$5)/20</f>
        <v>7.858804562424243</v>
      </c>
      <c r="R6" s="33">
        <f>R5+(R$25-R$5)/20</f>
        <v>0.014613835425309007</v>
      </c>
      <c r="S6" s="34">
        <f aca="true" t="shared" si="6" ref="S6:S24">S5+(S$25-S$5)/20</f>
        <v>0.05</v>
      </c>
      <c r="T6" s="40">
        <v>1</v>
      </c>
      <c r="U6" s="35">
        <f aca="true" t="shared" si="7" ref="U6:U24">U5+(U$25-U$5)/20</f>
        <v>50.951803019457195</v>
      </c>
      <c r="V6" s="33">
        <f>V5+(V$25-V$5)/20</f>
        <v>8.025636402878444</v>
      </c>
      <c r="W6" s="34">
        <f aca="true" t="shared" si="8" ref="W6:W24">W5+(W$25-W$5)/20</f>
        <v>0.05</v>
      </c>
      <c r="X6" s="40">
        <v>1</v>
      </c>
      <c r="Y6" s="35">
        <f aca="true" t="shared" si="9" ref="Y6:Y24">Y5+(Y$25-Y$5)/20</f>
        <v>9.339312679396807</v>
      </c>
      <c r="Z6" s="33">
        <f>Z5+(Z$25-Z$5)/20</f>
        <v>8.594048817345906</v>
      </c>
      <c r="AA6" s="34">
        <f aca="true" t="shared" si="10" ref="AA6:AA24">AA5+(AA$25-AA$5)/20</f>
        <v>0.05</v>
      </c>
      <c r="AB6" s="40">
        <v>1</v>
      </c>
      <c r="AC6" s="35">
        <f aca="true" t="shared" si="11" ref="AC6:AC24">AC5+(AC$25-AC$5)/20</f>
        <v>10.958873541687144</v>
      </c>
      <c r="AD6" s="33">
        <f>AD5+(AD$25-AD$5)/20</f>
        <v>15.45492537036633</v>
      </c>
      <c r="AE6" s="34">
        <f aca="true" t="shared" si="12" ref="AE6:AE24">AE5+(AE$25-AE$5)/20</f>
        <v>0.05</v>
      </c>
      <c r="AF6" s="40">
        <v>1</v>
      </c>
      <c r="AG6" s="35">
        <f aca="true" t="shared" si="13" ref="AG6:AG24">AG5+(AG$25-AG$5)/20</f>
        <v>4.2793583309520775</v>
      </c>
      <c r="AH6" s="33">
        <f>AH5+(AH$25-AH$5)/20</f>
        <v>15.499014889967407</v>
      </c>
      <c r="AI6" s="34">
        <f aca="true" t="shared" si="14" ref="AI6:AI24">AI5+(AI$25-AI$5)/20</f>
        <v>0.05</v>
      </c>
      <c r="AJ6" s="40">
        <v>1</v>
      </c>
      <c r="AK6" s="35">
        <f aca="true" t="shared" si="15" ref="AK6:AK24">AK5+(AK$25-AK$5)/20</f>
        <v>16.756867938487296</v>
      </c>
      <c r="AL6" s="33">
        <f>AL5+(AL$25-AL$5)/20</f>
        <v>24.7282645056311</v>
      </c>
      <c r="AM6" s="34">
        <f aca="true" t="shared" si="16" ref="AM6:AM24">AM5+(AM$25-AM$5)/20</f>
        <v>0.05</v>
      </c>
      <c r="AN6" s="40">
        <v>1</v>
      </c>
      <c r="AO6" s="35">
        <f aca="true" t="shared" si="17" ref="AO6:AO24">AO5+(AO$25-AO$5)/20</f>
        <v>4.326532753896771</v>
      </c>
    </row>
    <row r="7" spans="2:41" ht="12.75">
      <c r="B7" s="33">
        <f aca="true" t="shared" si="18" ref="B7:B24">B6+(B$25-B$5)/20</f>
        <v>0.28732496236612515</v>
      </c>
      <c r="C7" s="34">
        <f aca="true" t="shared" si="19" ref="C7:C24">C6+(C$25-C$5)/20</f>
        <v>0.1</v>
      </c>
      <c r="D7" s="40">
        <f>D6*10^((LOG(D$25)-LOG(D$6))/19)</f>
        <v>1.0988928027655247</v>
      </c>
      <c r="E7" s="35">
        <f aca="true" t="shared" si="20" ref="E7:E24">E6+(E$25-E$5)/20</f>
        <v>24.6932360104026</v>
      </c>
      <c r="F7" s="33">
        <f aca="true" t="shared" si="21" ref="F7:F24">F6+(F$25-F$5)/20</f>
        <v>3.206687141456082</v>
      </c>
      <c r="G7" s="34">
        <f t="shared" si="0"/>
        <v>0.1</v>
      </c>
      <c r="H7" s="40">
        <f>H6*10^((LOG(H$25)-LOG(H$6))/19)</f>
        <v>1.0976686420976705</v>
      </c>
      <c r="I7" s="35">
        <f t="shared" si="1"/>
        <v>12.511919228774328</v>
      </c>
      <c r="J7" s="33">
        <f aca="true" t="shared" si="22" ref="J7:J24">J6+(J$25-J$5)/20</f>
        <v>3.4657181809984126</v>
      </c>
      <c r="K7" s="34">
        <f t="shared" si="2"/>
        <v>0.1</v>
      </c>
      <c r="L7" s="40">
        <f>L6*10^((LOG(L$25)-LOG(L$6))/19)</f>
        <v>1.0976686420976705</v>
      </c>
      <c r="M7" s="35">
        <f t="shared" si="3"/>
        <v>10.02079709369065</v>
      </c>
      <c r="N7" s="33">
        <f aca="true" t="shared" si="23" ref="N7:N24">N6+(N$25-N$5)/20</f>
        <v>5.731315098577377</v>
      </c>
      <c r="O7" s="34">
        <f t="shared" si="4"/>
        <v>0.1</v>
      </c>
      <c r="P7" s="40">
        <f>P6*10^((LOG(P$25)-LOG(P$6))/19)</f>
        <v>1.0976686420976705</v>
      </c>
      <c r="Q7" s="35">
        <f t="shared" si="5"/>
        <v>7.593364565684684</v>
      </c>
      <c r="R7" s="33">
        <f aca="true" t="shared" si="24" ref="R7:R24">R6+(R$25-R$5)/20</f>
        <v>0.013863087517284704</v>
      </c>
      <c r="S7" s="34">
        <f t="shared" si="6"/>
        <v>0.1</v>
      </c>
      <c r="T7" s="40">
        <f>T6*10^((LOG(T$25)-LOG(T$6))/19)</f>
        <v>1.0016998252029823</v>
      </c>
      <c r="U7" s="35">
        <f t="shared" si="7"/>
        <v>48.27182722381236</v>
      </c>
      <c r="V7" s="33">
        <f aca="true" t="shared" si="25" ref="V7:V24">V6+(V$25-V$5)/20</f>
        <v>7.752557527979109</v>
      </c>
      <c r="W7" s="34">
        <f t="shared" si="8"/>
        <v>0.1</v>
      </c>
      <c r="X7" s="40">
        <f>X6*10^((LOG(X$25)-LOG(X$6))/19)</f>
        <v>1.0016998252029823</v>
      </c>
      <c r="Y7" s="35">
        <f t="shared" si="9"/>
        <v>9.04862904079406</v>
      </c>
      <c r="Z7" s="33">
        <f aca="true" t="shared" si="26" ref="Z7:Z24">Z6+(Z$25-Z$5)/20</f>
        <v>8.301882356914037</v>
      </c>
      <c r="AA7" s="34">
        <f t="shared" si="10"/>
        <v>0.1</v>
      </c>
      <c r="AB7" s="40">
        <f>AB6*10^((LOG(AB$25)-LOG(AB$6))/19)</f>
        <v>1.0239316156079097</v>
      </c>
      <c r="AC7" s="35">
        <f t="shared" si="11"/>
        <v>10.513443295174685</v>
      </c>
      <c r="AD7" s="33">
        <f aca="true" t="shared" si="27" ref="AD7:AD24">AD6+(AD$25-AD$5)/20</f>
        <v>14.973635462954896</v>
      </c>
      <c r="AE7" s="34">
        <f t="shared" si="12"/>
        <v>0.1</v>
      </c>
      <c r="AF7" s="40">
        <f>AF6*10^((LOG(AF$25)-LOG(AF$6))/19)</f>
        <v>1.0239316156079097</v>
      </c>
      <c r="AG7" s="35">
        <f t="shared" si="13"/>
        <v>4.0874865179521915</v>
      </c>
      <c r="AH7" s="33">
        <f aca="true" t="shared" si="28" ref="AH7:AH24">AH6+(AH$25-AH$5)/20</f>
        <v>15.015981168823718</v>
      </c>
      <c r="AI7" s="34">
        <f t="shared" si="14"/>
        <v>0.1</v>
      </c>
      <c r="AJ7" s="40">
        <f>AJ6*10^((LOG(AJ$25)-LOG(AJ$6))/19)</f>
        <v>1.093375291082732</v>
      </c>
      <c r="AK7" s="35">
        <f t="shared" si="15"/>
        <v>16.243331513231176</v>
      </c>
      <c r="AL7" s="33">
        <f aca="true" t="shared" si="29" ref="AL7:AL24">AL6+(AL$25-AL$5)/20</f>
        <v>23.91198040015105</v>
      </c>
      <c r="AM7" s="34">
        <f t="shared" si="16"/>
        <v>0.1</v>
      </c>
      <c r="AN7" s="40">
        <f>AN6*10^((LOG(AN$25)-LOG(AN$6))/19)</f>
        <v>1.093375291082732</v>
      </c>
      <c r="AO7" s="35">
        <f t="shared" si="17"/>
        <v>4.157539530918205</v>
      </c>
    </row>
    <row r="8" spans="2:41" ht="12.75">
      <c r="B8" s="33">
        <f t="shared" si="18"/>
        <v>0.28098744354918775</v>
      </c>
      <c r="C8" s="34">
        <f t="shared" si="19"/>
        <v>0.15000000000000002</v>
      </c>
      <c r="D8" s="40">
        <f aca="true" t="shared" si="30" ref="D8:D24">D7*10^((LOG(D$25)-LOG(D$6))/19)</f>
        <v>1.2075653919698703</v>
      </c>
      <c r="E8" s="35">
        <f t="shared" si="20"/>
        <v>23.633685263464972</v>
      </c>
      <c r="F8" s="33">
        <f t="shared" si="21"/>
        <v>3.076697378850791</v>
      </c>
      <c r="G8" s="34">
        <f t="shared" si="0"/>
        <v>0.15000000000000002</v>
      </c>
      <c r="H8" s="40">
        <f aca="true" t="shared" si="31" ref="H8:H24">H7*10^((LOG(H$25)-LOG(H$6))/19)</f>
        <v>1.2048764478445437</v>
      </c>
      <c r="I8" s="35">
        <f t="shared" si="1"/>
        <v>12.082543626232528</v>
      </c>
      <c r="J8" s="33">
        <f t="shared" si="22"/>
        <v>3.321493938164286</v>
      </c>
      <c r="K8" s="34">
        <f t="shared" si="2"/>
        <v>0.15000000000000002</v>
      </c>
      <c r="L8" s="40">
        <f aca="true" t="shared" si="32" ref="L8:L24">L7*10^((LOG(L$25)-LOG(L$6))/19)</f>
        <v>1.2048764478445437</v>
      </c>
      <c r="M8" s="35">
        <f t="shared" si="3"/>
        <v>9.648527799005027</v>
      </c>
      <c r="N8" s="33">
        <f t="shared" si="23"/>
        <v>5.56363931453273</v>
      </c>
      <c r="O8" s="34">
        <f t="shared" si="4"/>
        <v>0.15000000000000002</v>
      </c>
      <c r="P8" s="40">
        <f aca="true" t="shared" si="33" ref="P8:P24">P7*10^((LOG(P$25)-LOG(P$6))/19)</f>
        <v>1.2048764478445437</v>
      </c>
      <c r="Q8" s="35">
        <f t="shared" si="5"/>
        <v>7.327924568945125</v>
      </c>
      <c r="R8" s="33">
        <f t="shared" si="24"/>
        <v>0.013112339609260401</v>
      </c>
      <c r="S8" s="34">
        <f t="shared" si="6"/>
        <v>0.15000000000000002</v>
      </c>
      <c r="T8" s="40">
        <f aca="true" t="shared" si="34" ref="T8:T24">T7*10^((LOG(T$25)-LOG(T$6))/19)</f>
        <v>1.0034025398116853</v>
      </c>
      <c r="U8" s="35">
        <f t="shared" si="7"/>
        <v>45.59185142816752</v>
      </c>
      <c r="V8" s="33">
        <f t="shared" si="25"/>
        <v>7.479478653079774</v>
      </c>
      <c r="W8" s="34">
        <f t="shared" si="8"/>
        <v>0.15000000000000002</v>
      </c>
      <c r="X8" s="40">
        <f aca="true" t="shared" si="35" ref="X8:X24">X7*10^((LOG(X$25)-LOG(X$6))/19)</f>
        <v>1.0034025398116853</v>
      </c>
      <c r="Y8" s="35">
        <f t="shared" si="9"/>
        <v>8.757945402191313</v>
      </c>
      <c r="Z8" s="33">
        <f t="shared" si="26"/>
        <v>8.009715896482168</v>
      </c>
      <c r="AA8" s="34">
        <f t="shared" si="10"/>
        <v>0.15000000000000002</v>
      </c>
      <c r="AB8" s="40">
        <f aca="true" t="shared" si="36" ref="AB8:AB24">AB7*10^((LOG(AB$25)-LOG(AB$6))/19)</f>
        <v>1.048435953441424</v>
      </c>
      <c r="AC8" s="35">
        <f t="shared" si="11"/>
        <v>10.068013048662227</v>
      </c>
      <c r="AD8" s="33">
        <f t="shared" si="27"/>
        <v>14.49234555554346</v>
      </c>
      <c r="AE8" s="34">
        <f t="shared" si="12"/>
        <v>0.15000000000000002</v>
      </c>
      <c r="AF8" s="40">
        <f aca="true" t="shared" si="37" ref="AF8:AF24">AF7*10^((LOG(AF$25)-LOG(AF$6))/19)</f>
        <v>1.048435953441424</v>
      </c>
      <c r="AG8" s="35">
        <f t="shared" si="13"/>
        <v>3.8956147049523056</v>
      </c>
      <c r="AH8" s="33">
        <f t="shared" si="28"/>
        <v>14.532947447680028</v>
      </c>
      <c r="AI8" s="34">
        <f t="shared" si="14"/>
        <v>0.15000000000000002</v>
      </c>
      <c r="AJ8" s="40">
        <f aca="true" t="shared" si="38" ref="AJ8:AJ24">AJ7*10^((LOG(AJ$25)-LOG(AJ$6))/19)</f>
        <v>1.1954695271502487</v>
      </c>
      <c r="AK8" s="35">
        <f t="shared" si="15"/>
        <v>15.729795087975056</v>
      </c>
      <c r="AL8" s="33">
        <f t="shared" si="29"/>
        <v>23.095696294671004</v>
      </c>
      <c r="AM8" s="34">
        <f t="shared" si="16"/>
        <v>0.15000000000000002</v>
      </c>
      <c r="AN8" s="40">
        <f aca="true" t="shared" si="39" ref="AN8:AN24">AN7*10^((LOG(AN$25)-LOG(AN$6))/19)</f>
        <v>1.1954695271502487</v>
      </c>
      <c r="AO8" s="35">
        <f t="shared" si="17"/>
        <v>3.9885463079396395</v>
      </c>
    </row>
    <row r="9" spans="2:41" ht="12.75">
      <c r="B9" s="33">
        <f t="shared" si="18"/>
        <v>0.27464992473225036</v>
      </c>
      <c r="C9" s="34">
        <f t="shared" si="19"/>
        <v>0.2</v>
      </c>
      <c r="D9" s="40">
        <f t="shared" si="30"/>
        <v>1.3269849181044202</v>
      </c>
      <c r="E9" s="35">
        <f t="shared" si="20"/>
        <v>22.574134516527344</v>
      </c>
      <c r="F9" s="33">
        <f t="shared" si="21"/>
        <v>2.9467076162455</v>
      </c>
      <c r="G9" s="34">
        <f t="shared" si="0"/>
        <v>0.2</v>
      </c>
      <c r="H9" s="40">
        <f t="shared" si="31"/>
        <v>1.322555094400985</v>
      </c>
      <c r="I9" s="35">
        <f t="shared" si="1"/>
        <v>11.653168023690728</v>
      </c>
      <c r="J9" s="33">
        <f t="shared" si="22"/>
        <v>3.1772696953301596</v>
      </c>
      <c r="K9" s="34">
        <f t="shared" si="2"/>
        <v>0.2</v>
      </c>
      <c r="L9" s="40">
        <f t="shared" si="32"/>
        <v>1.322555094400985</v>
      </c>
      <c r="M9" s="35">
        <f t="shared" si="3"/>
        <v>9.276258504319404</v>
      </c>
      <c r="N9" s="33">
        <f t="shared" si="23"/>
        <v>5.395963530488083</v>
      </c>
      <c r="O9" s="34">
        <f t="shared" si="4"/>
        <v>0.2</v>
      </c>
      <c r="P9" s="40">
        <f t="shared" si="33"/>
        <v>1.322555094400985</v>
      </c>
      <c r="Q9" s="35">
        <f t="shared" si="5"/>
        <v>7.062484572205566</v>
      </c>
      <c r="R9" s="33">
        <f t="shared" si="24"/>
        <v>0.012361591701236099</v>
      </c>
      <c r="S9" s="34">
        <f t="shared" si="6"/>
        <v>0.2</v>
      </c>
      <c r="T9" s="40">
        <f t="shared" si="34"/>
        <v>1.0051081487375937</v>
      </c>
      <c r="U9" s="35">
        <f t="shared" si="7"/>
        <v>42.91187563252269</v>
      </c>
      <c r="V9" s="33">
        <f t="shared" si="25"/>
        <v>7.2063997781804385</v>
      </c>
      <c r="W9" s="34">
        <f t="shared" si="8"/>
        <v>0.2</v>
      </c>
      <c r="X9" s="40">
        <f t="shared" si="35"/>
        <v>1.0051081487375937</v>
      </c>
      <c r="Y9" s="35">
        <f t="shared" si="9"/>
        <v>8.467261763588565</v>
      </c>
      <c r="Z9" s="33">
        <f t="shared" si="26"/>
        <v>7.7175494360503</v>
      </c>
      <c r="AA9" s="34">
        <f t="shared" si="10"/>
        <v>0.2</v>
      </c>
      <c r="AB9" s="40">
        <f t="shared" si="36"/>
        <v>1.0735267196686964</v>
      </c>
      <c r="AC9" s="35">
        <f t="shared" si="11"/>
        <v>9.622582802149768</v>
      </c>
      <c r="AD9" s="33">
        <f t="shared" si="27"/>
        <v>14.011055648132025</v>
      </c>
      <c r="AE9" s="34">
        <f t="shared" si="12"/>
        <v>0.2</v>
      </c>
      <c r="AF9" s="40">
        <f t="shared" si="37"/>
        <v>1.0735267196686964</v>
      </c>
      <c r="AG9" s="35">
        <f t="shared" si="13"/>
        <v>3.7037428919524196</v>
      </c>
      <c r="AH9" s="33">
        <f t="shared" si="28"/>
        <v>14.049913726536339</v>
      </c>
      <c r="AI9" s="34">
        <f t="shared" si="14"/>
        <v>0.2</v>
      </c>
      <c r="AJ9" s="40">
        <f t="shared" si="38"/>
        <v>1.307096842228439</v>
      </c>
      <c r="AK9" s="35">
        <f t="shared" si="15"/>
        <v>15.216258662718936</v>
      </c>
      <c r="AL9" s="33">
        <f t="shared" si="29"/>
        <v>22.279412189190957</v>
      </c>
      <c r="AM9" s="34">
        <f t="shared" si="16"/>
        <v>0.2</v>
      </c>
      <c r="AN9" s="40">
        <f t="shared" si="39"/>
        <v>1.307096842228439</v>
      </c>
      <c r="AO9" s="35">
        <f t="shared" si="17"/>
        <v>3.8195530849610737</v>
      </c>
    </row>
    <row r="10" spans="2:41" ht="12.75">
      <c r="B10" s="33">
        <f t="shared" si="18"/>
        <v>0.26831240591531297</v>
      </c>
      <c r="C10" s="34">
        <f t="shared" si="19"/>
        <v>0.25</v>
      </c>
      <c r="D10" s="40">
        <f t="shared" si="30"/>
        <v>1.4582141758833467</v>
      </c>
      <c r="E10" s="35">
        <f t="shared" si="20"/>
        <v>21.514583769589716</v>
      </c>
      <c r="F10" s="33">
        <f t="shared" si="21"/>
        <v>2.816717853640209</v>
      </c>
      <c r="G10" s="34">
        <f t="shared" si="0"/>
        <v>0.25</v>
      </c>
      <c r="H10" s="40">
        <f t="shared" si="31"/>
        <v>1.4517272545704856</v>
      </c>
      <c r="I10" s="35">
        <f t="shared" si="1"/>
        <v>11.223792421148929</v>
      </c>
      <c r="J10" s="33">
        <f t="shared" si="22"/>
        <v>3.033045452496033</v>
      </c>
      <c r="K10" s="34">
        <f t="shared" si="2"/>
        <v>0.25</v>
      </c>
      <c r="L10" s="40">
        <f t="shared" si="32"/>
        <v>1.4517272545704856</v>
      </c>
      <c r="M10" s="35">
        <f t="shared" si="3"/>
        <v>8.903989209633782</v>
      </c>
      <c r="N10" s="33">
        <f t="shared" si="23"/>
        <v>5.228287746443436</v>
      </c>
      <c r="O10" s="34">
        <f t="shared" si="4"/>
        <v>0.25</v>
      </c>
      <c r="P10" s="40">
        <f t="shared" si="33"/>
        <v>1.4517272545704856</v>
      </c>
      <c r="Q10" s="35">
        <f t="shared" si="5"/>
        <v>6.797044575466007</v>
      </c>
      <c r="R10" s="33">
        <f t="shared" si="24"/>
        <v>0.011610843793211796</v>
      </c>
      <c r="S10" s="34">
        <f t="shared" si="6"/>
        <v>0.25</v>
      </c>
      <c r="T10" s="40">
        <f t="shared" si="34"/>
        <v>1.0068166569005408</v>
      </c>
      <c r="U10" s="35">
        <f t="shared" si="7"/>
        <v>40.23189983687785</v>
      </c>
      <c r="V10" s="33">
        <f t="shared" si="25"/>
        <v>6.933320903281103</v>
      </c>
      <c r="W10" s="34">
        <f t="shared" si="8"/>
        <v>0.25</v>
      </c>
      <c r="X10" s="40">
        <f t="shared" si="35"/>
        <v>1.0068166569005408</v>
      </c>
      <c r="Y10" s="35">
        <f t="shared" si="9"/>
        <v>8.176578124985818</v>
      </c>
      <c r="Z10" s="33">
        <f t="shared" si="26"/>
        <v>7.425382975618431</v>
      </c>
      <c r="AA10" s="34">
        <f t="shared" si="10"/>
        <v>0.25</v>
      </c>
      <c r="AB10" s="40">
        <f t="shared" si="36"/>
        <v>1.0992179484686277</v>
      </c>
      <c r="AC10" s="35">
        <f t="shared" si="11"/>
        <v>9.17715255563731</v>
      </c>
      <c r="AD10" s="33">
        <f t="shared" si="27"/>
        <v>13.52976574072059</v>
      </c>
      <c r="AE10" s="34">
        <f t="shared" si="12"/>
        <v>0.25</v>
      </c>
      <c r="AF10" s="40">
        <f t="shared" si="37"/>
        <v>1.0992179484686277</v>
      </c>
      <c r="AG10" s="35">
        <f t="shared" si="13"/>
        <v>3.5118710789525336</v>
      </c>
      <c r="AH10" s="33">
        <f t="shared" si="28"/>
        <v>13.56688000539265</v>
      </c>
      <c r="AI10" s="34">
        <f t="shared" si="14"/>
        <v>0.25</v>
      </c>
      <c r="AJ10" s="40">
        <f t="shared" si="38"/>
        <v>1.4291473903448393</v>
      </c>
      <c r="AK10" s="35">
        <f t="shared" si="15"/>
        <v>14.702722237462815</v>
      </c>
      <c r="AL10" s="33">
        <f t="shared" si="29"/>
        <v>21.46312808371091</v>
      </c>
      <c r="AM10" s="34">
        <f t="shared" si="16"/>
        <v>0.25</v>
      </c>
      <c r="AN10" s="40">
        <f t="shared" si="39"/>
        <v>1.4291473903448393</v>
      </c>
      <c r="AO10" s="35">
        <f t="shared" si="17"/>
        <v>3.650559861982508</v>
      </c>
    </row>
    <row r="11" spans="2:41" ht="12.75">
      <c r="B11" s="33">
        <f t="shared" si="18"/>
        <v>0.2619748870983756</v>
      </c>
      <c r="C11" s="34">
        <f t="shared" si="19"/>
        <v>0.3</v>
      </c>
      <c r="D11" s="40">
        <f t="shared" si="30"/>
        <v>1.6024210627688706</v>
      </c>
      <c r="E11" s="35">
        <f t="shared" si="20"/>
        <v>20.45503302265209</v>
      </c>
      <c r="F11" s="33">
        <f t="shared" si="21"/>
        <v>2.686728091034918</v>
      </c>
      <c r="G11" s="34">
        <f t="shared" si="0"/>
        <v>0.3</v>
      </c>
      <c r="H11" s="40">
        <f t="shared" si="31"/>
        <v>1.593515484220564</v>
      </c>
      <c r="I11" s="35">
        <f t="shared" si="1"/>
        <v>10.794416818607129</v>
      </c>
      <c r="J11" s="33">
        <f t="shared" si="22"/>
        <v>2.8888212096619066</v>
      </c>
      <c r="K11" s="34">
        <f t="shared" si="2"/>
        <v>0.3</v>
      </c>
      <c r="L11" s="40">
        <f t="shared" si="32"/>
        <v>1.593515484220564</v>
      </c>
      <c r="M11" s="35">
        <f t="shared" si="3"/>
        <v>8.531719914948159</v>
      </c>
      <c r="N11" s="33">
        <f t="shared" si="23"/>
        <v>5.060611962398789</v>
      </c>
      <c r="O11" s="34">
        <f t="shared" si="4"/>
        <v>0.3</v>
      </c>
      <c r="P11" s="40">
        <f t="shared" si="33"/>
        <v>1.593515484220564</v>
      </c>
      <c r="Q11" s="35">
        <f t="shared" si="5"/>
        <v>6.531604578726448</v>
      </c>
      <c r="R11" s="33">
        <f t="shared" si="24"/>
        <v>0.010860095885187493</v>
      </c>
      <c r="S11" s="34">
        <f t="shared" si="6"/>
        <v>0.3</v>
      </c>
      <c r="T11" s="40">
        <f t="shared" si="34"/>
        <v>1.0085280692287226</v>
      </c>
      <c r="U11" s="35">
        <f t="shared" si="7"/>
        <v>37.551924041233015</v>
      </c>
      <c r="V11" s="33">
        <f t="shared" si="25"/>
        <v>6.660242028381768</v>
      </c>
      <c r="W11" s="34">
        <f t="shared" si="8"/>
        <v>0.3</v>
      </c>
      <c r="X11" s="40">
        <f t="shared" si="35"/>
        <v>1.0085280692287226</v>
      </c>
      <c r="Y11" s="35">
        <f t="shared" si="9"/>
        <v>7.88589448638307</v>
      </c>
      <c r="Z11" s="33">
        <f t="shared" si="26"/>
        <v>7.133216515186563</v>
      </c>
      <c r="AA11" s="34">
        <f t="shared" si="10"/>
        <v>0.3</v>
      </c>
      <c r="AB11" s="40">
        <f t="shared" si="36"/>
        <v>1.125524009880694</v>
      </c>
      <c r="AC11" s="35">
        <f t="shared" si="11"/>
        <v>8.731722309124851</v>
      </c>
      <c r="AD11" s="33">
        <f t="shared" si="27"/>
        <v>13.048475833309155</v>
      </c>
      <c r="AE11" s="34">
        <f t="shared" si="12"/>
        <v>0.3</v>
      </c>
      <c r="AF11" s="40">
        <f t="shared" si="37"/>
        <v>1.125524009880694</v>
      </c>
      <c r="AG11" s="35">
        <f t="shared" si="13"/>
        <v>3.3199992659526476</v>
      </c>
      <c r="AH11" s="33">
        <f t="shared" si="28"/>
        <v>13.08384628424896</v>
      </c>
      <c r="AI11" s="34">
        <f t="shared" si="14"/>
        <v>0.3</v>
      </c>
      <c r="AJ11" s="40">
        <f t="shared" si="38"/>
        <v>1.5625944439184154</v>
      </c>
      <c r="AK11" s="35">
        <f t="shared" si="15"/>
        <v>14.189185812206695</v>
      </c>
      <c r="AL11" s="33">
        <f t="shared" si="29"/>
        <v>20.646843978230862</v>
      </c>
      <c r="AM11" s="34">
        <f t="shared" si="16"/>
        <v>0.3</v>
      </c>
      <c r="AN11" s="40">
        <f t="shared" si="39"/>
        <v>1.5625944439184154</v>
      </c>
      <c r="AO11" s="35">
        <f t="shared" si="17"/>
        <v>3.481566639003942</v>
      </c>
    </row>
    <row r="12" spans="2:41" ht="12.75">
      <c r="B12" s="33">
        <f t="shared" si="18"/>
        <v>0.2556373682814382</v>
      </c>
      <c r="C12" s="34">
        <f t="shared" si="19"/>
        <v>0.35</v>
      </c>
      <c r="D12" s="40">
        <f t="shared" si="30"/>
        <v>1.760888972876595</v>
      </c>
      <c r="E12" s="35">
        <f t="shared" si="20"/>
        <v>19.39548227571446</v>
      </c>
      <c r="F12" s="33">
        <f t="shared" si="21"/>
        <v>2.556738328429627</v>
      </c>
      <c r="G12" s="34">
        <f t="shared" si="0"/>
        <v>0.35</v>
      </c>
      <c r="H12" s="40">
        <f t="shared" si="31"/>
        <v>1.7491519777259985</v>
      </c>
      <c r="I12" s="35">
        <f t="shared" si="1"/>
        <v>10.365041216065329</v>
      </c>
      <c r="J12" s="33">
        <f t="shared" si="22"/>
        <v>2.74459696682778</v>
      </c>
      <c r="K12" s="34">
        <f t="shared" si="2"/>
        <v>0.35</v>
      </c>
      <c r="L12" s="40">
        <f t="shared" si="32"/>
        <v>1.7491519777259985</v>
      </c>
      <c r="M12" s="35">
        <f t="shared" si="3"/>
        <v>8.159450620262536</v>
      </c>
      <c r="N12" s="33">
        <f t="shared" si="23"/>
        <v>4.892936178354142</v>
      </c>
      <c r="O12" s="34">
        <f t="shared" si="4"/>
        <v>0.35</v>
      </c>
      <c r="P12" s="40">
        <f t="shared" si="33"/>
        <v>1.7491519777259985</v>
      </c>
      <c r="Q12" s="35">
        <f t="shared" si="5"/>
        <v>6.266164581986889</v>
      </c>
      <c r="R12" s="33">
        <f t="shared" si="24"/>
        <v>0.01010934797716319</v>
      </c>
      <c r="S12" s="34">
        <f t="shared" si="6"/>
        <v>0.35</v>
      </c>
      <c r="T12" s="40">
        <f t="shared" si="34"/>
        <v>1.0102423906587126</v>
      </c>
      <c r="U12" s="35">
        <f t="shared" si="7"/>
        <v>34.87194824558818</v>
      </c>
      <c r="V12" s="33">
        <f t="shared" si="25"/>
        <v>6.387163153482433</v>
      </c>
      <c r="W12" s="34">
        <f t="shared" si="8"/>
        <v>0.35</v>
      </c>
      <c r="X12" s="40">
        <f t="shared" si="35"/>
        <v>1.0102423906587126</v>
      </c>
      <c r="Y12" s="35">
        <f t="shared" si="9"/>
        <v>7.595210847780322</v>
      </c>
      <c r="Z12" s="33">
        <f t="shared" si="26"/>
        <v>6.841050054754694</v>
      </c>
      <c r="AA12" s="34">
        <f t="shared" si="10"/>
        <v>0.35</v>
      </c>
      <c r="AB12" s="40">
        <f t="shared" si="36"/>
        <v>1.1524596178426318</v>
      </c>
      <c r="AC12" s="35">
        <f t="shared" si="11"/>
        <v>8.286292062612393</v>
      </c>
      <c r="AD12" s="33">
        <f t="shared" si="27"/>
        <v>12.56718592589772</v>
      </c>
      <c r="AE12" s="34">
        <f t="shared" si="12"/>
        <v>0.35</v>
      </c>
      <c r="AF12" s="40">
        <f t="shared" si="37"/>
        <v>1.1524596178426318</v>
      </c>
      <c r="AG12" s="35">
        <f t="shared" si="13"/>
        <v>3.1281274529527616</v>
      </c>
      <c r="AH12" s="33">
        <f t="shared" si="28"/>
        <v>12.60081256310527</v>
      </c>
      <c r="AI12" s="34">
        <f t="shared" si="14"/>
        <v>0.35</v>
      </c>
      <c r="AJ12" s="40">
        <f t="shared" si="38"/>
        <v>1.708502154963557</v>
      </c>
      <c r="AK12" s="35">
        <f t="shared" si="15"/>
        <v>13.675649386950575</v>
      </c>
      <c r="AL12" s="33">
        <f t="shared" si="29"/>
        <v>19.830559872750815</v>
      </c>
      <c r="AM12" s="34">
        <f t="shared" si="16"/>
        <v>0.35</v>
      </c>
      <c r="AN12" s="40">
        <f t="shared" si="39"/>
        <v>1.708502154963557</v>
      </c>
      <c r="AO12" s="35">
        <f t="shared" si="17"/>
        <v>3.3125734160253764</v>
      </c>
    </row>
    <row r="13" spans="2:41" ht="12.75">
      <c r="B13" s="33">
        <f t="shared" si="18"/>
        <v>0.2492998494645008</v>
      </c>
      <c r="C13" s="34">
        <f t="shared" si="19"/>
        <v>0.39999999999999997</v>
      </c>
      <c r="D13" s="40">
        <f t="shared" si="30"/>
        <v>1.9350282187632675</v>
      </c>
      <c r="E13" s="35">
        <f t="shared" si="20"/>
        <v>18.335931528776833</v>
      </c>
      <c r="F13" s="33">
        <f t="shared" si="21"/>
        <v>2.4267485658243357</v>
      </c>
      <c r="G13" s="34">
        <f t="shared" si="0"/>
        <v>0.39999999999999997</v>
      </c>
      <c r="H13" s="40">
        <f t="shared" si="31"/>
        <v>1.9199892762129516</v>
      </c>
      <c r="I13" s="35">
        <f t="shared" si="1"/>
        <v>9.935665613523529</v>
      </c>
      <c r="J13" s="33">
        <f t="shared" si="22"/>
        <v>2.6003727239936536</v>
      </c>
      <c r="K13" s="34">
        <f t="shared" si="2"/>
        <v>0.39999999999999997</v>
      </c>
      <c r="L13" s="40">
        <f t="shared" si="32"/>
        <v>1.9199892762129516</v>
      </c>
      <c r="M13" s="35">
        <f t="shared" si="3"/>
        <v>7.7871813255769124</v>
      </c>
      <c r="N13" s="33">
        <f t="shared" si="23"/>
        <v>4.725260394309495</v>
      </c>
      <c r="O13" s="34">
        <f t="shared" si="4"/>
        <v>0.39999999999999997</v>
      </c>
      <c r="P13" s="40">
        <f t="shared" si="33"/>
        <v>1.9199892762129516</v>
      </c>
      <c r="Q13" s="35">
        <f t="shared" si="5"/>
        <v>6.00072458524733</v>
      </c>
      <c r="R13" s="33">
        <f t="shared" si="24"/>
        <v>0.009358600069138887</v>
      </c>
      <c r="S13" s="34">
        <f t="shared" si="6"/>
        <v>0.39999999999999997</v>
      </c>
      <c r="T13" s="40">
        <f t="shared" si="34"/>
        <v>1.0119596261354753</v>
      </c>
      <c r="U13" s="35">
        <f t="shared" si="7"/>
        <v>32.19197244994334</v>
      </c>
      <c r="V13" s="33">
        <f t="shared" si="25"/>
        <v>6.114084278583098</v>
      </c>
      <c r="W13" s="34">
        <f t="shared" si="8"/>
        <v>0.39999999999999997</v>
      </c>
      <c r="X13" s="40">
        <f t="shared" si="35"/>
        <v>1.0119596261354753</v>
      </c>
      <c r="Y13" s="35">
        <f t="shared" si="9"/>
        <v>7.304527209177574</v>
      </c>
      <c r="Z13" s="33">
        <f t="shared" si="26"/>
        <v>6.548883594322826</v>
      </c>
      <c r="AA13" s="34">
        <f t="shared" si="10"/>
        <v>0.39999999999999997</v>
      </c>
      <c r="AB13" s="40">
        <f t="shared" si="36"/>
        <v>1.1800398384204802</v>
      </c>
      <c r="AC13" s="35">
        <f t="shared" si="11"/>
        <v>7.840861816099935</v>
      </c>
      <c r="AD13" s="33">
        <f t="shared" si="27"/>
        <v>12.085896018486284</v>
      </c>
      <c r="AE13" s="34">
        <f t="shared" si="12"/>
        <v>0.39999999999999997</v>
      </c>
      <c r="AF13" s="40">
        <f t="shared" si="37"/>
        <v>1.1800398384204802</v>
      </c>
      <c r="AG13" s="35">
        <f t="shared" si="13"/>
        <v>2.9362556399528756</v>
      </c>
      <c r="AH13" s="33">
        <f t="shared" si="28"/>
        <v>12.11777884196158</v>
      </c>
      <c r="AI13" s="34">
        <f t="shared" si="14"/>
        <v>0.39999999999999997</v>
      </c>
      <c r="AJ13" s="40">
        <f t="shared" si="38"/>
        <v>1.868034040998754</v>
      </c>
      <c r="AK13" s="35">
        <f t="shared" si="15"/>
        <v>13.162112961694454</v>
      </c>
      <c r="AL13" s="33">
        <f t="shared" si="29"/>
        <v>19.014275767270767</v>
      </c>
      <c r="AM13" s="34">
        <f t="shared" si="16"/>
        <v>0.39999999999999997</v>
      </c>
      <c r="AN13" s="40">
        <f t="shared" si="39"/>
        <v>1.868034040998754</v>
      </c>
      <c r="AO13" s="35">
        <f t="shared" si="17"/>
        <v>3.1435801930468106</v>
      </c>
    </row>
    <row r="14" spans="2:41" ht="12.75">
      <c r="B14" s="33">
        <f t="shared" si="18"/>
        <v>0.2429623306475634</v>
      </c>
      <c r="C14" s="34">
        <f t="shared" si="19"/>
        <v>0.44999999999999996</v>
      </c>
      <c r="D14" s="40">
        <f t="shared" si="30"/>
        <v>2.126388582747148</v>
      </c>
      <c r="E14" s="35">
        <f t="shared" si="20"/>
        <v>17.276380781839205</v>
      </c>
      <c r="F14" s="33">
        <f t="shared" si="21"/>
        <v>2.2967588032190447</v>
      </c>
      <c r="G14" s="34">
        <f t="shared" si="0"/>
        <v>0.44999999999999996</v>
      </c>
      <c r="H14" s="40">
        <f t="shared" si="31"/>
        <v>2.10751202166276</v>
      </c>
      <c r="I14" s="35">
        <f t="shared" si="1"/>
        <v>9.50629001098173</v>
      </c>
      <c r="J14" s="33">
        <f t="shared" si="22"/>
        <v>2.456148481159527</v>
      </c>
      <c r="K14" s="34">
        <f t="shared" si="2"/>
        <v>0.44999999999999996</v>
      </c>
      <c r="L14" s="40">
        <f t="shared" si="32"/>
        <v>2.10751202166276</v>
      </c>
      <c r="M14" s="35">
        <f t="shared" si="3"/>
        <v>7.414912030891289</v>
      </c>
      <c r="N14" s="33">
        <f t="shared" si="23"/>
        <v>4.557584610264848</v>
      </c>
      <c r="O14" s="34">
        <f t="shared" si="4"/>
        <v>0.44999999999999996</v>
      </c>
      <c r="P14" s="40">
        <f t="shared" si="33"/>
        <v>2.10751202166276</v>
      </c>
      <c r="Q14" s="35">
        <f t="shared" si="5"/>
        <v>5.735284588507771</v>
      </c>
      <c r="R14" s="33">
        <f t="shared" si="24"/>
        <v>0.008607852161114584</v>
      </c>
      <c r="S14" s="34">
        <f t="shared" si="6"/>
        <v>0.44999999999999996</v>
      </c>
      <c r="T14" s="40">
        <f t="shared" si="34"/>
        <v>1.013679780612381</v>
      </c>
      <c r="U14" s="35">
        <f t="shared" si="7"/>
        <v>29.511996654298507</v>
      </c>
      <c r="V14" s="33">
        <f t="shared" si="25"/>
        <v>5.841005403683763</v>
      </c>
      <c r="W14" s="34">
        <f t="shared" si="8"/>
        <v>0.44999999999999996</v>
      </c>
      <c r="X14" s="40">
        <f t="shared" si="35"/>
        <v>1.013679780612381</v>
      </c>
      <c r="Y14" s="35">
        <f t="shared" si="9"/>
        <v>7.013843570574826</v>
      </c>
      <c r="Z14" s="33">
        <f t="shared" si="26"/>
        <v>6.256717133890957</v>
      </c>
      <c r="AA14" s="34">
        <f t="shared" si="10"/>
        <v>0.44999999999999996</v>
      </c>
      <c r="AB14" s="40">
        <f t="shared" si="36"/>
        <v>1.208280098235579</v>
      </c>
      <c r="AC14" s="35">
        <f t="shared" si="11"/>
        <v>7.395431569587476</v>
      </c>
      <c r="AD14" s="33">
        <f t="shared" si="27"/>
        <v>11.60460611107485</v>
      </c>
      <c r="AE14" s="34">
        <f t="shared" si="12"/>
        <v>0.44999999999999996</v>
      </c>
      <c r="AF14" s="40">
        <f t="shared" si="37"/>
        <v>1.208280098235579</v>
      </c>
      <c r="AG14" s="35">
        <f t="shared" si="13"/>
        <v>2.7443838269529897</v>
      </c>
      <c r="AH14" s="33">
        <f t="shared" si="28"/>
        <v>11.634745120817891</v>
      </c>
      <c r="AI14" s="34">
        <f t="shared" si="14"/>
        <v>0.44999999999999996</v>
      </c>
      <c r="AJ14" s="40">
        <f t="shared" si="38"/>
        <v>2.0424622633294645</v>
      </c>
      <c r="AK14" s="35">
        <f t="shared" si="15"/>
        <v>12.648576536438334</v>
      </c>
      <c r="AL14" s="33">
        <f t="shared" si="29"/>
        <v>18.19799166179072</v>
      </c>
      <c r="AM14" s="34">
        <f t="shared" si="16"/>
        <v>0.44999999999999996</v>
      </c>
      <c r="AN14" s="40">
        <f t="shared" si="39"/>
        <v>2.0424622633294645</v>
      </c>
      <c r="AO14" s="35">
        <f t="shared" si="17"/>
        <v>2.974586970068245</v>
      </c>
    </row>
    <row r="15" spans="2:41" ht="12.75">
      <c r="B15" s="33">
        <f t="shared" si="18"/>
        <v>0.236624811830626</v>
      </c>
      <c r="C15" s="34">
        <f t="shared" si="19"/>
        <v>0.49999999999999994</v>
      </c>
      <c r="D15" s="40">
        <f t="shared" si="30"/>
        <v>2.336673109463625</v>
      </c>
      <c r="E15" s="35">
        <f t="shared" si="20"/>
        <v>16.216830034901577</v>
      </c>
      <c r="F15" s="33">
        <f t="shared" si="21"/>
        <v>2.1667690406137536</v>
      </c>
      <c r="G15" s="34">
        <f t="shared" si="0"/>
        <v>0.49999999999999994</v>
      </c>
      <c r="H15" s="40">
        <f t="shared" si="31"/>
        <v>2.3133498590230777</v>
      </c>
      <c r="I15" s="35">
        <f t="shared" si="1"/>
        <v>9.07691440843993</v>
      </c>
      <c r="J15" s="33">
        <f t="shared" si="22"/>
        <v>2.3119242383254006</v>
      </c>
      <c r="K15" s="34">
        <f t="shared" si="2"/>
        <v>0.49999999999999994</v>
      </c>
      <c r="L15" s="40">
        <f t="shared" si="32"/>
        <v>2.3133498590230777</v>
      </c>
      <c r="M15" s="35">
        <f t="shared" si="3"/>
        <v>7.042642736205665</v>
      </c>
      <c r="N15" s="33">
        <f t="shared" si="23"/>
        <v>4.389908826220201</v>
      </c>
      <c r="O15" s="34">
        <f t="shared" si="4"/>
        <v>0.49999999999999994</v>
      </c>
      <c r="P15" s="40">
        <f t="shared" si="33"/>
        <v>2.3133498590230777</v>
      </c>
      <c r="Q15" s="35">
        <f t="shared" si="5"/>
        <v>5.4698445917682115</v>
      </c>
      <c r="R15" s="33">
        <f t="shared" si="24"/>
        <v>0.007857104253090282</v>
      </c>
      <c r="S15" s="34">
        <f t="shared" si="6"/>
        <v>0.49999999999999994</v>
      </c>
      <c r="T15" s="40">
        <f t="shared" si="34"/>
        <v>1.0154028590512194</v>
      </c>
      <c r="U15" s="35">
        <f t="shared" si="7"/>
        <v>26.83202085865367</v>
      </c>
      <c r="V15" s="33">
        <f t="shared" si="25"/>
        <v>5.567926528784428</v>
      </c>
      <c r="W15" s="34">
        <f t="shared" si="8"/>
        <v>0.49999999999999994</v>
      </c>
      <c r="X15" s="40">
        <f t="shared" si="35"/>
        <v>1.0154028590512194</v>
      </c>
      <c r="Y15" s="35">
        <f t="shared" si="9"/>
        <v>6.723159931972078</v>
      </c>
      <c r="Z15" s="33">
        <f t="shared" si="26"/>
        <v>5.9645506734590885</v>
      </c>
      <c r="AA15" s="34">
        <f t="shared" si="10"/>
        <v>0.49999999999999994</v>
      </c>
      <c r="AB15" s="40">
        <f t="shared" si="36"/>
        <v>1.2371961930932402</v>
      </c>
      <c r="AC15" s="35">
        <f t="shared" si="11"/>
        <v>6.950001323075018</v>
      </c>
      <c r="AD15" s="33">
        <f t="shared" si="27"/>
        <v>11.123316203663414</v>
      </c>
      <c r="AE15" s="34">
        <f t="shared" si="12"/>
        <v>0.49999999999999994</v>
      </c>
      <c r="AF15" s="40">
        <f t="shared" si="37"/>
        <v>1.2371961930932402</v>
      </c>
      <c r="AG15" s="35">
        <f t="shared" si="13"/>
        <v>2.5525120139531037</v>
      </c>
      <c r="AH15" s="33">
        <f t="shared" si="28"/>
        <v>11.151711399674202</v>
      </c>
      <c r="AI15" s="34">
        <f t="shared" si="14"/>
        <v>0.49999999999999994</v>
      </c>
      <c r="AJ15" s="40">
        <f t="shared" si="38"/>
        <v>2.2331777716933487</v>
      </c>
      <c r="AK15" s="35">
        <f t="shared" si="15"/>
        <v>12.135040111182214</v>
      </c>
      <c r="AL15" s="33">
        <f t="shared" si="29"/>
        <v>17.381707556310673</v>
      </c>
      <c r="AM15" s="34">
        <f t="shared" si="16"/>
        <v>0.49999999999999994</v>
      </c>
      <c r="AN15" s="40">
        <f t="shared" si="39"/>
        <v>2.2331777716933487</v>
      </c>
      <c r="AO15" s="35">
        <f t="shared" si="17"/>
        <v>2.805593747089679</v>
      </c>
    </row>
    <row r="16" spans="2:41" ht="12.75">
      <c r="B16" s="33">
        <f t="shared" si="18"/>
        <v>0.2302872930136886</v>
      </c>
      <c r="C16" s="34">
        <f t="shared" si="19"/>
        <v>0.5499999999999999</v>
      </c>
      <c r="D16" s="40">
        <f t="shared" si="30"/>
        <v>2.5677532624053168</v>
      </c>
      <c r="E16" s="35">
        <f t="shared" si="20"/>
        <v>15.15727928796395</v>
      </c>
      <c r="F16" s="33">
        <f t="shared" si="21"/>
        <v>2.0367792780084626</v>
      </c>
      <c r="G16" s="34">
        <f t="shared" si="0"/>
        <v>0.5499999999999999</v>
      </c>
      <c r="H16" s="40">
        <f t="shared" si="31"/>
        <v>2.539291598450699</v>
      </c>
      <c r="I16" s="35">
        <f t="shared" si="1"/>
        <v>8.64753880589813</v>
      </c>
      <c r="J16" s="33">
        <f t="shared" si="22"/>
        <v>2.167699995491274</v>
      </c>
      <c r="K16" s="34">
        <f t="shared" si="2"/>
        <v>0.5499999999999999</v>
      </c>
      <c r="L16" s="40">
        <f t="shared" si="32"/>
        <v>2.539291598450699</v>
      </c>
      <c r="M16" s="35">
        <f t="shared" si="3"/>
        <v>6.6703734415200415</v>
      </c>
      <c r="N16" s="33">
        <f t="shared" si="23"/>
        <v>4.222233042175554</v>
      </c>
      <c r="O16" s="34">
        <f t="shared" si="4"/>
        <v>0.5499999999999999</v>
      </c>
      <c r="P16" s="40">
        <f t="shared" si="33"/>
        <v>2.539291598450699</v>
      </c>
      <c r="Q16" s="35">
        <f t="shared" si="5"/>
        <v>5.204404595028652</v>
      </c>
      <c r="R16" s="33">
        <f t="shared" si="24"/>
        <v>0.007106356345065979</v>
      </c>
      <c r="S16" s="34">
        <f t="shared" si="6"/>
        <v>0.5499999999999999</v>
      </c>
      <c r="T16" s="40">
        <f t="shared" si="34"/>
        <v>1.017128866422215</v>
      </c>
      <c r="U16" s="35">
        <f t="shared" si="7"/>
        <v>24.152045063008835</v>
      </c>
      <c r="V16" s="33">
        <f t="shared" si="25"/>
        <v>5.294847653885093</v>
      </c>
      <c r="W16" s="34">
        <f t="shared" si="8"/>
        <v>0.5499999999999999</v>
      </c>
      <c r="X16" s="40">
        <f t="shared" si="35"/>
        <v>1.017128866422215</v>
      </c>
      <c r="Y16" s="35">
        <f t="shared" si="9"/>
        <v>6.43247629336933</v>
      </c>
      <c r="Z16" s="33">
        <f t="shared" si="26"/>
        <v>5.67238421302722</v>
      </c>
      <c r="AA16" s="34">
        <f t="shared" si="10"/>
        <v>0.5499999999999999</v>
      </c>
      <c r="AB16" s="40">
        <f t="shared" si="36"/>
        <v>1.266804296817917</v>
      </c>
      <c r="AC16" s="35">
        <f t="shared" si="11"/>
        <v>6.504571076562559</v>
      </c>
      <c r="AD16" s="33">
        <f t="shared" si="27"/>
        <v>10.642026296251979</v>
      </c>
      <c r="AE16" s="34">
        <f t="shared" si="12"/>
        <v>0.5499999999999999</v>
      </c>
      <c r="AF16" s="40">
        <f t="shared" si="37"/>
        <v>1.266804296817917</v>
      </c>
      <c r="AG16" s="35">
        <f t="shared" si="13"/>
        <v>2.3606402009532177</v>
      </c>
      <c r="AH16" s="33">
        <f t="shared" si="28"/>
        <v>10.668677678530512</v>
      </c>
      <c r="AI16" s="34">
        <f t="shared" si="14"/>
        <v>0.5499999999999999</v>
      </c>
      <c r="AJ16" s="40">
        <f t="shared" si="38"/>
        <v>2.4417013961647016</v>
      </c>
      <c r="AK16" s="35">
        <f t="shared" si="15"/>
        <v>11.621503685926093</v>
      </c>
      <c r="AL16" s="33">
        <f t="shared" si="29"/>
        <v>16.565423450830625</v>
      </c>
      <c r="AM16" s="34">
        <f t="shared" si="16"/>
        <v>0.5499999999999999</v>
      </c>
      <c r="AN16" s="40">
        <f t="shared" si="39"/>
        <v>2.4417013961647016</v>
      </c>
      <c r="AO16" s="35">
        <f t="shared" si="17"/>
        <v>2.6366005241111132</v>
      </c>
    </row>
    <row r="17" spans="2:41" ht="12.75">
      <c r="B17" s="33">
        <f t="shared" si="18"/>
        <v>0.22394977419675122</v>
      </c>
      <c r="C17" s="34">
        <f t="shared" si="19"/>
        <v>0.6</v>
      </c>
      <c r="D17" s="40">
        <f t="shared" si="30"/>
        <v>2.8216855793348983</v>
      </c>
      <c r="E17" s="35">
        <f t="shared" si="20"/>
        <v>14.097728541026324</v>
      </c>
      <c r="F17" s="33">
        <f t="shared" si="21"/>
        <v>1.9067895154031715</v>
      </c>
      <c r="G17" s="34">
        <f t="shared" si="0"/>
        <v>0.6</v>
      </c>
      <c r="H17" s="40">
        <f t="shared" si="31"/>
        <v>2.787300760761402</v>
      </c>
      <c r="I17" s="35">
        <f t="shared" si="1"/>
        <v>8.21816320335633</v>
      </c>
      <c r="J17" s="33">
        <f t="shared" si="22"/>
        <v>2.0234757526571476</v>
      </c>
      <c r="K17" s="34">
        <f t="shared" si="2"/>
        <v>0.6</v>
      </c>
      <c r="L17" s="40">
        <f t="shared" si="32"/>
        <v>2.787300760761402</v>
      </c>
      <c r="M17" s="35">
        <f t="shared" si="3"/>
        <v>6.298104146834418</v>
      </c>
      <c r="N17" s="33">
        <f t="shared" si="23"/>
        <v>4.054557258130907</v>
      </c>
      <c r="O17" s="34">
        <f t="shared" si="4"/>
        <v>0.6</v>
      </c>
      <c r="P17" s="40">
        <f t="shared" si="33"/>
        <v>2.787300760761402</v>
      </c>
      <c r="Q17" s="35">
        <f t="shared" si="5"/>
        <v>4.938964598289093</v>
      </c>
      <c r="R17" s="33">
        <f t="shared" si="24"/>
        <v>0.006355608437041676</v>
      </c>
      <c r="S17" s="34">
        <f t="shared" si="6"/>
        <v>0.6</v>
      </c>
      <c r="T17" s="40">
        <f t="shared" si="34"/>
        <v>1.0188578077040402</v>
      </c>
      <c r="U17" s="35">
        <f t="shared" si="7"/>
        <v>21.472069267364</v>
      </c>
      <c r="V17" s="33">
        <f t="shared" si="25"/>
        <v>5.0217687789857575</v>
      </c>
      <c r="W17" s="34">
        <f t="shared" si="8"/>
        <v>0.6</v>
      </c>
      <c r="X17" s="40">
        <f t="shared" si="35"/>
        <v>1.0188578077040402</v>
      </c>
      <c r="Y17" s="35">
        <f t="shared" si="9"/>
        <v>6.141792654766582</v>
      </c>
      <c r="Z17" s="33">
        <f t="shared" si="26"/>
        <v>5.380217752595351</v>
      </c>
      <c r="AA17" s="34">
        <f t="shared" si="10"/>
        <v>0.6</v>
      </c>
      <c r="AB17" s="40">
        <f t="shared" si="36"/>
        <v>1.2971209702998117</v>
      </c>
      <c r="AC17" s="35">
        <f t="shared" si="11"/>
        <v>6.059140830050101</v>
      </c>
      <c r="AD17" s="33">
        <f t="shared" si="27"/>
        <v>10.160736388840544</v>
      </c>
      <c r="AE17" s="34">
        <f t="shared" si="12"/>
        <v>0.6</v>
      </c>
      <c r="AF17" s="40">
        <f t="shared" si="37"/>
        <v>1.2971209702998117</v>
      </c>
      <c r="AG17" s="35">
        <f t="shared" si="13"/>
        <v>2.1687683879533317</v>
      </c>
      <c r="AH17" s="33">
        <f t="shared" si="28"/>
        <v>10.185643957386823</v>
      </c>
      <c r="AI17" s="34">
        <f t="shared" si="14"/>
        <v>0.6</v>
      </c>
      <c r="AJ17" s="40">
        <f t="shared" si="38"/>
        <v>2.6696959747686937</v>
      </c>
      <c r="AK17" s="35">
        <f t="shared" si="15"/>
        <v>11.107967260669973</v>
      </c>
      <c r="AL17" s="33">
        <f t="shared" si="29"/>
        <v>15.749139345350578</v>
      </c>
      <c r="AM17" s="34">
        <f t="shared" si="16"/>
        <v>0.6</v>
      </c>
      <c r="AN17" s="40">
        <f t="shared" si="39"/>
        <v>2.6696959747686937</v>
      </c>
      <c r="AO17" s="35">
        <f t="shared" si="17"/>
        <v>2.4676073011325474</v>
      </c>
    </row>
    <row r="18" spans="2:41" ht="12.75">
      <c r="B18" s="33">
        <f t="shared" si="18"/>
        <v>0.21761225537981382</v>
      </c>
      <c r="C18" s="34">
        <f t="shared" si="19"/>
        <v>0.65</v>
      </c>
      <c r="D18" s="40">
        <f t="shared" si="30"/>
        <v>3.10072997479839</v>
      </c>
      <c r="E18" s="35">
        <f t="shared" si="20"/>
        <v>13.038177794088698</v>
      </c>
      <c r="F18" s="33">
        <f t="shared" si="21"/>
        <v>1.7767997527978805</v>
      </c>
      <c r="G18" s="34">
        <f t="shared" si="0"/>
        <v>0.65</v>
      </c>
      <c r="H18" s="40">
        <f t="shared" si="31"/>
        <v>3.059532641182772</v>
      </c>
      <c r="I18" s="35">
        <f t="shared" si="1"/>
        <v>7.78878760081453</v>
      </c>
      <c r="J18" s="33">
        <f t="shared" si="22"/>
        <v>1.8792515098230211</v>
      </c>
      <c r="K18" s="34">
        <f t="shared" si="2"/>
        <v>0.65</v>
      </c>
      <c r="L18" s="40">
        <f t="shared" si="32"/>
        <v>3.059532641182772</v>
      </c>
      <c r="M18" s="35">
        <f t="shared" si="3"/>
        <v>5.925834852148794</v>
      </c>
      <c r="N18" s="33">
        <f t="shared" si="23"/>
        <v>3.88688147408626</v>
      </c>
      <c r="O18" s="34">
        <f t="shared" si="4"/>
        <v>0.65</v>
      </c>
      <c r="P18" s="40">
        <f t="shared" si="33"/>
        <v>3.059532641182772</v>
      </c>
      <c r="Q18" s="35">
        <f t="shared" si="5"/>
        <v>4.673524601549534</v>
      </c>
      <c r="R18" s="33">
        <f t="shared" si="24"/>
        <v>0.005604860529017373</v>
      </c>
      <c r="S18" s="34">
        <f t="shared" si="6"/>
        <v>0.65</v>
      </c>
      <c r="T18" s="40">
        <f t="shared" si="34"/>
        <v>1.0205896878838308</v>
      </c>
      <c r="U18" s="35">
        <f t="shared" si="7"/>
        <v>18.792093471719163</v>
      </c>
      <c r="V18" s="33">
        <f t="shared" si="25"/>
        <v>4.748689904086422</v>
      </c>
      <c r="W18" s="34">
        <f t="shared" si="8"/>
        <v>0.65</v>
      </c>
      <c r="X18" s="40">
        <f t="shared" si="35"/>
        <v>1.0205896878838308</v>
      </c>
      <c r="Y18" s="35">
        <f t="shared" si="9"/>
        <v>5.851109016163834</v>
      </c>
      <c r="Z18" s="33">
        <f t="shared" si="26"/>
        <v>5.088051292163483</v>
      </c>
      <c r="AA18" s="34">
        <f t="shared" si="10"/>
        <v>0.65</v>
      </c>
      <c r="AB18" s="40">
        <f t="shared" si="36"/>
        <v>1.3281631707579855</v>
      </c>
      <c r="AC18" s="35">
        <f t="shared" si="11"/>
        <v>5.613710583537642</v>
      </c>
      <c r="AD18" s="33">
        <f t="shared" si="27"/>
        <v>9.679446481429109</v>
      </c>
      <c r="AE18" s="34">
        <f t="shared" si="12"/>
        <v>0.65</v>
      </c>
      <c r="AF18" s="40">
        <f t="shared" si="37"/>
        <v>1.3281631707579855</v>
      </c>
      <c r="AG18" s="35">
        <f t="shared" si="13"/>
        <v>1.9768965749534457</v>
      </c>
      <c r="AH18" s="33">
        <f t="shared" si="28"/>
        <v>9.702610236243133</v>
      </c>
      <c r="AI18" s="34">
        <f t="shared" si="14"/>
        <v>0.65</v>
      </c>
      <c r="AJ18" s="40">
        <f t="shared" si="38"/>
        <v>2.918979613515118</v>
      </c>
      <c r="AK18" s="35">
        <f t="shared" si="15"/>
        <v>10.594430835413853</v>
      </c>
      <c r="AL18" s="33">
        <f t="shared" si="29"/>
        <v>14.93285523987053</v>
      </c>
      <c r="AM18" s="34">
        <f t="shared" si="16"/>
        <v>0.65</v>
      </c>
      <c r="AN18" s="40">
        <f t="shared" si="39"/>
        <v>2.918979613515118</v>
      </c>
      <c r="AO18" s="35">
        <f t="shared" si="17"/>
        <v>2.2986140781539817</v>
      </c>
    </row>
    <row r="19" spans="2:41" ht="12.75">
      <c r="B19" s="33">
        <f t="shared" si="18"/>
        <v>0.21127473656287643</v>
      </c>
      <c r="C19" s="34">
        <f t="shared" si="19"/>
        <v>0.7000000000000001</v>
      </c>
      <c r="D19" s="40">
        <f t="shared" si="30"/>
        <v>3.4073698526252776</v>
      </c>
      <c r="E19" s="35">
        <f t="shared" si="20"/>
        <v>11.978627047151072</v>
      </c>
      <c r="F19" s="33">
        <f t="shared" si="21"/>
        <v>1.6468099901925894</v>
      </c>
      <c r="G19" s="34">
        <f t="shared" si="0"/>
        <v>0.7000000000000001</v>
      </c>
      <c r="H19" s="40">
        <f t="shared" si="31"/>
        <v>3.3583530397005927</v>
      </c>
      <c r="I19" s="35">
        <f t="shared" si="1"/>
        <v>7.35941199827273</v>
      </c>
      <c r="J19" s="33">
        <f t="shared" si="22"/>
        <v>1.7350272669888946</v>
      </c>
      <c r="K19" s="34">
        <f t="shared" si="2"/>
        <v>0.7000000000000001</v>
      </c>
      <c r="L19" s="40">
        <f t="shared" si="32"/>
        <v>3.3583530397005927</v>
      </c>
      <c r="M19" s="35">
        <f t="shared" si="3"/>
        <v>5.553565557463171</v>
      </c>
      <c r="N19" s="33">
        <f t="shared" si="23"/>
        <v>3.719205690041613</v>
      </c>
      <c r="O19" s="34">
        <f t="shared" si="4"/>
        <v>0.7000000000000001</v>
      </c>
      <c r="P19" s="40">
        <f t="shared" si="33"/>
        <v>3.3583530397005927</v>
      </c>
      <c r="Q19" s="35">
        <f t="shared" si="5"/>
        <v>4.408084604809975</v>
      </c>
      <c r="R19" s="33">
        <f t="shared" si="24"/>
        <v>0.00485411262099307</v>
      </c>
      <c r="S19" s="34">
        <f t="shared" si="6"/>
        <v>0.7000000000000001</v>
      </c>
      <c r="T19" s="40">
        <f t="shared" si="34"/>
        <v>1.0223245119571995</v>
      </c>
      <c r="U19" s="35">
        <f t="shared" si="7"/>
        <v>16.112117676074327</v>
      </c>
      <c r="V19" s="33">
        <f t="shared" si="25"/>
        <v>4.475611029187087</v>
      </c>
      <c r="W19" s="34">
        <f t="shared" si="8"/>
        <v>0.7000000000000001</v>
      </c>
      <c r="X19" s="40">
        <f t="shared" si="35"/>
        <v>1.0223245119571995</v>
      </c>
      <c r="Y19" s="35">
        <f t="shared" si="9"/>
        <v>5.560425377561086</v>
      </c>
      <c r="Z19" s="33">
        <f t="shared" si="26"/>
        <v>4.795884831731614</v>
      </c>
      <c r="AA19" s="34">
        <f t="shared" si="10"/>
        <v>0.7000000000000001</v>
      </c>
      <c r="AB19" s="40">
        <f t="shared" si="36"/>
        <v>1.3599482612251481</v>
      </c>
      <c r="AC19" s="35">
        <f t="shared" si="11"/>
        <v>5.168280337025184</v>
      </c>
      <c r="AD19" s="33">
        <f t="shared" si="27"/>
        <v>9.198156574017673</v>
      </c>
      <c r="AE19" s="34">
        <f t="shared" si="12"/>
        <v>0.7000000000000001</v>
      </c>
      <c r="AF19" s="40">
        <f t="shared" si="37"/>
        <v>1.3599482612251481</v>
      </c>
      <c r="AG19" s="35">
        <f t="shared" si="13"/>
        <v>1.7850247619535597</v>
      </c>
      <c r="AH19" s="33">
        <f t="shared" si="28"/>
        <v>9.219576515099444</v>
      </c>
      <c r="AI19" s="34">
        <f t="shared" si="14"/>
        <v>0.7000000000000001</v>
      </c>
      <c r="AJ19" s="40">
        <f t="shared" si="38"/>
        <v>3.1915401845916525</v>
      </c>
      <c r="AK19" s="35">
        <f t="shared" si="15"/>
        <v>10.080894410157732</v>
      </c>
      <c r="AL19" s="33">
        <f t="shared" si="29"/>
        <v>14.116571134390483</v>
      </c>
      <c r="AM19" s="34">
        <f t="shared" si="16"/>
        <v>0.7000000000000001</v>
      </c>
      <c r="AN19" s="40">
        <f t="shared" si="39"/>
        <v>3.1915401845916525</v>
      </c>
      <c r="AO19" s="35">
        <f t="shared" si="17"/>
        <v>2.129620855175416</v>
      </c>
    </row>
    <row r="20" spans="2:41" ht="12.75">
      <c r="B20" s="33">
        <f t="shared" si="18"/>
        <v>0.20493721774593904</v>
      </c>
      <c r="C20" s="34">
        <f t="shared" si="19"/>
        <v>0.7500000000000001</v>
      </c>
      <c r="D20" s="40">
        <f t="shared" si="30"/>
        <v>3.744334207410144</v>
      </c>
      <c r="E20" s="35">
        <f t="shared" si="20"/>
        <v>10.919076300213446</v>
      </c>
      <c r="F20" s="33">
        <f t="shared" si="21"/>
        <v>1.5168202275872984</v>
      </c>
      <c r="G20" s="34">
        <f t="shared" si="0"/>
        <v>0.7500000000000001</v>
      </c>
      <c r="H20" s="40">
        <f t="shared" si="31"/>
        <v>3.6863588207727336</v>
      </c>
      <c r="I20" s="35">
        <f t="shared" si="1"/>
        <v>6.93003639573093</v>
      </c>
      <c r="J20" s="33">
        <f t="shared" si="22"/>
        <v>1.5908030241547682</v>
      </c>
      <c r="K20" s="34">
        <f t="shared" si="2"/>
        <v>0.7500000000000001</v>
      </c>
      <c r="L20" s="40">
        <f t="shared" si="32"/>
        <v>3.6863588207727336</v>
      </c>
      <c r="M20" s="35">
        <f t="shared" si="3"/>
        <v>5.181296262777547</v>
      </c>
      <c r="N20" s="33">
        <f t="shared" si="23"/>
        <v>3.551529905996966</v>
      </c>
      <c r="O20" s="34">
        <f t="shared" si="4"/>
        <v>0.7500000000000001</v>
      </c>
      <c r="P20" s="40">
        <f t="shared" si="33"/>
        <v>3.6863588207727336</v>
      </c>
      <c r="Q20" s="35">
        <f t="shared" si="5"/>
        <v>4.142644608070416</v>
      </c>
      <c r="R20" s="33">
        <f t="shared" si="24"/>
        <v>0.004103364712968767</v>
      </c>
      <c r="S20" s="34">
        <f t="shared" si="6"/>
        <v>0.7500000000000001</v>
      </c>
      <c r="T20" s="40">
        <f t="shared" si="34"/>
        <v>1.024062284928251</v>
      </c>
      <c r="U20" s="35">
        <f t="shared" si="7"/>
        <v>13.43214188042949</v>
      </c>
      <c r="V20" s="33">
        <f t="shared" si="25"/>
        <v>4.202532154287752</v>
      </c>
      <c r="W20" s="34">
        <f t="shared" si="8"/>
        <v>0.7500000000000001</v>
      </c>
      <c r="X20" s="40">
        <f t="shared" si="35"/>
        <v>1.024062284928251</v>
      </c>
      <c r="Y20" s="35">
        <f t="shared" si="9"/>
        <v>5.269741738958338</v>
      </c>
      <c r="Z20" s="33">
        <f t="shared" si="26"/>
        <v>4.503718371299746</v>
      </c>
      <c r="AA20" s="34">
        <f t="shared" si="10"/>
        <v>0.7500000000000001</v>
      </c>
      <c r="AB20" s="40">
        <f t="shared" si="36"/>
        <v>1.3924940202594336</v>
      </c>
      <c r="AC20" s="35">
        <f t="shared" si="11"/>
        <v>4.7228500905127255</v>
      </c>
      <c r="AD20" s="33">
        <f t="shared" si="27"/>
        <v>8.716866666606238</v>
      </c>
      <c r="AE20" s="34">
        <f t="shared" si="12"/>
        <v>0.7500000000000001</v>
      </c>
      <c r="AF20" s="40">
        <f t="shared" si="37"/>
        <v>1.3924940202594336</v>
      </c>
      <c r="AG20" s="35">
        <f t="shared" si="13"/>
        <v>1.5931529489536738</v>
      </c>
      <c r="AH20" s="33">
        <f t="shared" si="28"/>
        <v>8.736542793955755</v>
      </c>
      <c r="AI20" s="34">
        <f t="shared" si="14"/>
        <v>0.7500000000000001</v>
      </c>
      <c r="AJ20" s="40">
        <f t="shared" si="38"/>
        <v>3.489551178330134</v>
      </c>
      <c r="AK20" s="35">
        <f t="shared" si="15"/>
        <v>9.567357984901612</v>
      </c>
      <c r="AL20" s="33">
        <f t="shared" si="29"/>
        <v>13.300287028910436</v>
      </c>
      <c r="AM20" s="34">
        <f t="shared" si="16"/>
        <v>0.7500000000000001</v>
      </c>
      <c r="AN20" s="40">
        <f t="shared" si="39"/>
        <v>3.489551178330134</v>
      </c>
      <c r="AO20" s="35">
        <f t="shared" si="17"/>
        <v>1.9606276321968503</v>
      </c>
    </row>
    <row r="21" spans="2:41" ht="12.75">
      <c r="B21" s="33">
        <f t="shared" si="18"/>
        <v>0.19859969892900164</v>
      </c>
      <c r="C21" s="34">
        <f t="shared" si="19"/>
        <v>0.8000000000000002</v>
      </c>
      <c r="D21" s="40">
        <f t="shared" si="30"/>
        <v>4.114621911671763</v>
      </c>
      <c r="E21" s="35">
        <f t="shared" si="20"/>
        <v>9.85952555327582</v>
      </c>
      <c r="F21" s="33">
        <f t="shared" si="21"/>
        <v>1.3868304649820073</v>
      </c>
      <c r="G21" s="34">
        <f t="shared" si="0"/>
        <v>0.8000000000000002</v>
      </c>
      <c r="H21" s="40">
        <f t="shared" si="31"/>
        <v>4.046400481082376</v>
      </c>
      <c r="I21" s="35">
        <f t="shared" si="1"/>
        <v>6.50066079318913</v>
      </c>
      <c r="J21" s="33">
        <f t="shared" si="22"/>
        <v>1.4465787813206417</v>
      </c>
      <c r="K21" s="34">
        <f t="shared" si="2"/>
        <v>0.8000000000000002</v>
      </c>
      <c r="L21" s="40">
        <f t="shared" si="32"/>
        <v>4.046400481082376</v>
      </c>
      <c r="M21" s="35">
        <f t="shared" si="3"/>
        <v>4.809026968091923</v>
      </c>
      <c r="N21" s="33">
        <f t="shared" si="23"/>
        <v>3.383854121952319</v>
      </c>
      <c r="O21" s="34">
        <f t="shared" si="4"/>
        <v>0.8000000000000002</v>
      </c>
      <c r="P21" s="40">
        <f t="shared" si="33"/>
        <v>4.046400481082376</v>
      </c>
      <c r="Q21" s="35">
        <f t="shared" si="5"/>
        <v>3.877204611330857</v>
      </c>
      <c r="R21" s="33">
        <f t="shared" si="24"/>
        <v>0.003352616804944464</v>
      </c>
      <c r="S21" s="34">
        <f t="shared" si="6"/>
        <v>0.8000000000000002</v>
      </c>
      <c r="T21" s="40">
        <f t="shared" si="34"/>
        <v>1.0258030118095958</v>
      </c>
      <c r="U21" s="35">
        <f t="shared" si="7"/>
        <v>10.752166084784655</v>
      </c>
      <c r="V21" s="33">
        <f t="shared" si="25"/>
        <v>3.929453279388417</v>
      </c>
      <c r="W21" s="34">
        <f t="shared" si="8"/>
        <v>0.8000000000000002</v>
      </c>
      <c r="X21" s="40">
        <f t="shared" si="35"/>
        <v>1.0258030118095958</v>
      </c>
      <c r="Y21" s="35">
        <f t="shared" si="9"/>
        <v>4.97905810035559</v>
      </c>
      <c r="Z21" s="33">
        <f t="shared" si="26"/>
        <v>4.211551910867877</v>
      </c>
      <c r="AA21" s="34">
        <f t="shared" si="10"/>
        <v>0.8000000000000002</v>
      </c>
      <c r="AB21" s="40">
        <f t="shared" si="36"/>
        <v>1.4258186518885951</v>
      </c>
      <c r="AC21" s="35">
        <f t="shared" si="11"/>
        <v>4.277419844000267</v>
      </c>
      <c r="AD21" s="33">
        <f t="shared" si="27"/>
        <v>8.235576759194803</v>
      </c>
      <c r="AE21" s="34">
        <f t="shared" si="12"/>
        <v>0.8000000000000002</v>
      </c>
      <c r="AF21" s="40">
        <f t="shared" si="37"/>
        <v>1.4258186518885951</v>
      </c>
      <c r="AG21" s="35">
        <f t="shared" si="13"/>
        <v>1.4012811359537878</v>
      </c>
      <c r="AH21" s="33">
        <f t="shared" si="28"/>
        <v>8.253509072812065</v>
      </c>
      <c r="AI21" s="34">
        <f t="shared" si="14"/>
        <v>0.8000000000000002</v>
      </c>
      <c r="AJ21" s="40">
        <f t="shared" si="38"/>
        <v>3.8153890353548</v>
      </c>
      <c r="AK21" s="35">
        <f t="shared" si="15"/>
        <v>9.053821559645492</v>
      </c>
      <c r="AL21" s="33">
        <f t="shared" si="29"/>
        <v>12.484002923430388</v>
      </c>
      <c r="AM21" s="34">
        <f t="shared" si="16"/>
        <v>0.8000000000000002</v>
      </c>
      <c r="AN21" s="40">
        <f t="shared" si="39"/>
        <v>3.8153890353548</v>
      </c>
      <c r="AO21" s="35">
        <f t="shared" si="17"/>
        <v>1.7916344092182848</v>
      </c>
    </row>
    <row r="22" spans="2:41" ht="12.75">
      <c r="B22" s="33">
        <f t="shared" si="18"/>
        <v>0.19226218011206425</v>
      </c>
      <c r="C22" s="34">
        <f t="shared" si="19"/>
        <v>0.8500000000000002</v>
      </c>
      <c r="D22" s="40">
        <f t="shared" si="30"/>
        <v>4.521528404837424</v>
      </c>
      <c r="E22" s="35">
        <f t="shared" si="20"/>
        <v>8.799974806338193</v>
      </c>
      <c r="F22" s="33">
        <f t="shared" si="21"/>
        <v>1.2568407023767163</v>
      </c>
      <c r="G22" s="34">
        <f t="shared" si="0"/>
        <v>0.8500000000000002</v>
      </c>
      <c r="H22" s="40">
        <f t="shared" si="31"/>
        <v>4.441606921453052</v>
      </c>
      <c r="I22" s="35">
        <f t="shared" si="1"/>
        <v>6.07128519064733</v>
      </c>
      <c r="J22" s="33">
        <f t="shared" si="22"/>
        <v>1.3023545384865152</v>
      </c>
      <c r="K22" s="34">
        <f t="shared" si="2"/>
        <v>0.8500000000000002</v>
      </c>
      <c r="L22" s="40">
        <f t="shared" si="32"/>
        <v>4.441606921453052</v>
      </c>
      <c r="M22" s="35">
        <f t="shared" si="3"/>
        <v>4.4367576734063</v>
      </c>
      <c r="N22" s="33">
        <f t="shared" si="23"/>
        <v>3.216178337907672</v>
      </c>
      <c r="O22" s="34">
        <f t="shared" si="4"/>
        <v>0.8500000000000002</v>
      </c>
      <c r="P22" s="40">
        <f t="shared" si="33"/>
        <v>4.441606921453052</v>
      </c>
      <c r="Q22" s="35">
        <f t="shared" si="5"/>
        <v>3.611764614591298</v>
      </c>
      <c r="R22" s="33">
        <f t="shared" si="24"/>
        <v>0.0026018688969201608</v>
      </c>
      <c r="S22" s="34">
        <f t="shared" si="6"/>
        <v>0.8500000000000002</v>
      </c>
      <c r="T22" s="40">
        <f t="shared" si="34"/>
        <v>1.0275466976223648</v>
      </c>
      <c r="U22" s="35">
        <f t="shared" si="7"/>
        <v>8.072190289139819</v>
      </c>
      <c r="V22" s="33">
        <f t="shared" si="25"/>
        <v>3.656374404489082</v>
      </c>
      <c r="W22" s="34">
        <f t="shared" si="8"/>
        <v>0.8500000000000002</v>
      </c>
      <c r="X22" s="40">
        <f t="shared" si="35"/>
        <v>1.0275466976223648</v>
      </c>
      <c r="Y22" s="35">
        <f t="shared" si="9"/>
        <v>4.688374461752842</v>
      </c>
      <c r="Z22" s="33">
        <f t="shared" si="26"/>
        <v>3.919385450436009</v>
      </c>
      <c r="AA22" s="34">
        <f t="shared" si="10"/>
        <v>0.8500000000000002</v>
      </c>
      <c r="AB22" s="40">
        <f t="shared" si="36"/>
        <v>1.459940795792181</v>
      </c>
      <c r="AC22" s="35">
        <f t="shared" si="11"/>
        <v>3.8319895974878087</v>
      </c>
      <c r="AD22" s="33">
        <f t="shared" si="27"/>
        <v>7.754286851783368</v>
      </c>
      <c r="AE22" s="34">
        <f t="shared" si="12"/>
        <v>0.8500000000000002</v>
      </c>
      <c r="AF22" s="40">
        <f t="shared" si="37"/>
        <v>1.459940795792181</v>
      </c>
      <c r="AG22" s="35">
        <f t="shared" si="13"/>
        <v>1.2094093229539018</v>
      </c>
      <c r="AH22" s="33">
        <f t="shared" si="28"/>
        <v>7.770475351668375</v>
      </c>
      <c r="AI22" s="34">
        <f t="shared" si="14"/>
        <v>0.8500000000000002</v>
      </c>
      <c r="AJ22" s="40">
        <f t="shared" si="38"/>
        <v>4.171652097124919</v>
      </c>
      <c r="AK22" s="35">
        <f t="shared" si="15"/>
        <v>8.540285134389372</v>
      </c>
      <c r="AL22" s="33">
        <f t="shared" si="29"/>
        <v>11.667718817950341</v>
      </c>
      <c r="AM22" s="34">
        <f t="shared" si="16"/>
        <v>0.8500000000000002</v>
      </c>
      <c r="AN22" s="40">
        <f t="shared" si="39"/>
        <v>4.171652097124919</v>
      </c>
      <c r="AO22" s="35">
        <f t="shared" si="17"/>
        <v>1.6226411862397192</v>
      </c>
    </row>
    <row r="23" spans="2:41" ht="12.75">
      <c r="B23" s="33">
        <f t="shared" si="18"/>
        <v>0.18592466129512686</v>
      </c>
      <c r="C23" s="34">
        <f t="shared" si="19"/>
        <v>0.9000000000000002</v>
      </c>
      <c r="D23" s="40">
        <f t="shared" si="30"/>
        <v>4.968675021575729</v>
      </c>
      <c r="E23" s="35">
        <f t="shared" si="20"/>
        <v>7.740424059400567</v>
      </c>
      <c r="F23" s="33">
        <f t="shared" si="21"/>
        <v>1.1268509397714253</v>
      </c>
      <c r="G23" s="34">
        <f t="shared" si="0"/>
        <v>0.9000000000000002</v>
      </c>
      <c r="H23" s="40">
        <f t="shared" si="31"/>
        <v>4.875412638202985</v>
      </c>
      <c r="I23" s="35">
        <f t="shared" si="1"/>
        <v>5.641909588105531</v>
      </c>
      <c r="J23" s="33">
        <f t="shared" si="22"/>
        <v>1.1581302956523887</v>
      </c>
      <c r="K23" s="34">
        <f t="shared" si="2"/>
        <v>0.9000000000000002</v>
      </c>
      <c r="L23" s="40">
        <f t="shared" si="32"/>
        <v>4.875412638202985</v>
      </c>
      <c r="M23" s="35">
        <f t="shared" si="3"/>
        <v>4.064488378720676</v>
      </c>
      <c r="N23" s="33">
        <f t="shared" si="23"/>
        <v>3.048502553863025</v>
      </c>
      <c r="O23" s="34">
        <f t="shared" si="4"/>
        <v>0.9000000000000002</v>
      </c>
      <c r="P23" s="40">
        <f t="shared" si="33"/>
        <v>4.875412638202985</v>
      </c>
      <c r="Q23" s="35">
        <f t="shared" si="5"/>
        <v>3.3463246178517387</v>
      </c>
      <c r="R23" s="33">
        <f t="shared" si="24"/>
        <v>0.0018511209888958575</v>
      </c>
      <c r="S23" s="34">
        <f t="shared" si="6"/>
        <v>0.9000000000000002</v>
      </c>
      <c r="T23" s="40">
        <f t="shared" si="34"/>
        <v>1.0292933473962245</v>
      </c>
      <c r="U23" s="35">
        <f t="shared" si="7"/>
        <v>5.392214493494984</v>
      </c>
      <c r="V23" s="33">
        <f t="shared" si="25"/>
        <v>3.3832955295897467</v>
      </c>
      <c r="W23" s="34">
        <f t="shared" si="8"/>
        <v>0.9000000000000002</v>
      </c>
      <c r="X23" s="40">
        <f t="shared" si="35"/>
        <v>1.0292933473962245</v>
      </c>
      <c r="Y23" s="35">
        <f t="shared" si="9"/>
        <v>4.397690823150094</v>
      </c>
      <c r="Z23" s="33">
        <f t="shared" si="26"/>
        <v>3.627218990004141</v>
      </c>
      <c r="AA23" s="34">
        <f t="shared" si="10"/>
        <v>0.9000000000000002</v>
      </c>
      <c r="AB23" s="40">
        <f t="shared" si="36"/>
        <v>1.4948795377273854</v>
      </c>
      <c r="AC23" s="35">
        <f t="shared" si="11"/>
        <v>3.38655935097535</v>
      </c>
      <c r="AD23" s="33">
        <f t="shared" si="27"/>
        <v>7.272996944371933</v>
      </c>
      <c r="AE23" s="34">
        <f t="shared" si="12"/>
        <v>0.9000000000000002</v>
      </c>
      <c r="AF23" s="40">
        <f t="shared" si="37"/>
        <v>1.4948795377273854</v>
      </c>
      <c r="AG23" s="35">
        <f t="shared" si="13"/>
        <v>1.0175375099540158</v>
      </c>
      <c r="AH23" s="33">
        <f t="shared" si="28"/>
        <v>7.287441630524684</v>
      </c>
      <c r="AI23" s="34">
        <f t="shared" si="14"/>
        <v>0.9000000000000002</v>
      </c>
      <c r="AJ23" s="40">
        <f t="shared" si="38"/>
        <v>4.561181325989847</v>
      </c>
      <c r="AK23" s="35">
        <f t="shared" si="15"/>
        <v>8.026748709133251</v>
      </c>
      <c r="AL23" s="33">
        <f t="shared" si="29"/>
        <v>10.851434712470294</v>
      </c>
      <c r="AM23" s="34">
        <f t="shared" si="16"/>
        <v>0.9000000000000002</v>
      </c>
      <c r="AN23" s="40">
        <f t="shared" si="39"/>
        <v>4.561181325989847</v>
      </c>
      <c r="AO23" s="35">
        <f t="shared" si="17"/>
        <v>1.4536479632611536</v>
      </c>
    </row>
    <row r="24" spans="2:41" ht="12.75">
      <c r="B24" s="33">
        <f t="shared" si="18"/>
        <v>0.17958714247818947</v>
      </c>
      <c r="C24" s="34">
        <f t="shared" si="19"/>
        <v>0.9500000000000003</v>
      </c>
      <c r="D24" s="40">
        <f t="shared" si="30"/>
        <v>5.460041220490407</v>
      </c>
      <c r="E24" s="35">
        <f t="shared" si="20"/>
        <v>6.680873312462941</v>
      </c>
      <c r="F24" s="33">
        <f t="shared" si="21"/>
        <v>0.9968611771661342</v>
      </c>
      <c r="G24" s="34">
        <f t="shared" si="0"/>
        <v>0.9500000000000003</v>
      </c>
      <c r="H24" s="40">
        <f t="shared" si="31"/>
        <v>5.351587570242092</v>
      </c>
      <c r="I24" s="35">
        <f t="shared" si="1"/>
        <v>5.212533985563731</v>
      </c>
      <c r="J24" s="33">
        <f t="shared" si="22"/>
        <v>1.0139060528182622</v>
      </c>
      <c r="K24" s="34">
        <f t="shared" si="2"/>
        <v>0.9500000000000003</v>
      </c>
      <c r="L24" s="40">
        <f t="shared" si="32"/>
        <v>5.351587570242092</v>
      </c>
      <c r="M24" s="35">
        <f t="shared" si="3"/>
        <v>3.692219084035053</v>
      </c>
      <c r="N24" s="33">
        <f t="shared" si="23"/>
        <v>2.880826769818378</v>
      </c>
      <c r="O24" s="34">
        <f t="shared" si="4"/>
        <v>0.9500000000000003</v>
      </c>
      <c r="P24" s="40">
        <f t="shared" si="33"/>
        <v>5.351587570242092</v>
      </c>
      <c r="Q24" s="35">
        <f t="shared" si="5"/>
        <v>3.0808846211121796</v>
      </c>
      <c r="R24" s="33">
        <f t="shared" si="24"/>
        <v>0.0011003730808715542</v>
      </c>
      <c r="S24" s="34">
        <f t="shared" si="6"/>
        <v>0.9500000000000003</v>
      </c>
      <c r="T24" s="40">
        <f t="shared" si="34"/>
        <v>1.0310429661693905</v>
      </c>
      <c r="U24" s="35">
        <f t="shared" si="7"/>
        <v>2.7122386978501485</v>
      </c>
      <c r="V24" s="33">
        <f t="shared" si="25"/>
        <v>3.1102166546904115</v>
      </c>
      <c r="W24" s="34">
        <f t="shared" si="8"/>
        <v>0.9500000000000003</v>
      </c>
      <c r="X24" s="40">
        <f t="shared" si="35"/>
        <v>1.0310429661693905</v>
      </c>
      <c r="Y24" s="35">
        <f t="shared" si="9"/>
        <v>4.107007184547346</v>
      </c>
      <c r="Z24" s="33">
        <f t="shared" si="26"/>
        <v>3.335052529572273</v>
      </c>
      <c r="AA24" s="34">
        <f t="shared" si="10"/>
        <v>0.9500000000000003</v>
      </c>
      <c r="AB24" s="40">
        <f t="shared" si="36"/>
        <v>1.5306544202044068</v>
      </c>
      <c r="AC24" s="35">
        <f t="shared" si="11"/>
        <v>2.9411291044628918</v>
      </c>
      <c r="AD24" s="33">
        <f t="shared" si="27"/>
        <v>6.7917070369604975</v>
      </c>
      <c r="AE24" s="34">
        <f t="shared" si="12"/>
        <v>0.9500000000000003</v>
      </c>
      <c r="AF24" s="40">
        <f t="shared" si="37"/>
        <v>1.5306544202044068</v>
      </c>
      <c r="AG24" s="35">
        <f t="shared" si="13"/>
        <v>0.8256656969541298</v>
      </c>
      <c r="AH24" s="33">
        <f t="shared" si="28"/>
        <v>6.804407909380994</v>
      </c>
      <c r="AI24" s="34">
        <f t="shared" si="14"/>
        <v>0.9500000000000003</v>
      </c>
      <c r="AJ24" s="40">
        <f t="shared" si="38"/>
        <v>4.98708295998527</v>
      </c>
      <c r="AK24" s="35">
        <f t="shared" si="15"/>
        <v>7.513212283877131</v>
      </c>
      <c r="AL24" s="33">
        <f t="shared" si="29"/>
        <v>10.035150606990246</v>
      </c>
      <c r="AM24" s="34">
        <f t="shared" si="16"/>
        <v>0.9500000000000003</v>
      </c>
      <c r="AN24" s="40">
        <f t="shared" si="39"/>
        <v>4.98708295998527</v>
      </c>
      <c r="AO24" s="35">
        <f t="shared" si="17"/>
        <v>1.284654740282588</v>
      </c>
    </row>
    <row r="25" spans="2:41" ht="12.75">
      <c r="B25" s="36">
        <f>Results!C8</f>
        <v>0.1732496236612521</v>
      </c>
      <c r="C25" s="37">
        <v>1</v>
      </c>
      <c r="D25" s="41">
        <f>ROUND(Results!E8,0)</f>
        <v>6</v>
      </c>
      <c r="E25" s="38">
        <f>Results!F8</f>
        <v>5.621322565525329</v>
      </c>
      <c r="F25" s="36">
        <f>Results!G8</f>
        <v>0.8668714145608429</v>
      </c>
      <c r="G25" s="37">
        <v>1</v>
      </c>
      <c r="H25" s="41">
        <f>Results!I8</f>
        <v>5.874269861294407</v>
      </c>
      <c r="I25" s="38">
        <f>Results!J8</f>
        <v>4.783158383021934</v>
      </c>
      <c r="J25" s="36">
        <f>Results!K8</f>
        <v>0.8696818099841344</v>
      </c>
      <c r="K25" s="37">
        <v>1</v>
      </c>
      <c r="L25" s="41">
        <f>Results!M8</f>
        <v>5.874269861294407</v>
      </c>
      <c r="M25" s="38">
        <f>Results!N8</f>
        <v>3.31994978934943</v>
      </c>
      <c r="N25" s="36">
        <f>Results!O8</f>
        <v>2.71315098577373</v>
      </c>
      <c r="O25" s="37">
        <v>1</v>
      </c>
      <c r="P25" s="41">
        <f>Results!Q8</f>
        <v>5.874269861294407</v>
      </c>
      <c r="Q25" s="38">
        <f>Results!R8</f>
        <v>2.815444624372619</v>
      </c>
      <c r="R25" s="36">
        <f>Results!S8</f>
        <v>0.00034962517284724563</v>
      </c>
      <c r="S25" s="37">
        <v>1</v>
      </c>
      <c r="T25" s="41">
        <f>Results!U8</f>
        <v>1.0327955589886444</v>
      </c>
      <c r="U25" s="38">
        <f>Results!V8</f>
        <v>0.032262902205326995</v>
      </c>
      <c r="V25" s="36">
        <f>Results!W8</f>
        <v>2.8371377797910737</v>
      </c>
      <c r="W25" s="37">
        <v>1</v>
      </c>
      <c r="X25" s="41">
        <f>Results!Y8</f>
        <v>1.0327955589886444</v>
      </c>
      <c r="Y25" s="38">
        <f>Results!Z8</f>
        <v>3.816323545944598</v>
      </c>
      <c r="Z25" s="36">
        <f>Results!AA8</f>
        <v>3.042886069140409</v>
      </c>
      <c r="AA25" s="37">
        <v>1</v>
      </c>
      <c r="AB25" s="41">
        <f>Results!AC8</f>
        <v>1.5672854534172858</v>
      </c>
      <c r="AC25" s="38">
        <f>Results!AD8</f>
        <v>2.4956988579504356</v>
      </c>
      <c r="AD25" s="36">
        <f>Results!AE8</f>
        <v>6.310417129549054</v>
      </c>
      <c r="AE25" s="37">
        <v>1</v>
      </c>
      <c r="AF25" s="41">
        <f>Results!AG8</f>
        <v>1.5672854534172858</v>
      </c>
      <c r="AG25" s="38">
        <f>Results!AH8</f>
        <v>0.6337938839542453</v>
      </c>
      <c r="AH25" s="36">
        <f>Results!AI8</f>
        <v>6.321374188237293</v>
      </c>
      <c r="AI25" s="37">
        <v>1</v>
      </c>
      <c r="AJ25" s="41">
        <f>Results!AK8</f>
        <v>5.452753283027628</v>
      </c>
      <c r="AK25" s="38">
        <f>Results!AL8</f>
        <v>6.999675858621005</v>
      </c>
      <c r="AL25" s="36">
        <f>Results!AM8</f>
        <v>9.218866501510195</v>
      </c>
      <c r="AM25" s="37">
        <v>1</v>
      </c>
      <c r="AN25" s="41">
        <f>Results!AO8</f>
        <v>5.452753283027628</v>
      </c>
      <c r="AO25" s="38">
        <f>Results!AP8</f>
        <v>1.1156615173040259</v>
      </c>
    </row>
    <row r="26" ht="12.75">
      <c r="E26" s="2"/>
    </row>
    <row r="27" spans="6:14" ht="12.75">
      <c r="F27" s="44" t="s">
        <v>64</v>
      </c>
      <c r="J27" s="44" t="s">
        <v>51</v>
      </c>
      <c r="N27" s="44" t="s">
        <v>52</v>
      </c>
    </row>
    <row r="28" spans="6:17" ht="12.75">
      <c r="F28" s="21" t="s">
        <v>48</v>
      </c>
      <c r="G28" s="39" t="s">
        <v>10</v>
      </c>
      <c r="H28" s="32" t="s">
        <v>50</v>
      </c>
      <c r="I28" s="21" t="s">
        <v>49</v>
      </c>
      <c r="J28" s="21" t="s">
        <v>48</v>
      </c>
      <c r="K28" s="39" t="s">
        <v>10</v>
      </c>
      <c r="L28" s="32" t="s">
        <v>50</v>
      </c>
      <c r="M28" s="21" t="s">
        <v>49</v>
      </c>
      <c r="N28" s="21" t="s">
        <v>48</v>
      </c>
      <c r="O28" s="39" t="s">
        <v>10</v>
      </c>
      <c r="P28" s="32" t="s">
        <v>50</v>
      </c>
      <c r="Q28" s="21" t="s">
        <v>49</v>
      </c>
    </row>
    <row r="29" spans="2:65" ht="12.75">
      <c r="B29" t="s">
        <v>13</v>
      </c>
      <c r="C29"/>
      <c r="D29"/>
      <c r="E29" s="44"/>
      <c r="F29" s="42">
        <f>Results!C7</f>
        <v>0.29166666666666663</v>
      </c>
      <c r="G29" s="42">
        <f>Results!D7</f>
        <v>0.02589045586556371</v>
      </c>
      <c r="H29" s="43">
        <f>Results!E7</f>
        <v>6.148950689605456</v>
      </c>
      <c r="I29" s="42">
        <f>Results!F7</f>
        <v>26.82807530354752</v>
      </c>
      <c r="J29" s="42">
        <f>Results!C9</f>
        <v>0.07916666666666666</v>
      </c>
      <c r="K29" s="45">
        <f>Results!D9</f>
        <v>0.024454496183644325</v>
      </c>
      <c r="L29" s="43">
        <f>Results!E9</f>
        <v>1</v>
      </c>
      <c r="M29" s="42">
        <f>Results!F9</f>
        <v>19.927102506497725</v>
      </c>
      <c r="N29" s="2">
        <f>Results!C10</f>
        <v>0.5</v>
      </c>
      <c r="O29" s="45">
        <f>Results!D10</f>
        <v>0.562238767838937</v>
      </c>
      <c r="P29" s="6">
        <f>Results!E10</f>
        <v>17.31772580818057</v>
      </c>
      <c r="Q29" s="2">
        <f>Results!F10</f>
        <v>34.64748719401446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2:65" ht="12.75">
      <c r="B30" t="s">
        <v>58</v>
      </c>
      <c r="C30"/>
      <c r="D30"/>
      <c r="E30" s="44"/>
      <c r="F30" s="42">
        <f>Results!G7</f>
        <v>3.2291666666666647</v>
      </c>
      <c r="G30" s="42">
        <f>Results!H7</f>
        <v>0.028934312355259617</v>
      </c>
      <c r="H30" s="43">
        <f>Results!I7</f>
        <v>6.148950689605456</v>
      </c>
      <c r="I30" s="42">
        <f>Results!J7</f>
        <v>13.905224531232676</v>
      </c>
      <c r="J30" s="42">
        <f>Results!G9</f>
        <v>2.597916666666666</v>
      </c>
      <c r="K30" s="45">
        <f>Results!H9</f>
        <v>0.027110531968539898</v>
      </c>
      <c r="L30" s="43">
        <f>Results!I9</f>
        <v>1</v>
      </c>
      <c r="M30" s="42">
        <f>Results!J9</f>
        <v>5.788734698086048</v>
      </c>
      <c r="N30" s="2">
        <f>Results!G10</f>
        <v>4.8479166666666655</v>
      </c>
      <c r="O30" s="45">
        <f>Results!H10</f>
        <v>0.5660826913431133</v>
      </c>
      <c r="P30" s="6">
        <f>Results!I10</f>
        <v>17.44742487921354</v>
      </c>
      <c r="Q30" s="2">
        <f>Results!J10</f>
        <v>19.318322339290585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2:65" ht="12.75">
      <c r="B31" t="s">
        <v>16</v>
      </c>
      <c r="C31"/>
      <c r="D31"/>
      <c r="E31" s="44"/>
      <c r="F31" s="42">
        <f>Results!K7</f>
        <v>3.4374999999999973</v>
      </c>
      <c r="G31" s="42">
        <f>Results!L7</f>
        <v>0.029434816280959786</v>
      </c>
      <c r="H31" s="43">
        <f>Results!M7</f>
        <v>6.148950689605456</v>
      </c>
      <c r="I31" s="42">
        <f>Results!N7</f>
        <v>10.410937169607756</v>
      </c>
      <c r="J31" s="42">
        <f>Results!K9</f>
        <v>2.945833333333331</v>
      </c>
      <c r="K31" s="45">
        <f>Results!L9</f>
        <v>0.027211388119766006</v>
      </c>
      <c r="L31" s="43">
        <f>Results!M9</f>
        <v>1</v>
      </c>
      <c r="M31" s="42">
        <f>Results!N9</f>
        <v>6.986024220428325</v>
      </c>
      <c r="N31" s="2">
        <f>Results!K10</f>
        <v>5.135416666666668</v>
      </c>
      <c r="O31" s="45">
        <f>Results!L10</f>
        <v>0.5662019462876479</v>
      </c>
      <c r="P31" s="6">
        <f>Results!M10</f>
        <v>17.44742487921354</v>
      </c>
      <c r="Q31" s="2">
        <f>Results!N10</f>
        <v>16.172002952519023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2:65" ht="12.75">
      <c r="B32" t="s">
        <v>57</v>
      </c>
      <c r="C32"/>
      <c r="D32"/>
      <c r="E32" s="44"/>
      <c r="F32" s="42">
        <f>Results!O7</f>
        <v>5.35416666666667</v>
      </c>
      <c r="G32" s="42">
        <f>Results!P7</f>
        <v>0.030363850442982843</v>
      </c>
      <c r="H32" s="43">
        <f>Results!Q7</f>
        <v>6.148950689605456</v>
      </c>
      <c r="I32" s="42">
        <f>Results!R7</f>
        <v>7.2946593545959395</v>
      </c>
      <c r="J32" s="42">
        <f>Results!O9</f>
        <v>3.4145833333333298</v>
      </c>
      <c r="K32" s="45">
        <f>Results!P9</f>
        <v>0.02774538943318409</v>
      </c>
      <c r="L32" s="43">
        <f>Results!Q9</f>
        <v>1</v>
      </c>
      <c r="M32" s="42">
        <f>Results!R9</f>
        <v>4.54723983161811</v>
      </c>
      <c r="N32" s="2">
        <f>Results!O10</f>
        <v>10.387500000000005</v>
      </c>
      <c r="O32" s="45">
        <f>Results!P10</f>
        <v>0.5667969092664827</v>
      </c>
      <c r="P32" s="6">
        <f>Results!Q10</f>
        <v>17.44742487921354</v>
      </c>
      <c r="Q32" s="2">
        <f>Results!R10</f>
        <v>12.320104889619437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2:65" ht="12.75">
      <c r="B33" t="s">
        <v>56</v>
      </c>
      <c r="C33"/>
      <c r="D33"/>
      <c r="E33" s="44"/>
      <c r="F33" s="42">
        <f>Results!S7</f>
        <v>0.015451388888888865</v>
      </c>
      <c r="G33" s="42">
        <f>Results!T7</f>
        <v>0.8200035932393956</v>
      </c>
      <c r="H33" s="43">
        <f>Results!U7</f>
        <v>0.5</v>
      </c>
      <c r="I33" s="42">
        <f>Results!V7</f>
        <v>53.63200133148804</v>
      </c>
      <c r="J33" s="42">
        <f>Results!S9</f>
        <v>0.014835069444444423</v>
      </c>
      <c r="K33" s="45">
        <f>Results!T9</f>
        <v>0.7746640070532428</v>
      </c>
      <c r="L33" s="43">
        <f>Results!U9</f>
        <v>0.0001</v>
      </c>
      <c r="M33" s="42">
        <f>Results!V9</f>
        <v>53.58645298854047</v>
      </c>
      <c r="N33" s="2">
        <f>Results!S10</f>
        <v>0.015798611111111086</v>
      </c>
      <c r="O33" s="45">
        <f>Results!T10</f>
        <v>0.9310792408461861</v>
      </c>
      <c r="P33" s="6">
        <f>Results!U10</f>
        <v>2.549999999999999</v>
      </c>
      <c r="Q33" s="2">
        <f>Results!V10</f>
        <v>53.673101658157485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2:65" ht="12.75">
      <c r="B34" t="s">
        <v>55</v>
      </c>
      <c r="C34"/>
      <c r="D34"/>
      <c r="E34" s="44"/>
      <c r="F34" s="42">
        <f>Results!W7</f>
        <v>7.969010416666686</v>
      </c>
      <c r="G34" s="42">
        <f>Results!X7</f>
        <v>1</v>
      </c>
      <c r="H34" s="43">
        <f>Results!Y7</f>
        <v>0.5</v>
      </c>
      <c r="I34" s="42">
        <f>Results!Z7</f>
        <v>9.507351452816435</v>
      </c>
      <c r="J34" s="42">
        <f>Results!W9</f>
        <v>4.529088541666666</v>
      </c>
      <c r="K34" s="45">
        <f>Results!X9</f>
        <v>0.9059541850390275</v>
      </c>
      <c r="L34" s="43">
        <f>Results!Y9</f>
        <v>0.0001</v>
      </c>
      <c r="M34" s="42">
        <f>Results!Z9</f>
        <v>4.318868793307196</v>
      </c>
      <c r="N34" s="2">
        <f>Results!W10</f>
        <v>12.349479166666635</v>
      </c>
      <c r="O34" s="45">
        <f>Results!X10</f>
        <v>1</v>
      </c>
      <c r="P34" s="6">
        <f>Results!Y10</f>
        <v>2.549999999999999</v>
      </c>
      <c r="Q34" s="2">
        <f>Results!Z10</f>
        <v>15.311561770944774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2:65" ht="12.75">
      <c r="B35" t="s">
        <v>54</v>
      </c>
      <c r="C35"/>
      <c r="D35"/>
      <c r="E35" s="44"/>
      <c r="F35" s="42">
        <f>Results!AA7</f>
        <v>8.385677083333348</v>
      </c>
      <c r="G35" s="42">
        <f>Results!AB7</f>
        <v>1</v>
      </c>
      <c r="H35" s="43">
        <f>Results!AC7</f>
        <v>0.5</v>
      </c>
      <c r="I35" s="42">
        <f>Results!AD7</f>
        <v>11.522027453714022</v>
      </c>
      <c r="J35" s="42">
        <f>Results!AA9</f>
        <v>5.108255208333335</v>
      </c>
      <c r="K35" s="45">
        <f>Results!AB9</f>
        <v>0.9061776379974662</v>
      </c>
      <c r="L35" s="43">
        <f>Results!AC9</f>
        <v>0.0001</v>
      </c>
      <c r="M35" s="42">
        <f>Results!AD9</f>
        <v>7.732158600293254</v>
      </c>
      <c r="N35" s="2">
        <f>Results!AA10</f>
        <v>13.503645833333275</v>
      </c>
      <c r="O35" s="45">
        <f>Results!AB10</f>
        <v>1</v>
      </c>
      <c r="P35" s="6">
        <f>Results!AC10</f>
        <v>3.894204675727294</v>
      </c>
      <c r="Q35" s="2">
        <f>Results!AD10</f>
        <v>14.668461251437195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2:65" ht="12.75">
      <c r="B36" t="s">
        <v>53</v>
      </c>
      <c r="C36"/>
      <c r="D36"/>
      <c r="E36" s="44"/>
      <c r="F36" s="42">
        <f>Results!AE7</f>
        <v>13.594791666666609</v>
      </c>
      <c r="G36" s="42">
        <f>Results!AF7</f>
        <v>1</v>
      </c>
      <c r="H36" s="43">
        <f>Results!AG7</f>
        <v>0.5</v>
      </c>
      <c r="I36" s="42">
        <f>Results!AH7</f>
        <v>4.1824329859173215</v>
      </c>
      <c r="J36" s="42">
        <f>Results!AE9</f>
        <v>11.578350694444417</v>
      </c>
      <c r="K36" s="45">
        <f>Results!AF9</f>
        <v>0.9190703545887757</v>
      </c>
      <c r="L36" s="43">
        <f>Results!AG9</f>
        <v>0.0001</v>
      </c>
      <c r="M36" s="42">
        <f>Results!AH9</f>
        <v>4</v>
      </c>
      <c r="N36" s="2">
        <f>Results!AE10</f>
        <v>26.00986979166681</v>
      </c>
      <c r="O36" s="45">
        <f>Results!AF10</f>
        <v>1</v>
      </c>
      <c r="P36" s="6">
        <f>Results!AG10</f>
        <v>3.894204675727294</v>
      </c>
      <c r="Q36" s="2">
        <f>Results!AH10</f>
        <v>5.491101211015955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2:65" ht="12.75">
      <c r="B37" t="s">
        <v>59</v>
      </c>
      <c r="C37"/>
      <c r="D37"/>
      <c r="E37" s="44"/>
      <c r="F37" s="42">
        <f>Results!AI7</f>
        <v>13.636458333333277</v>
      </c>
      <c r="G37" s="42">
        <f>Results!AJ7</f>
        <v>1</v>
      </c>
      <c r="H37" s="43">
        <f>Results!AK7</f>
        <v>0.5</v>
      </c>
      <c r="I37" s="42">
        <f>Results!AL7</f>
        <v>18.270615938529755</v>
      </c>
      <c r="J37" s="42">
        <f>Results!AI9</f>
        <v>11.620017361111083</v>
      </c>
      <c r="K37" s="45">
        <f>Results!AJ9</f>
        <v>0.9194070314575726</v>
      </c>
      <c r="L37" s="43">
        <f>Results!AK9</f>
        <v>0.0001</v>
      </c>
      <c r="M37" s="42">
        <f>Results!AL9</f>
        <v>6.664721800608249</v>
      </c>
      <c r="N37" s="2">
        <f>Results!AI10</f>
        <v>26.07445312500014</v>
      </c>
      <c r="O37" s="45">
        <f>Results!AJ10</f>
        <v>1</v>
      </c>
      <c r="P37" s="6">
        <f>Results!AK10</f>
        <v>11.708000066183702</v>
      </c>
      <c r="Q37" s="2">
        <f>Results!AL10</f>
        <v>26.796361455351708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2:65" ht="12.75">
      <c r="B38" t="s">
        <v>46</v>
      </c>
      <c r="C38"/>
      <c r="D38"/>
      <c r="E38" s="44"/>
      <c r="F38" s="42">
        <f>Results!AM7</f>
        <v>23.65651041666679</v>
      </c>
      <c r="G38" s="42">
        <f>Results!AN7</f>
        <v>1</v>
      </c>
      <c r="H38" s="43">
        <f>Results!AO7</f>
        <v>0.5</v>
      </c>
      <c r="I38" s="42">
        <f>Results!AP7</f>
        <v>4</v>
      </c>
      <c r="J38" s="42">
        <f>Results!AM9</f>
        <v>17.622361111111065</v>
      </c>
      <c r="K38" s="45">
        <f>Results!AN9</f>
        <v>0.931341607948782</v>
      </c>
      <c r="L38" s="43">
        <f>Results!AO9</f>
        <v>0.0001</v>
      </c>
      <c r="M38" s="42">
        <f>Results!AP9</f>
        <v>4</v>
      </c>
      <c r="N38" s="2">
        <f>Results!AM10</f>
        <v>40.21434895833308</v>
      </c>
      <c r="O38" s="45">
        <f>Results!AN10</f>
        <v>1</v>
      </c>
      <c r="P38" s="6">
        <f>Results!AO10</f>
        <v>11.708000066183702</v>
      </c>
      <c r="Q38" s="2">
        <f>Results!AP10</f>
        <v>6.514503614876854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3:65" ht="12.7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</sheetData>
  <mergeCells count="10">
    <mergeCell ref="AL3:AO3"/>
    <mergeCell ref="AH3:AK3"/>
    <mergeCell ref="AD3:AG3"/>
    <mergeCell ref="Z3:AC3"/>
    <mergeCell ref="F3:I3"/>
    <mergeCell ref="B3:E3"/>
    <mergeCell ref="V3:Y3"/>
    <mergeCell ref="R3:U3"/>
    <mergeCell ref="N3:Q3"/>
    <mergeCell ref="J3:M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2:AV26"/>
  <sheetViews>
    <sheetView workbookViewId="0" topLeftCell="AL2">
      <selection activeCell="AU24" sqref="AU24"/>
    </sheetView>
  </sheetViews>
  <sheetFormatPr defaultColWidth="9.140625" defaultRowHeight="12.75"/>
  <cols>
    <col min="1" max="1" width="16.140625" style="0" customWidth="1"/>
    <col min="5" max="5" width="13.421875" style="0" customWidth="1"/>
    <col min="6" max="6" width="11.28125" style="0" bestFit="1" customWidth="1"/>
    <col min="9" max="9" width="14.00390625" style="0" bestFit="1" customWidth="1"/>
    <col min="10" max="10" width="11.28125" style="0" bestFit="1" customWidth="1"/>
    <col min="13" max="13" width="14.00390625" style="0" bestFit="1" customWidth="1"/>
    <col min="14" max="14" width="11.28125" style="0" bestFit="1" customWidth="1"/>
    <col min="17" max="17" width="14.8515625" style="0" bestFit="1" customWidth="1"/>
    <col min="21" max="21" width="14.8515625" style="0" bestFit="1" customWidth="1"/>
    <col min="22" max="22" width="11.28125" style="0" bestFit="1" customWidth="1"/>
    <col min="25" max="25" width="14.8515625" style="0" bestFit="1" customWidth="1"/>
    <col min="26" max="26" width="11.28125" style="0" bestFit="1" customWidth="1"/>
    <col min="29" max="29" width="14.8515625" style="0" bestFit="1" customWidth="1"/>
    <col min="30" max="30" width="11.28125" style="0" bestFit="1" customWidth="1"/>
    <col min="33" max="33" width="14.8515625" style="0" bestFit="1" customWidth="1"/>
    <col min="34" max="34" width="11.28125" style="0" bestFit="1" customWidth="1"/>
    <col min="37" max="37" width="14.8515625" style="0" bestFit="1" customWidth="1"/>
    <col min="38" max="38" width="11.28125" style="0" bestFit="1" customWidth="1"/>
    <col min="41" max="41" width="14.8515625" style="0" bestFit="1" customWidth="1"/>
    <col min="42" max="42" width="11.28125" style="0" bestFit="1" customWidth="1"/>
    <col min="45" max="45" width="14.57421875" style="0" customWidth="1"/>
  </cols>
  <sheetData>
    <row r="11" ht="13.5" thickBot="1"/>
    <row r="12" spans="1:48" ht="12.75">
      <c r="A12" s="339" t="s">
        <v>94</v>
      </c>
      <c r="B12" s="340"/>
      <c r="C12" s="91" t="s">
        <v>13</v>
      </c>
      <c r="D12" s="92"/>
      <c r="E12" s="92"/>
      <c r="F12" s="93"/>
      <c r="G12" s="91" t="s">
        <v>58</v>
      </c>
      <c r="H12" s="92"/>
      <c r="I12" s="92"/>
      <c r="J12" s="93"/>
      <c r="K12" s="91" t="s">
        <v>16</v>
      </c>
      <c r="L12" s="92"/>
      <c r="M12" s="92"/>
      <c r="N12" s="93"/>
      <c r="O12" s="91" t="s">
        <v>57</v>
      </c>
      <c r="P12" s="92"/>
      <c r="Q12" s="92"/>
      <c r="R12" s="93"/>
      <c r="S12" s="91" t="s">
        <v>56</v>
      </c>
      <c r="T12" s="92"/>
      <c r="U12" s="92"/>
      <c r="V12" s="93"/>
      <c r="W12" s="91" t="s">
        <v>55</v>
      </c>
      <c r="X12" s="92"/>
      <c r="Y12" s="92"/>
      <c r="Z12" s="93"/>
      <c r="AA12" s="91" t="s">
        <v>54</v>
      </c>
      <c r="AB12" s="92"/>
      <c r="AC12" s="92"/>
      <c r="AD12" s="93"/>
      <c r="AE12" s="91" t="s">
        <v>53</v>
      </c>
      <c r="AF12" s="92"/>
      <c r="AG12" s="92"/>
      <c r="AH12" s="93"/>
      <c r="AI12" s="91" t="s">
        <v>59</v>
      </c>
      <c r="AJ12" s="92"/>
      <c r="AK12" s="92"/>
      <c r="AL12" s="93"/>
      <c r="AM12" s="91" t="s">
        <v>46</v>
      </c>
      <c r="AN12" s="92"/>
      <c r="AO12" s="92"/>
      <c r="AP12" s="93"/>
      <c r="AQ12" s="241"/>
      <c r="AR12" s="231"/>
      <c r="AS12" s="232"/>
      <c r="AT12" s="232"/>
      <c r="AU12" s="232"/>
      <c r="AV12" s="233"/>
    </row>
    <row r="13" spans="1:48" ht="13.5" thickBot="1">
      <c r="A13" s="341"/>
      <c r="B13" s="342"/>
      <c r="C13" s="75" t="s">
        <v>48</v>
      </c>
      <c r="D13" s="23" t="s">
        <v>10</v>
      </c>
      <c r="E13" s="29" t="s">
        <v>50</v>
      </c>
      <c r="F13" s="76" t="s">
        <v>49</v>
      </c>
      <c r="G13" s="75" t="s">
        <v>48</v>
      </c>
      <c r="H13" s="23" t="s">
        <v>10</v>
      </c>
      <c r="I13" s="24" t="s">
        <v>50</v>
      </c>
      <c r="J13" s="76" t="s">
        <v>49</v>
      </c>
      <c r="K13" s="75" t="s">
        <v>48</v>
      </c>
      <c r="L13" s="23" t="s">
        <v>10</v>
      </c>
      <c r="M13" s="24" t="s">
        <v>50</v>
      </c>
      <c r="N13" s="76" t="s">
        <v>49</v>
      </c>
      <c r="O13" s="75" t="s">
        <v>48</v>
      </c>
      <c r="P13" s="23" t="s">
        <v>10</v>
      </c>
      <c r="Q13" s="24" t="s">
        <v>50</v>
      </c>
      <c r="R13" s="76" t="s">
        <v>49</v>
      </c>
      <c r="S13" s="75" t="s">
        <v>48</v>
      </c>
      <c r="T13" s="23" t="s">
        <v>10</v>
      </c>
      <c r="U13" s="24" t="s">
        <v>50</v>
      </c>
      <c r="V13" s="76" t="s">
        <v>49</v>
      </c>
      <c r="W13" s="75" t="s">
        <v>48</v>
      </c>
      <c r="X13" s="23" t="s">
        <v>10</v>
      </c>
      <c r="Y13" s="24" t="s">
        <v>50</v>
      </c>
      <c r="Z13" s="76" t="s">
        <v>49</v>
      </c>
      <c r="AA13" s="75" t="s">
        <v>48</v>
      </c>
      <c r="AB13" s="23" t="s">
        <v>10</v>
      </c>
      <c r="AC13" s="24" t="s">
        <v>50</v>
      </c>
      <c r="AD13" s="76" t="s">
        <v>49</v>
      </c>
      <c r="AE13" s="75" t="s">
        <v>48</v>
      </c>
      <c r="AF13" s="23" t="s">
        <v>10</v>
      </c>
      <c r="AG13" s="24" t="s">
        <v>50</v>
      </c>
      <c r="AH13" s="76" t="s">
        <v>49</v>
      </c>
      <c r="AI13" s="75" t="s">
        <v>48</v>
      </c>
      <c r="AJ13" s="23" t="s">
        <v>10</v>
      </c>
      <c r="AK13" s="24" t="s">
        <v>50</v>
      </c>
      <c r="AL13" s="76" t="s">
        <v>49</v>
      </c>
      <c r="AM13" s="75" t="s">
        <v>48</v>
      </c>
      <c r="AN13" s="23" t="s">
        <v>10</v>
      </c>
      <c r="AO13" s="24" t="s">
        <v>50</v>
      </c>
      <c r="AP13" s="76" t="s">
        <v>49</v>
      </c>
      <c r="AQ13" s="234" t="s">
        <v>135</v>
      </c>
      <c r="AR13" s="25" t="s">
        <v>134</v>
      </c>
      <c r="AS13" s="27" t="s">
        <v>50</v>
      </c>
      <c r="AT13" s="128" t="s">
        <v>140</v>
      </c>
      <c r="AU13" s="199" t="s">
        <v>141</v>
      </c>
      <c r="AV13" s="235">
        <v>6.882523932134093E-06</v>
      </c>
    </row>
    <row r="14" spans="1:48" ht="12.75">
      <c r="A14" s="86">
        <v>37683.47755787037</v>
      </c>
      <c r="B14" s="88" t="s">
        <v>65</v>
      </c>
      <c r="C14" s="77">
        <v>0.3207325000000002</v>
      </c>
      <c r="D14" s="26">
        <v>0.06968489865996434</v>
      </c>
      <c r="E14" s="27">
        <v>442321.1457068066</v>
      </c>
      <c r="F14" s="78">
        <v>24.579428671405264</v>
      </c>
      <c r="G14" s="77">
        <v>2.4462458333333488</v>
      </c>
      <c r="H14" s="26">
        <v>0.07386560880116877</v>
      </c>
      <c r="I14" s="27">
        <v>95385188.55080704</v>
      </c>
      <c r="J14" s="78">
        <v>14.665341765749666</v>
      </c>
      <c r="K14" s="77">
        <v>2.7045008333333467</v>
      </c>
      <c r="L14" s="26">
        <v>0.07437760440393412</v>
      </c>
      <c r="M14" s="27">
        <v>99996240.51876487</v>
      </c>
      <c r="N14" s="78">
        <v>12.69480667175954</v>
      </c>
      <c r="O14" s="77">
        <v>5.08842666666664</v>
      </c>
      <c r="P14" s="26">
        <v>0.07931209535190023</v>
      </c>
      <c r="Q14" s="27">
        <v>190446321.9769366</v>
      </c>
      <c r="R14" s="78">
        <v>9.761065955895207</v>
      </c>
      <c r="S14" s="77">
        <v>5.08842666666664</v>
      </c>
      <c r="T14" s="26">
        <v>0.07931209535190023</v>
      </c>
      <c r="U14" s="27">
        <v>190446321.9769366</v>
      </c>
      <c r="V14" s="78">
        <v>9.761065955895207</v>
      </c>
      <c r="W14" s="77">
        <v>7.063506666666725</v>
      </c>
      <c r="X14" s="26">
        <v>0.08303492523021366</v>
      </c>
      <c r="Y14" s="27">
        <v>271681087.9437234</v>
      </c>
      <c r="Z14" s="78">
        <v>9.420340013727634</v>
      </c>
      <c r="AA14" s="77">
        <v>7.657465833333364</v>
      </c>
      <c r="AB14" s="26">
        <v>0.0841101007644983</v>
      </c>
      <c r="AC14" s="27">
        <v>292303499.92387956</v>
      </c>
      <c r="AD14" s="78">
        <v>10.472596416975668</v>
      </c>
      <c r="AE14" s="77">
        <v>17.263563333333323</v>
      </c>
      <c r="AF14" s="26">
        <v>0.09860091000816976</v>
      </c>
      <c r="AG14" s="27">
        <v>312497438.48548883</v>
      </c>
      <c r="AH14" s="78">
        <v>4.901389978513046</v>
      </c>
      <c r="AI14" s="77">
        <v>17.310909999999986</v>
      </c>
      <c r="AJ14" s="26">
        <v>0.09927439561002964</v>
      </c>
      <c r="AK14" s="27">
        <v>320993333.94751436</v>
      </c>
      <c r="AL14" s="78">
        <v>16.214289077876966</v>
      </c>
      <c r="AM14" s="77">
        <v>24.320322500000167</v>
      </c>
      <c r="AN14" s="26">
        <v>0.11172676286321331</v>
      </c>
      <c r="AO14" s="27">
        <v>338597020.2437499</v>
      </c>
      <c r="AP14" s="78">
        <v>4.850721404747403</v>
      </c>
      <c r="AQ14" s="234">
        <v>25.258442154556317</v>
      </c>
      <c r="AR14" s="25">
        <v>8.623156888890444</v>
      </c>
      <c r="AS14" s="27">
        <v>2856678.92496263</v>
      </c>
      <c r="AT14" s="128">
        <v>3.21752</v>
      </c>
      <c r="AU14" s="26">
        <v>0.02311764301654876</v>
      </c>
      <c r="AV14" s="235" t="s">
        <v>65</v>
      </c>
    </row>
    <row r="15" spans="1:48" ht="12.75">
      <c r="A15" s="86">
        <v>37683.41538194445</v>
      </c>
      <c r="B15" s="89" t="s">
        <v>64</v>
      </c>
      <c r="C15" s="77">
        <v>0.29166666666666663</v>
      </c>
      <c r="D15" s="26">
        <v>0.024891613744017826</v>
      </c>
      <c r="E15" s="27">
        <v>9.593931533906606</v>
      </c>
      <c r="F15" s="78">
        <v>24.099086428136296</v>
      </c>
      <c r="G15" s="77">
        <v>2.1666666666666674</v>
      </c>
      <c r="H15" s="26">
        <v>0.027052602913727297</v>
      </c>
      <c r="I15" s="27">
        <v>11.195297409318464</v>
      </c>
      <c r="J15" s="78">
        <v>13.652672043358006</v>
      </c>
      <c r="K15" s="77">
        <v>2.458333333333333</v>
      </c>
      <c r="L15" s="26">
        <v>0.02731324359560494</v>
      </c>
      <c r="M15" s="27">
        <v>11.141402821284089</v>
      </c>
      <c r="N15" s="78">
        <v>11.313340656468691</v>
      </c>
      <c r="O15" s="77">
        <v>3.9583333333333277</v>
      </c>
      <c r="P15" s="26">
        <v>0.028919401057427463</v>
      </c>
      <c r="Q15" s="27">
        <v>12.087351409625802</v>
      </c>
      <c r="R15" s="78">
        <v>9.194642432767061</v>
      </c>
      <c r="S15" s="77">
        <v>3.9583333333333277</v>
      </c>
      <c r="T15" s="26">
        <v>0.028919401057427463</v>
      </c>
      <c r="U15" s="27">
        <v>12.087351409625802</v>
      </c>
      <c r="V15" s="78">
        <v>9.194642432767061</v>
      </c>
      <c r="W15" s="77">
        <v>5.750000000000006</v>
      </c>
      <c r="X15" s="26">
        <v>0.030590247481752486</v>
      </c>
      <c r="Y15" s="27">
        <v>12.569301496884773</v>
      </c>
      <c r="Z15" s="78">
        <v>9.050732177486271</v>
      </c>
      <c r="AA15" s="77">
        <v>6.375000000000011</v>
      </c>
      <c r="AB15" s="26">
        <v>0.031168208326379065</v>
      </c>
      <c r="AC15" s="27">
        <v>12.831226236471554</v>
      </c>
      <c r="AD15" s="78">
        <v>10.11592853718037</v>
      </c>
      <c r="AE15" s="77">
        <v>15.208333333333252</v>
      </c>
      <c r="AF15" s="26">
        <v>0.03817567627274443</v>
      </c>
      <c r="AG15" s="27">
        <v>12.99050370206745</v>
      </c>
      <c r="AH15" s="78">
        <v>4</v>
      </c>
      <c r="AI15" s="77">
        <v>15.249999999999918</v>
      </c>
      <c r="AJ15" s="26">
        <v>0.038523533046389065</v>
      </c>
      <c r="AK15" s="27">
        <v>13.062740402532988</v>
      </c>
      <c r="AL15" s="78">
        <v>16.2635374773862</v>
      </c>
      <c r="AM15" s="77">
        <v>22.33333333333342</v>
      </c>
      <c r="AN15" s="26">
        <v>0.04491580743174173</v>
      </c>
      <c r="AO15" s="27">
        <v>13.177418279962037</v>
      </c>
      <c r="AP15" s="78">
        <v>4</v>
      </c>
      <c r="AQ15" s="234">
        <v>8.825833279662273</v>
      </c>
      <c r="AR15" s="25">
        <v>12</v>
      </c>
      <c r="AS15" s="27">
        <v>0.0001</v>
      </c>
      <c r="AT15" s="128">
        <v>2</v>
      </c>
      <c r="AU15" s="26">
        <v>0.0001</v>
      </c>
      <c r="AV15" s="235" t="s">
        <v>64</v>
      </c>
    </row>
    <row r="16" spans="1:48" ht="12.75">
      <c r="A16" s="87">
        <f>A14-A15</f>
        <v>0.06217592592292931</v>
      </c>
      <c r="B16" s="89" t="s">
        <v>66</v>
      </c>
      <c r="C16" s="77">
        <v>0.1944052429291608</v>
      </c>
      <c r="D16" s="26">
        <v>0.20340693617398206</v>
      </c>
      <c r="E16" s="27">
        <v>69200223.34319471</v>
      </c>
      <c r="F16" s="78">
        <v>6.298442824093509</v>
      </c>
      <c r="G16" s="77">
        <v>1.697202214356353</v>
      </c>
      <c r="H16" s="26">
        <v>0.20716000189319664</v>
      </c>
      <c r="I16" s="27">
        <v>1889613986.7464406</v>
      </c>
      <c r="J16" s="78">
        <v>5.997875411206036</v>
      </c>
      <c r="K16" s="77">
        <v>1.7583029890989328</v>
      </c>
      <c r="L16" s="26">
        <v>0.2077297152367681</v>
      </c>
      <c r="M16" s="27">
        <v>1930921301.124783</v>
      </c>
      <c r="N16" s="78">
        <v>6.215433618525974</v>
      </c>
      <c r="O16" s="77">
        <v>4.566002268936376</v>
      </c>
      <c r="P16" s="26">
        <v>0.2125840440827684</v>
      </c>
      <c r="Q16" s="27">
        <v>2660306188.742024</v>
      </c>
      <c r="R16" s="78">
        <v>4.321759412935814</v>
      </c>
      <c r="S16" s="77">
        <v>4.566002268936376</v>
      </c>
      <c r="T16" s="26">
        <v>0.2125840440827684</v>
      </c>
      <c r="U16" s="27">
        <v>2660306188.742024</v>
      </c>
      <c r="V16" s="78">
        <v>4.321759412935814</v>
      </c>
      <c r="W16" s="77">
        <v>5.254121965691704</v>
      </c>
      <c r="X16" s="26">
        <v>0.21613460133653978</v>
      </c>
      <c r="Y16" s="27">
        <v>3179413825.4852257</v>
      </c>
      <c r="Z16" s="78">
        <v>3.5900366392017706</v>
      </c>
      <c r="AA16" s="77">
        <v>5.266480095438605</v>
      </c>
      <c r="AB16" s="26">
        <v>0.21701232789454394</v>
      </c>
      <c r="AC16" s="27">
        <v>3290144089.144112</v>
      </c>
      <c r="AD16" s="78">
        <v>3.5012508381294056</v>
      </c>
      <c r="AE16" s="77">
        <v>8.96209625171176</v>
      </c>
      <c r="AF16" s="26">
        <v>0.22907223487324352</v>
      </c>
      <c r="AG16" s="27">
        <v>3403056968.4271035</v>
      </c>
      <c r="AH16" s="78">
        <v>1.3822097767865695</v>
      </c>
      <c r="AI16" s="77">
        <v>8.96214087590854</v>
      </c>
      <c r="AJ16" s="26">
        <v>0.22970665297624937</v>
      </c>
      <c r="AK16" s="27">
        <v>3453449447.631733</v>
      </c>
      <c r="AL16" s="78">
        <v>7.210772410934282</v>
      </c>
      <c r="AM16" s="77">
        <v>10.000834713943934</v>
      </c>
      <c r="AN16" s="26">
        <v>0.23918553834638212</v>
      </c>
      <c r="AO16" s="27">
        <v>3549254060.305184</v>
      </c>
      <c r="AP16" s="78">
        <v>1.379305592078014</v>
      </c>
      <c r="AQ16" s="236">
        <v>53.32549947094313</v>
      </c>
      <c r="AR16" s="25">
        <v>3.902340721929154</v>
      </c>
      <c r="AS16" s="28">
        <v>100518772.73136549</v>
      </c>
      <c r="AT16" s="129">
        <v>4.621146194337828</v>
      </c>
      <c r="AU16" s="26">
        <v>0.28352785532226255</v>
      </c>
      <c r="AV16" s="235" t="s">
        <v>66</v>
      </c>
    </row>
    <row r="17" spans="1:48" ht="12.75">
      <c r="A17" s="84"/>
      <c r="B17" s="89" t="s">
        <v>51</v>
      </c>
      <c r="C17" s="77">
        <v>0.125</v>
      </c>
      <c r="D17" s="26">
        <v>0.024379123267977372</v>
      </c>
      <c r="E17" s="28">
        <v>1</v>
      </c>
      <c r="F17" s="78">
        <v>15.00919585918273</v>
      </c>
      <c r="G17" s="77">
        <v>0.20833333333333331</v>
      </c>
      <c r="H17" s="26">
        <v>0.0246086548857248</v>
      </c>
      <c r="I17" s="27">
        <v>1</v>
      </c>
      <c r="J17" s="78">
        <v>6.907828031410764</v>
      </c>
      <c r="K17" s="77">
        <v>0.20833333333333331</v>
      </c>
      <c r="L17" s="26">
        <v>0.024609005527868388</v>
      </c>
      <c r="M17" s="27">
        <v>1</v>
      </c>
      <c r="N17" s="78">
        <v>5.421909867697161</v>
      </c>
      <c r="O17" s="77">
        <v>1.5</v>
      </c>
      <c r="P17" s="26">
        <v>0.025844075946798727</v>
      </c>
      <c r="Q17" s="27">
        <v>1</v>
      </c>
      <c r="R17" s="78">
        <v>4</v>
      </c>
      <c r="S17" s="77">
        <v>1.5</v>
      </c>
      <c r="T17" s="26">
        <v>0.025844075946798727</v>
      </c>
      <c r="U17" s="27">
        <v>1</v>
      </c>
      <c r="V17" s="78">
        <v>4</v>
      </c>
      <c r="W17" s="77">
        <v>2.291666666666667</v>
      </c>
      <c r="X17" s="26">
        <v>0.026487181534826314</v>
      </c>
      <c r="Y17" s="27">
        <v>1</v>
      </c>
      <c r="Z17" s="78">
        <v>4</v>
      </c>
      <c r="AA17" s="77">
        <v>2.8333333333333317</v>
      </c>
      <c r="AB17" s="26">
        <v>0.02692038817482444</v>
      </c>
      <c r="AC17" s="27">
        <v>1</v>
      </c>
      <c r="AD17" s="78">
        <v>5.337943004224289</v>
      </c>
      <c r="AE17" s="77">
        <v>7.375000000000018</v>
      </c>
      <c r="AF17" s="26">
        <v>0.03022771721033061</v>
      </c>
      <c r="AG17" s="27">
        <v>1</v>
      </c>
      <c r="AH17" s="78">
        <v>4</v>
      </c>
      <c r="AI17" s="77">
        <v>7.416666666666685</v>
      </c>
      <c r="AJ17" s="26">
        <v>0.03036616534595436</v>
      </c>
      <c r="AK17" s="27">
        <v>1</v>
      </c>
      <c r="AL17" s="78">
        <v>4.047712728146617</v>
      </c>
      <c r="AM17" s="77">
        <v>12.291666666666627</v>
      </c>
      <c r="AN17" s="26">
        <v>0.03394066920371485</v>
      </c>
      <c r="AO17" s="27">
        <v>1</v>
      </c>
      <c r="AP17" s="78">
        <v>4</v>
      </c>
      <c r="AQ17" s="236">
        <v>1</v>
      </c>
      <c r="AR17" s="25">
        <v>0.94</v>
      </c>
      <c r="AS17" s="28">
        <v>0.0001</v>
      </c>
      <c r="AT17" s="129">
        <v>1</v>
      </c>
      <c r="AU17" s="26">
        <v>0.0001</v>
      </c>
      <c r="AV17" s="235" t="s">
        <v>51</v>
      </c>
    </row>
    <row r="18" spans="1:48" ht="13.5" thickBot="1">
      <c r="A18" s="85"/>
      <c r="B18" s="90" t="s">
        <v>52</v>
      </c>
      <c r="C18" s="79">
        <v>0.7083333333333331</v>
      </c>
      <c r="D18" s="80">
        <v>0.04488809204468143</v>
      </c>
      <c r="E18" s="83">
        <v>114.10170348325683</v>
      </c>
      <c r="F18" s="82">
        <v>35.670609399128125</v>
      </c>
      <c r="G18" s="79">
        <v>5.583333333333338</v>
      </c>
      <c r="H18" s="80">
        <v>0.056989644295184855</v>
      </c>
      <c r="I18" s="81">
        <v>292.78976636003074</v>
      </c>
      <c r="J18" s="82">
        <v>26.564314258195008</v>
      </c>
      <c r="K18" s="79">
        <v>5.875000000000007</v>
      </c>
      <c r="L18" s="80">
        <v>0.05835481330697368</v>
      </c>
      <c r="M18" s="81">
        <v>292.8738526659873</v>
      </c>
      <c r="N18" s="82">
        <v>26.17352835184054</v>
      </c>
      <c r="O18" s="79">
        <v>11.958333333333298</v>
      </c>
      <c r="P18" s="80">
        <v>1</v>
      </c>
      <c r="Q18" s="81">
        <v>4013.7209791042706</v>
      </c>
      <c r="R18" s="82">
        <v>17.670430885191465</v>
      </c>
      <c r="S18" s="79">
        <v>11.958333333333298</v>
      </c>
      <c r="T18" s="80">
        <v>1</v>
      </c>
      <c r="U18" s="81">
        <v>4013.7209791042706</v>
      </c>
      <c r="V18" s="82">
        <v>17.670430885191465</v>
      </c>
      <c r="W18" s="79">
        <v>15.87499999999991</v>
      </c>
      <c r="X18" s="80">
        <v>1</v>
      </c>
      <c r="Y18" s="81">
        <v>47573.26790310304</v>
      </c>
      <c r="Z18" s="82">
        <v>15.902256806037522</v>
      </c>
      <c r="AA18" s="79">
        <v>16.416666666666586</v>
      </c>
      <c r="AB18" s="80">
        <v>1</v>
      </c>
      <c r="AC18" s="81">
        <v>129556.88533256881</v>
      </c>
      <c r="AD18" s="82">
        <v>16.76113019771574</v>
      </c>
      <c r="AE18" s="79">
        <v>34.08333333333358</v>
      </c>
      <c r="AF18" s="80">
        <v>1</v>
      </c>
      <c r="AG18" s="81">
        <v>285717.0025647887</v>
      </c>
      <c r="AH18" s="82">
        <v>7.859184216169851</v>
      </c>
      <c r="AI18" s="79">
        <v>34.12500000000024</v>
      </c>
      <c r="AJ18" s="80">
        <v>1</v>
      </c>
      <c r="AK18" s="81">
        <v>390163.7356414282</v>
      </c>
      <c r="AL18" s="82">
        <v>28.252419598477953</v>
      </c>
      <c r="AM18" s="79">
        <v>43.0416666666664</v>
      </c>
      <c r="AN18" s="80">
        <v>1</v>
      </c>
      <c r="AO18" s="81">
        <v>763162.0166995042</v>
      </c>
      <c r="AP18" s="82">
        <v>7.861906129478187</v>
      </c>
      <c r="AQ18" s="237">
        <v>99.81743061295583</v>
      </c>
      <c r="AR18" s="238">
        <v>12</v>
      </c>
      <c r="AS18" s="83">
        <v>2.1902290990074595</v>
      </c>
      <c r="AT18" s="239">
        <v>11</v>
      </c>
      <c r="AU18" s="80">
        <v>0.005537750840016526</v>
      </c>
      <c r="AV18" s="240" t="s">
        <v>52</v>
      </c>
    </row>
    <row r="19" ht="13.5" thickBot="1">
      <c r="AO19" s="6"/>
    </row>
    <row r="20" spans="1:48" ht="12.75">
      <c r="A20" s="339" t="s">
        <v>95</v>
      </c>
      <c r="B20" s="340"/>
      <c r="C20" s="91" t="s">
        <v>13</v>
      </c>
      <c r="D20" s="92"/>
      <c r="E20" s="92"/>
      <c r="F20" s="93"/>
      <c r="G20" s="91" t="s">
        <v>58</v>
      </c>
      <c r="H20" s="92"/>
      <c r="I20" s="92"/>
      <c r="J20" s="93"/>
      <c r="K20" s="91" t="s">
        <v>16</v>
      </c>
      <c r="L20" s="92"/>
      <c r="M20" s="92"/>
      <c r="N20" s="93"/>
      <c r="O20" s="91" t="s">
        <v>57</v>
      </c>
      <c r="P20" s="92"/>
      <c r="Q20" s="92"/>
      <c r="R20" s="93"/>
      <c r="S20" s="91" t="s">
        <v>56</v>
      </c>
      <c r="T20" s="92"/>
      <c r="U20" s="92"/>
      <c r="V20" s="93"/>
      <c r="W20" s="91" t="s">
        <v>55</v>
      </c>
      <c r="X20" s="92"/>
      <c r="Y20" s="92"/>
      <c r="Z20" s="93"/>
      <c r="AA20" s="91" t="s">
        <v>54</v>
      </c>
      <c r="AB20" s="92"/>
      <c r="AC20" s="92"/>
      <c r="AD20" s="93"/>
      <c r="AE20" s="91" t="s">
        <v>53</v>
      </c>
      <c r="AF20" s="92"/>
      <c r="AG20" s="92"/>
      <c r="AH20" s="93"/>
      <c r="AI20" s="91" t="s">
        <v>59</v>
      </c>
      <c r="AJ20" s="92"/>
      <c r="AK20" s="92"/>
      <c r="AL20" s="93"/>
      <c r="AM20" s="91" t="s">
        <v>46</v>
      </c>
      <c r="AN20" s="92"/>
      <c r="AO20" s="92"/>
      <c r="AP20" s="93"/>
      <c r="AQ20" s="241"/>
      <c r="AR20" s="231"/>
      <c r="AS20" s="232"/>
      <c r="AT20" s="232"/>
      <c r="AU20" s="232"/>
      <c r="AV20" s="233"/>
    </row>
    <row r="21" spans="1:48" ht="13.5" thickBot="1">
      <c r="A21" s="341"/>
      <c r="B21" s="342"/>
      <c r="C21" s="75" t="s">
        <v>48</v>
      </c>
      <c r="D21" s="23" t="s">
        <v>10</v>
      </c>
      <c r="E21" s="29" t="s">
        <v>50</v>
      </c>
      <c r="F21" s="76" t="s">
        <v>49</v>
      </c>
      <c r="G21" s="75" t="s">
        <v>48</v>
      </c>
      <c r="H21" s="23" t="s">
        <v>10</v>
      </c>
      <c r="I21" s="24" t="s">
        <v>50</v>
      </c>
      <c r="J21" s="76" t="s">
        <v>49</v>
      </c>
      <c r="K21" s="75" t="s">
        <v>48</v>
      </c>
      <c r="L21" s="23" t="s">
        <v>10</v>
      </c>
      <c r="M21" s="24" t="s">
        <v>50</v>
      </c>
      <c r="N21" s="76" t="s">
        <v>49</v>
      </c>
      <c r="O21" s="75" t="s">
        <v>48</v>
      </c>
      <c r="P21" s="23" t="s">
        <v>10</v>
      </c>
      <c r="Q21" s="24" t="s">
        <v>50</v>
      </c>
      <c r="R21" s="76" t="s">
        <v>49</v>
      </c>
      <c r="S21" s="75" t="s">
        <v>48</v>
      </c>
      <c r="T21" s="23" t="s">
        <v>10</v>
      </c>
      <c r="U21" s="24" t="s">
        <v>50</v>
      </c>
      <c r="V21" s="76" t="s">
        <v>49</v>
      </c>
      <c r="W21" s="75" t="s">
        <v>48</v>
      </c>
      <c r="X21" s="23" t="s">
        <v>10</v>
      </c>
      <c r="Y21" s="24" t="s">
        <v>50</v>
      </c>
      <c r="Z21" s="76" t="s">
        <v>49</v>
      </c>
      <c r="AA21" s="75" t="s">
        <v>48</v>
      </c>
      <c r="AB21" s="23" t="s">
        <v>10</v>
      </c>
      <c r="AC21" s="24" t="s">
        <v>50</v>
      </c>
      <c r="AD21" s="76" t="s">
        <v>49</v>
      </c>
      <c r="AE21" s="75" t="s">
        <v>48</v>
      </c>
      <c r="AF21" s="23" t="s">
        <v>10</v>
      </c>
      <c r="AG21" s="24" t="s">
        <v>50</v>
      </c>
      <c r="AH21" s="76" t="s">
        <v>49</v>
      </c>
      <c r="AI21" s="75" t="s">
        <v>48</v>
      </c>
      <c r="AJ21" s="23" t="s">
        <v>10</v>
      </c>
      <c r="AK21" s="24" t="s">
        <v>50</v>
      </c>
      <c r="AL21" s="76" t="s">
        <v>49</v>
      </c>
      <c r="AM21" s="75" t="s">
        <v>48</v>
      </c>
      <c r="AN21" s="23" t="s">
        <v>10</v>
      </c>
      <c r="AO21" s="24" t="s">
        <v>50</v>
      </c>
      <c r="AP21" s="76" t="s">
        <v>49</v>
      </c>
      <c r="AQ21" s="234" t="s">
        <v>135</v>
      </c>
      <c r="AR21" s="25" t="s">
        <v>134</v>
      </c>
      <c r="AS21" s="27" t="s">
        <v>50</v>
      </c>
      <c r="AT21" s="128" t="s">
        <v>140</v>
      </c>
      <c r="AU21" s="199" t="s">
        <v>141</v>
      </c>
      <c r="AV21" s="235">
        <v>1.0773149738098016E-05</v>
      </c>
    </row>
    <row r="22" spans="1:48" ht="12.75">
      <c r="A22" s="86">
        <v>37683.53150462963</v>
      </c>
      <c r="B22" s="88" t="s">
        <v>65</v>
      </c>
      <c r="C22" s="77">
        <v>0.3207325000000002</v>
      </c>
      <c r="D22" s="26">
        <v>0.06968489865996434</v>
      </c>
      <c r="E22" s="27">
        <v>3719172.7180747986</v>
      </c>
      <c r="F22" s="78">
        <v>24.579428671405264</v>
      </c>
      <c r="G22" s="77">
        <v>2.4462458333333488</v>
      </c>
      <c r="H22" s="26">
        <v>0.07386560880116877</v>
      </c>
      <c r="I22" s="27">
        <v>131574823.44578753</v>
      </c>
      <c r="J22" s="78">
        <v>14.665341765749666</v>
      </c>
      <c r="K22" s="77">
        <v>2.7045008333333467</v>
      </c>
      <c r="L22" s="26">
        <v>0.07437760440393412</v>
      </c>
      <c r="M22" s="27">
        <v>141779282.11895174</v>
      </c>
      <c r="N22" s="78">
        <v>12.69480667175954</v>
      </c>
      <c r="O22" s="77">
        <v>5.08842666666664</v>
      </c>
      <c r="P22" s="26">
        <v>0.07931209535190023</v>
      </c>
      <c r="Q22" s="27">
        <v>268979549.3965584</v>
      </c>
      <c r="R22" s="78">
        <v>9.761065955895207</v>
      </c>
      <c r="S22" s="77">
        <v>5.08842666666664</v>
      </c>
      <c r="T22" s="26">
        <v>0.07931209535190023</v>
      </c>
      <c r="U22" s="27">
        <v>268979549.3965584</v>
      </c>
      <c r="V22" s="78">
        <v>9.761065955895207</v>
      </c>
      <c r="W22" s="77">
        <v>7.063506666666725</v>
      </c>
      <c r="X22" s="26">
        <v>0.08303492523021366</v>
      </c>
      <c r="Y22" s="27">
        <v>380413882.9713749</v>
      </c>
      <c r="Z22" s="78">
        <v>9.420340013727634</v>
      </c>
      <c r="AA22" s="77">
        <v>7.657465833333364</v>
      </c>
      <c r="AB22" s="26">
        <v>0.0841101007644983</v>
      </c>
      <c r="AC22" s="27">
        <v>410871490.19102377</v>
      </c>
      <c r="AD22" s="78">
        <v>10.472596416975668</v>
      </c>
      <c r="AE22" s="77">
        <v>17.263563333333323</v>
      </c>
      <c r="AF22" s="26">
        <v>0.09860091000816976</v>
      </c>
      <c r="AG22" s="27">
        <v>437714055.1764579</v>
      </c>
      <c r="AH22" s="78">
        <v>4.901389978513046</v>
      </c>
      <c r="AI22" s="77">
        <v>17.310909999999986</v>
      </c>
      <c r="AJ22" s="26">
        <v>0.09927439561002964</v>
      </c>
      <c r="AK22" s="27">
        <v>450696800.0879945</v>
      </c>
      <c r="AL22" s="78">
        <v>16.214289077876966</v>
      </c>
      <c r="AM22" s="77">
        <v>24.320322500000167</v>
      </c>
      <c r="AN22" s="26">
        <v>0.11172676286321331</v>
      </c>
      <c r="AO22" s="27">
        <v>472693958.0636249</v>
      </c>
      <c r="AP22" s="78">
        <v>4.850721404747403</v>
      </c>
      <c r="AQ22" s="234">
        <v>25.258442154556317</v>
      </c>
      <c r="AR22" s="25">
        <v>8.623156888890444</v>
      </c>
      <c r="AS22" s="27">
        <v>4854537.322909361</v>
      </c>
      <c r="AT22" s="128">
        <v>3.21752</v>
      </c>
      <c r="AU22" s="26">
        <v>0.03618582837705466</v>
      </c>
      <c r="AV22" s="235" t="s">
        <v>65</v>
      </c>
    </row>
    <row r="23" spans="1:48" ht="12.75">
      <c r="A23" s="86">
        <v>37683.47755787037</v>
      </c>
      <c r="B23" s="89" t="s">
        <v>64</v>
      </c>
      <c r="C23" s="77">
        <v>0.29166666666666663</v>
      </c>
      <c r="D23" s="26">
        <v>0.024891613744017826</v>
      </c>
      <c r="E23" s="27">
        <v>10.207658912274773</v>
      </c>
      <c r="F23" s="78">
        <v>24.099086428136296</v>
      </c>
      <c r="G23" s="77">
        <v>2.1666666666666674</v>
      </c>
      <c r="H23" s="26">
        <v>0.027052602913727297</v>
      </c>
      <c r="I23" s="27">
        <v>14.324438960368624</v>
      </c>
      <c r="J23" s="78">
        <v>13.652672043358006</v>
      </c>
      <c r="K23" s="77">
        <v>2.458333333333333</v>
      </c>
      <c r="L23" s="26">
        <v>0.02731324359560494</v>
      </c>
      <c r="M23" s="27">
        <v>14.756784008518348</v>
      </c>
      <c r="N23" s="78">
        <v>11.313340656468691</v>
      </c>
      <c r="O23" s="77">
        <v>3.9583333333333277</v>
      </c>
      <c r="P23" s="26">
        <v>0.028919401057427463</v>
      </c>
      <c r="Q23" s="27">
        <v>17.36795679855856</v>
      </c>
      <c r="R23" s="78">
        <v>9.194642432767061</v>
      </c>
      <c r="S23" s="77">
        <v>3.9583333333333277</v>
      </c>
      <c r="T23" s="26">
        <v>0.028919401057427463</v>
      </c>
      <c r="U23" s="27">
        <v>17.36795679855856</v>
      </c>
      <c r="V23" s="78">
        <v>9.194642432767061</v>
      </c>
      <c r="W23" s="77">
        <v>5.750000000000006</v>
      </c>
      <c r="X23" s="26">
        <v>0.030590247481752486</v>
      </c>
      <c r="Y23" s="27">
        <v>19.23123477129016</v>
      </c>
      <c r="Z23" s="78">
        <v>9.050732177486271</v>
      </c>
      <c r="AA23" s="77">
        <v>6.375000000000011</v>
      </c>
      <c r="AB23" s="26">
        <v>0.031168208326379065</v>
      </c>
      <c r="AC23" s="27">
        <v>20.072361778851867</v>
      </c>
      <c r="AD23" s="78">
        <v>10.11592853718037</v>
      </c>
      <c r="AE23" s="77">
        <v>15.208333333333252</v>
      </c>
      <c r="AF23" s="26">
        <v>0.03817567627274443</v>
      </c>
      <c r="AG23" s="27">
        <v>20.743954428817275</v>
      </c>
      <c r="AH23" s="78">
        <v>4</v>
      </c>
      <c r="AI23" s="77">
        <v>15.249999999999918</v>
      </c>
      <c r="AJ23" s="26">
        <v>0.038523533046389065</v>
      </c>
      <c r="AK23" s="27">
        <v>21.21855730103337</v>
      </c>
      <c r="AL23" s="78">
        <v>16.2635374773862</v>
      </c>
      <c r="AM23" s="77">
        <v>22.33333333333342</v>
      </c>
      <c r="AN23" s="26">
        <v>0.04491580743174173</v>
      </c>
      <c r="AO23" s="27">
        <v>21.870185185972822</v>
      </c>
      <c r="AP23" s="78">
        <v>4</v>
      </c>
      <c r="AQ23" s="234">
        <v>8.825833279662273</v>
      </c>
      <c r="AR23" s="25">
        <v>12</v>
      </c>
      <c r="AS23" s="27">
        <v>0.0001</v>
      </c>
      <c r="AT23" s="128">
        <v>2</v>
      </c>
      <c r="AU23" s="26">
        <v>0.0001</v>
      </c>
      <c r="AV23" s="235" t="s">
        <v>64</v>
      </c>
    </row>
    <row r="24" spans="1:48" ht="12.75">
      <c r="A24" s="87">
        <f>A22-A23</f>
        <v>0.05394675926072523</v>
      </c>
      <c r="B24" s="89" t="s">
        <v>66</v>
      </c>
      <c r="C24" s="77">
        <v>0.1944052429291608</v>
      </c>
      <c r="D24" s="26">
        <v>0.20340693617398206</v>
      </c>
      <c r="E24" s="27">
        <v>338626084.4355559</v>
      </c>
      <c r="F24" s="78">
        <v>6.298442824093509</v>
      </c>
      <c r="G24" s="77">
        <v>1.697202214356353</v>
      </c>
      <c r="H24" s="26">
        <v>0.20716000189319664</v>
      </c>
      <c r="I24" s="27">
        <v>2157566665.074611</v>
      </c>
      <c r="J24" s="78">
        <v>5.997875411206036</v>
      </c>
      <c r="K24" s="77">
        <v>1.7583029890989328</v>
      </c>
      <c r="L24" s="26">
        <v>0.2077297152367681</v>
      </c>
      <c r="M24" s="27">
        <v>2230161771.2438183</v>
      </c>
      <c r="N24" s="78">
        <v>6.215433618525974</v>
      </c>
      <c r="O24" s="77">
        <v>4.566002268936376</v>
      </c>
      <c r="P24" s="26">
        <v>0.2125840440827684</v>
      </c>
      <c r="Q24" s="27">
        <v>3093159196.526615</v>
      </c>
      <c r="R24" s="78">
        <v>4.321759412935814</v>
      </c>
      <c r="S24" s="77">
        <v>4.566002268936376</v>
      </c>
      <c r="T24" s="26">
        <v>0.2125840440827684</v>
      </c>
      <c r="U24" s="27">
        <v>3093159196.526615</v>
      </c>
      <c r="V24" s="78">
        <v>4.321759412935814</v>
      </c>
      <c r="W24" s="77">
        <v>5.254121965691704</v>
      </c>
      <c r="X24" s="26">
        <v>0.21613460133653978</v>
      </c>
      <c r="Y24" s="27">
        <v>3679153359.4181476</v>
      </c>
      <c r="Z24" s="78">
        <v>3.5900366392017706</v>
      </c>
      <c r="AA24" s="77">
        <v>5.266480095438605</v>
      </c>
      <c r="AB24" s="26">
        <v>0.21701232789454394</v>
      </c>
      <c r="AC24" s="27">
        <v>3824608169.0594454</v>
      </c>
      <c r="AD24" s="78">
        <v>3.5012508381294056</v>
      </c>
      <c r="AE24" s="77">
        <v>8.96209625171176</v>
      </c>
      <c r="AF24" s="26">
        <v>0.22907223487324352</v>
      </c>
      <c r="AG24" s="27">
        <v>3945412680.2698956</v>
      </c>
      <c r="AH24" s="78">
        <v>1.3822097767865695</v>
      </c>
      <c r="AI24" s="77">
        <v>8.96214087590854</v>
      </c>
      <c r="AJ24" s="26">
        <v>0.22970665297624937</v>
      </c>
      <c r="AK24" s="27">
        <v>4005675786.0675383</v>
      </c>
      <c r="AL24" s="78">
        <v>7.210772410934282</v>
      </c>
      <c r="AM24" s="77">
        <v>10.000834713943934</v>
      </c>
      <c r="AN24" s="26">
        <v>0.23918553834638212</v>
      </c>
      <c r="AO24" s="27">
        <v>4104574427.6184087</v>
      </c>
      <c r="AP24" s="78">
        <v>1.379305592078014</v>
      </c>
      <c r="AQ24" s="236">
        <v>53.32549947094313</v>
      </c>
      <c r="AR24" s="25">
        <v>3.902340721929154</v>
      </c>
      <c r="AS24" s="28">
        <v>201739650.62670508</v>
      </c>
      <c r="AT24" s="129">
        <v>4.621146194337828</v>
      </c>
      <c r="AU24" s="26">
        <v>0.3838722986181238</v>
      </c>
      <c r="AV24" s="235" t="s">
        <v>66</v>
      </c>
    </row>
    <row r="25" spans="1:48" ht="12.75">
      <c r="A25" s="84"/>
      <c r="B25" s="89" t="s">
        <v>51</v>
      </c>
      <c r="C25" s="77">
        <v>0.125</v>
      </c>
      <c r="D25" s="26">
        <v>0.024379123267977372</v>
      </c>
      <c r="E25" s="28">
        <v>1.0316325565897362</v>
      </c>
      <c r="F25" s="78">
        <v>15.00919585918273</v>
      </c>
      <c r="G25" s="77">
        <v>0.20833333333333331</v>
      </c>
      <c r="H25" s="26">
        <v>0.0246086548857248</v>
      </c>
      <c r="I25" s="27">
        <v>1.3185398029220303</v>
      </c>
      <c r="J25" s="78">
        <v>6.907828031410764</v>
      </c>
      <c r="K25" s="77">
        <v>0.20833333333333331</v>
      </c>
      <c r="L25" s="26">
        <v>0.024609005527868388</v>
      </c>
      <c r="M25" s="27">
        <v>1.3750639584357058</v>
      </c>
      <c r="N25" s="78">
        <v>5.421909867697161</v>
      </c>
      <c r="O25" s="77">
        <v>1.5</v>
      </c>
      <c r="P25" s="26">
        <v>0.025844075946798727</v>
      </c>
      <c r="Q25" s="27">
        <v>1.6468283009935505</v>
      </c>
      <c r="R25" s="78">
        <v>4</v>
      </c>
      <c r="S25" s="77">
        <v>1.5</v>
      </c>
      <c r="T25" s="26">
        <v>0.025844075946798727</v>
      </c>
      <c r="U25" s="27">
        <v>1.6468283009935505</v>
      </c>
      <c r="V25" s="78">
        <v>4</v>
      </c>
      <c r="W25" s="77">
        <v>2.291666666666667</v>
      </c>
      <c r="X25" s="26">
        <v>0.026487181534826314</v>
      </c>
      <c r="Y25" s="27">
        <v>1.7873467465074653</v>
      </c>
      <c r="Z25" s="78">
        <v>4</v>
      </c>
      <c r="AA25" s="77">
        <v>2.8333333333333317</v>
      </c>
      <c r="AB25" s="26">
        <v>0.02692038817482444</v>
      </c>
      <c r="AC25" s="27">
        <v>1.8651138522623711</v>
      </c>
      <c r="AD25" s="78">
        <v>5.337943004224289</v>
      </c>
      <c r="AE25" s="77">
        <v>7.375000000000018</v>
      </c>
      <c r="AF25" s="26">
        <v>0.03022771721033061</v>
      </c>
      <c r="AG25" s="27">
        <v>1.9132326531202086</v>
      </c>
      <c r="AH25" s="78">
        <v>4</v>
      </c>
      <c r="AI25" s="77">
        <v>7.416666666666685</v>
      </c>
      <c r="AJ25" s="26">
        <v>0.03036616534595436</v>
      </c>
      <c r="AK25" s="27">
        <v>1.9513791047042686</v>
      </c>
      <c r="AL25" s="78">
        <v>4.047712728146617</v>
      </c>
      <c r="AM25" s="77">
        <v>12.291666666666627</v>
      </c>
      <c r="AN25" s="26">
        <v>0.03394066920371485</v>
      </c>
      <c r="AO25" s="27">
        <v>1.9896127558762942</v>
      </c>
      <c r="AP25" s="78">
        <v>4</v>
      </c>
      <c r="AQ25" s="236">
        <v>1</v>
      </c>
      <c r="AR25" s="25">
        <v>0.94</v>
      </c>
      <c r="AS25" s="28">
        <v>0.0001</v>
      </c>
      <c r="AT25" s="129">
        <v>1</v>
      </c>
      <c r="AU25" s="26">
        <v>0.0001</v>
      </c>
      <c r="AV25" s="235" t="s">
        <v>51</v>
      </c>
    </row>
    <row r="26" spans="1:48" ht="13.5" thickBot="1">
      <c r="A26" s="85"/>
      <c r="B26" s="90" t="s">
        <v>52</v>
      </c>
      <c r="C26" s="79">
        <v>0.7083333333333331</v>
      </c>
      <c r="D26" s="80">
        <v>0.04488809204468143</v>
      </c>
      <c r="E26" s="83">
        <v>128.69159570086725</v>
      </c>
      <c r="F26" s="82">
        <v>35.670609399128125</v>
      </c>
      <c r="G26" s="79">
        <v>5.583333333333338</v>
      </c>
      <c r="H26" s="80">
        <v>0.056989644295184855</v>
      </c>
      <c r="I26" s="81">
        <v>6093.838555993025</v>
      </c>
      <c r="J26" s="82">
        <v>26.564314258195008</v>
      </c>
      <c r="K26" s="79">
        <v>5.875000000000007</v>
      </c>
      <c r="L26" s="80">
        <v>0.05835481330697368</v>
      </c>
      <c r="M26" s="81">
        <v>9531.041089715469</v>
      </c>
      <c r="N26" s="82">
        <v>26.17352835184054</v>
      </c>
      <c r="O26" s="79">
        <v>11.958333333333298</v>
      </c>
      <c r="P26" s="80">
        <v>1</v>
      </c>
      <c r="Q26" s="81">
        <v>411246.1676861277</v>
      </c>
      <c r="R26" s="82">
        <v>17.670430885191465</v>
      </c>
      <c r="S26" s="79">
        <v>11.958333333333298</v>
      </c>
      <c r="T26" s="80">
        <v>1</v>
      </c>
      <c r="U26" s="81">
        <v>411246.1676861277</v>
      </c>
      <c r="V26" s="82">
        <v>17.670430885191465</v>
      </c>
      <c r="W26" s="79">
        <v>15.87499999999991</v>
      </c>
      <c r="X26" s="80">
        <v>1</v>
      </c>
      <c r="Y26" s="81">
        <v>4557746.074392751</v>
      </c>
      <c r="Z26" s="82">
        <v>15.902256806037522</v>
      </c>
      <c r="AA26" s="79">
        <v>16.416666666666586</v>
      </c>
      <c r="AB26" s="80">
        <v>1</v>
      </c>
      <c r="AC26" s="81">
        <v>8499131.171667518</v>
      </c>
      <c r="AD26" s="82">
        <v>16.76113019771574</v>
      </c>
      <c r="AE26" s="79">
        <v>34.08333333333358</v>
      </c>
      <c r="AF26" s="80">
        <v>1</v>
      </c>
      <c r="AG26" s="81">
        <v>12118721.68750533</v>
      </c>
      <c r="AH26" s="82">
        <v>7.859184216169851</v>
      </c>
      <c r="AI26" s="79">
        <v>34.12500000000024</v>
      </c>
      <c r="AJ26" s="80">
        <v>1</v>
      </c>
      <c r="AK26" s="81">
        <v>13751032.726491006</v>
      </c>
      <c r="AL26" s="82">
        <v>28.252419598477953</v>
      </c>
      <c r="AM26" s="79">
        <v>43.0416666666664</v>
      </c>
      <c r="AN26" s="80">
        <v>1</v>
      </c>
      <c r="AO26" s="81">
        <v>14979549.52385147</v>
      </c>
      <c r="AP26" s="82">
        <v>7.861906129478187</v>
      </c>
      <c r="AQ26" s="237">
        <v>99.81743061295583</v>
      </c>
      <c r="AR26" s="238">
        <v>12</v>
      </c>
      <c r="AS26" s="83">
        <v>6.494488282918106</v>
      </c>
      <c r="AT26" s="239">
        <v>11</v>
      </c>
      <c r="AU26" s="80">
        <v>0.016078643517919534</v>
      </c>
      <c r="AV26" s="240" t="s">
        <v>52</v>
      </c>
    </row>
  </sheetData>
  <mergeCells count="2">
    <mergeCell ref="A20:B21"/>
    <mergeCell ref="A12:B13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A1:BS92"/>
  <sheetViews>
    <sheetView workbookViewId="0" topLeftCell="AS1">
      <selection activeCell="AS1" sqref="AS1"/>
    </sheetView>
  </sheetViews>
  <sheetFormatPr defaultColWidth="9.140625" defaultRowHeight="12.75"/>
  <cols>
    <col min="1" max="1" width="14.8515625" style="0" customWidth="1"/>
    <col min="5" max="5" width="12.8515625" style="0" bestFit="1" customWidth="1"/>
    <col min="6" max="6" width="11.28125" style="0" bestFit="1" customWidth="1"/>
    <col min="9" max="9" width="16.421875" style="0" bestFit="1" customWidth="1"/>
    <col min="10" max="10" width="11.28125" style="0" bestFit="1" customWidth="1"/>
    <col min="13" max="13" width="16.421875" style="0" bestFit="1" customWidth="1"/>
    <col min="14" max="14" width="11.28125" style="0" bestFit="1" customWidth="1"/>
    <col min="17" max="17" width="16.421875" style="0" bestFit="1" customWidth="1"/>
    <col min="18" max="18" width="11.28125" style="0" bestFit="1" customWidth="1"/>
    <col min="21" max="21" width="16.421875" style="0" bestFit="1" customWidth="1"/>
    <col min="22" max="22" width="11.28125" style="0" bestFit="1" customWidth="1"/>
    <col min="25" max="25" width="16.421875" style="0" bestFit="1" customWidth="1"/>
    <col min="26" max="26" width="11.28125" style="0" bestFit="1" customWidth="1"/>
    <col min="29" max="29" width="16.421875" style="0" bestFit="1" customWidth="1"/>
    <col min="30" max="30" width="11.28125" style="0" bestFit="1" customWidth="1"/>
    <col min="33" max="33" width="16.421875" style="0" bestFit="1" customWidth="1"/>
    <col min="34" max="34" width="11.28125" style="0" bestFit="1" customWidth="1"/>
    <col min="37" max="37" width="16.421875" style="0" bestFit="1" customWidth="1"/>
    <col min="38" max="38" width="11.28125" style="0" bestFit="1" customWidth="1"/>
    <col min="41" max="41" width="17.421875" style="0" bestFit="1" customWidth="1"/>
    <col min="42" max="42" width="11.28125" style="0" bestFit="1" customWidth="1"/>
    <col min="43" max="43" width="15.421875" style="0" customWidth="1"/>
    <col min="44" max="44" width="11.28125" style="0" customWidth="1"/>
    <col min="45" max="45" width="15.8515625" style="0" bestFit="1" customWidth="1"/>
    <col min="46" max="48" width="11.28125" style="0" customWidth="1"/>
    <col min="50" max="50" width="12.28125" style="0" bestFit="1" customWidth="1"/>
    <col min="51" max="51" width="17.28125" style="0" bestFit="1" customWidth="1"/>
    <col min="52" max="61" width="14.00390625" style="0" bestFit="1" customWidth="1"/>
  </cols>
  <sheetData>
    <row r="1" spans="43:61" ht="12.75">
      <c r="AQ1" s="5"/>
      <c r="AR1" s="5"/>
      <c r="AS1" s="242">
        <f>AV1/AY1</f>
        <v>0.05057762725386193</v>
      </c>
      <c r="AT1" s="5"/>
      <c r="AV1" s="42">
        <f>AV5*PasteurizationSims!$AZ$38</f>
        <v>26492.137466079523</v>
      </c>
      <c r="AW1" s="42">
        <f>AW5*PasteurizationSims!$AZ$38</f>
        <v>0</v>
      </c>
      <c r="AX1" s="42">
        <f>AX5*PasteurizationSims!$AZ$38</f>
        <v>18929.608164657824</v>
      </c>
      <c r="AY1" s="42">
        <f>AY5*PasteurizationSims!$AZ$38</f>
        <v>523791.6229859651</v>
      </c>
      <c r="AZ1" s="42">
        <f>AZ5*PasteurizationSims!$AZ$38</f>
        <v>536754.8274907955</v>
      </c>
      <c r="BA1" s="42">
        <f>BA5*PasteurizationSims!$AZ$38</f>
        <v>537541.4215527294</v>
      </c>
      <c r="BB1" s="42">
        <f>BB5*PasteurizationSims!$AZ$38</f>
        <v>497509.2445042791</v>
      </c>
      <c r="BC1" s="42">
        <f>BC5*PasteurizationSims!$AZ$38</f>
        <v>495602.738950035</v>
      </c>
      <c r="BD1" s="42">
        <f>BD5*PasteurizationSims!$AZ$38</f>
        <v>516270.05461716116</v>
      </c>
      <c r="BE1" s="42">
        <f>BE5*PasteurizationSims!$AZ$38</f>
        <v>546773.7499534154</v>
      </c>
      <c r="BF1" s="42">
        <f>BF5*PasteurizationSims!$AZ$38</f>
        <v>548905.5440625256</v>
      </c>
      <c r="BG1" s="42">
        <f>BG5*PasteurizationSims!$AZ$38</f>
        <v>511161.4285146534</v>
      </c>
      <c r="BH1" s="42">
        <f>BH5*PasteurizationSims!$AZ$38</f>
        <v>521763.1442441141</v>
      </c>
      <c r="BI1" s="42">
        <f>BI5*PasteurizationSims!$AZ$38</f>
        <v>525634.0759699421</v>
      </c>
    </row>
    <row r="2" spans="43:61" ht="12.75">
      <c r="AQ2" s="5"/>
      <c r="AR2" s="5"/>
      <c r="AS2" s="5"/>
      <c r="AT2" s="5"/>
      <c r="AU2" s="6">
        <v>50000</v>
      </c>
      <c r="AV2">
        <f>SQRT(AU2)</f>
        <v>223.60679774997897</v>
      </c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</row>
    <row r="3" spans="43:48" ht="12.75">
      <c r="AQ3" s="5"/>
      <c r="AR3" s="5"/>
      <c r="AS3" s="5"/>
      <c r="AT3" s="5"/>
      <c r="AV3" s="42">
        <f>AY8/AV2</f>
        <v>0.001761783957101873</v>
      </c>
    </row>
    <row r="4" spans="43:46" ht="12.75">
      <c r="AQ4" s="5"/>
      <c r="AR4" s="5"/>
      <c r="AS4" s="5"/>
      <c r="AT4" s="5"/>
    </row>
    <row r="5" spans="43:61" ht="12.75">
      <c r="AQ5" s="5"/>
      <c r="AR5" s="5"/>
      <c r="AS5" s="5"/>
      <c r="AT5" s="5"/>
      <c r="AV5">
        <f>AV3*Inputs!D23</f>
        <v>5.245136902288653E-07</v>
      </c>
      <c r="AX5" s="218">
        <f>STDEV(AZ5:BI5)</f>
        <v>3.7478435425393655E-07</v>
      </c>
      <c r="AY5" s="219">
        <f>AVERAGE(AZ5:BI5)</f>
        <v>1.0370468499761725E-05</v>
      </c>
      <c r="AZ5" s="219">
        <f>AV13</f>
        <v>1.0627124960220077E-05</v>
      </c>
      <c r="BA5" s="219">
        <f>AV21</f>
        <v>1.0642698613145038E-05</v>
      </c>
      <c r="BB5" s="219">
        <f>AV29</f>
        <v>9.850107794889506E-06</v>
      </c>
      <c r="BC5" s="219">
        <f>AV37</f>
        <v>9.812361189317238E-06</v>
      </c>
      <c r="BD5" s="219">
        <f>AV45</f>
        <v>1.0221550142891448E-05</v>
      </c>
      <c r="BE5" s="219">
        <f>AV53</f>
        <v>1.0825488040576055E-05</v>
      </c>
      <c r="BF5" s="219">
        <f>AV61</f>
        <v>1.0867695099044224E-05</v>
      </c>
      <c r="BG5" s="219">
        <f>AV69</f>
        <v>1.0120405252923368E-05</v>
      </c>
      <c r="BH5" s="219">
        <f>AV77</f>
        <v>1.033030696610664E-05</v>
      </c>
      <c r="BI5" s="219">
        <f>AV85</f>
        <v>1.0406946938503647E-05</v>
      </c>
    </row>
    <row r="6" spans="43:71" ht="12.75">
      <c r="AQ6" s="5"/>
      <c r="AR6" s="5"/>
      <c r="AS6" s="5"/>
      <c r="AT6" s="5"/>
      <c r="AX6" s="218">
        <f>STDEV(AZ6:BS6)</f>
        <v>0.017890080666660896</v>
      </c>
      <c r="AY6" s="219">
        <f>AVERAGE(AZ6:BS6)</f>
        <v>0.01741663313167137</v>
      </c>
      <c r="AZ6" s="219">
        <f>AU14</f>
        <v>0.03569534716408106</v>
      </c>
      <c r="BA6" s="219">
        <f>AU22</f>
        <v>0.0357476573561462</v>
      </c>
      <c r="BB6" s="219">
        <f>AU30</f>
        <v>0.033085431728556665</v>
      </c>
      <c r="BC6" s="219">
        <f>AU38</f>
        <v>0.03295864502046663</v>
      </c>
      <c r="BD6" s="219">
        <f>AU46</f>
        <v>0.034333065835900047</v>
      </c>
      <c r="BE6" s="219">
        <f>AU54</f>
        <v>0.03636162699464179</v>
      </c>
      <c r="BF6" s="219">
        <f>AU62</f>
        <v>0.036503395874789096</v>
      </c>
      <c r="BG6" s="219">
        <f>AU70</f>
        <v>0.0339933312440139</v>
      </c>
      <c r="BH6" s="219">
        <f>AU78</f>
        <v>0.03469836807669053</v>
      </c>
      <c r="BI6" s="219">
        <f>AU86</f>
        <v>0.03495579333814149</v>
      </c>
      <c r="BJ6">
        <f>AU94</f>
        <v>0</v>
      </c>
      <c r="BK6">
        <f>AU102</f>
        <v>0</v>
      </c>
      <c r="BL6">
        <f>AU110</f>
        <v>0</v>
      </c>
      <c r="BM6">
        <f>AU118</f>
        <v>0</v>
      </c>
      <c r="BN6">
        <f>AU126</f>
        <v>0</v>
      </c>
      <c r="BO6">
        <f>AU134</f>
        <v>0</v>
      </c>
      <c r="BP6">
        <f>AU142</f>
        <v>0</v>
      </c>
      <c r="BQ6">
        <f>AU150</f>
        <v>0</v>
      </c>
      <c r="BR6">
        <f>AU158</f>
        <v>0</v>
      </c>
      <c r="BS6">
        <f>AU166</f>
        <v>0</v>
      </c>
    </row>
    <row r="7" spans="43:71" ht="12.75">
      <c r="AQ7" s="5"/>
      <c r="AR7" s="5"/>
      <c r="AS7" s="5"/>
      <c r="AT7" s="5"/>
      <c r="AX7" s="218">
        <f>STDEV(AZ7:BS7)</f>
        <v>5.129891760425769E-05</v>
      </c>
      <c r="AY7" s="219">
        <f>AVERAGE(AZ7:BS7)</f>
        <v>5.000000000000001E-05</v>
      </c>
      <c r="AZ7" s="219">
        <f>AU15</f>
        <v>0.0001</v>
      </c>
      <c r="BA7" s="219">
        <f>AU23</f>
        <v>0.0001</v>
      </c>
      <c r="BB7" s="219">
        <f>AU31</f>
        <v>0.0001</v>
      </c>
      <c r="BC7" s="219">
        <f>AU39</f>
        <v>0.0001</v>
      </c>
      <c r="BD7" s="219">
        <f>AU47</f>
        <v>0.0001</v>
      </c>
      <c r="BE7" s="219">
        <f>AU55</f>
        <v>0.0001</v>
      </c>
      <c r="BF7" s="219">
        <f>AU63</f>
        <v>0.0001</v>
      </c>
      <c r="BG7" s="219">
        <f>AU71</f>
        <v>0.0001</v>
      </c>
      <c r="BH7" s="219">
        <f>AU79</f>
        <v>0.0001</v>
      </c>
      <c r="BI7" s="219">
        <f>AU87</f>
        <v>0.0001</v>
      </c>
      <c r="BJ7">
        <f>AU95</f>
        <v>0</v>
      </c>
      <c r="BK7">
        <f>AU103</f>
        <v>0</v>
      </c>
      <c r="BL7">
        <f>AU111</f>
        <v>0</v>
      </c>
      <c r="BM7">
        <f>AU119</f>
        <v>0</v>
      </c>
      <c r="BN7">
        <f>AU127</f>
        <v>0</v>
      </c>
      <c r="BO7">
        <f>AU135</f>
        <v>0</v>
      </c>
      <c r="BP7">
        <f>AU143</f>
        <v>0</v>
      </c>
      <c r="BQ7">
        <f>AU151</f>
        <v>0</v>
      </c>
      <c r="BR7">
        <f>AU159</f>
        <v>0</v>
      </c>
      <c r="BS7">
        <f>AU167</f>
        <v>0</v>
      </c>
    </row>
    <row r="8" spans="41:61" ht="12.75">
      <c r="AO8" s="6"/>
      <c r="AQ8" s="5"/>
      <c r="AR8" s="5"/>
      <c r="AS8" s="5"/>
      <c r="AT8" s="5"/>
      <c r="AX8" s="218">
        <f>STDEV(AZ8:BS8)</f>
        <v>0.029346540914172034</v>
      </c>
      <c r="AY8" s="219">
        <f>AVERAGE(AZ8:BS8)</f>
        <v>0.39394686897483616</v>
      </c>
      <c r="AZ8" s="219">
        <f>AU16</f>
        <v>0.36277829474942763</v>
      </c>
      <c r="BA8" s="219">
        <f>AU24</f>
        <v>0.44267313801298147</v>
      </c>
      <c r="BB8" s="219">
        <f>AU32</f>
        <v>0.3703032805703763</v>
      </c>
      <c r="BC8" s="219">
        <f>AU40</f>
        <v>0.41477879503584997</v>
      </c>
      <c r="BD8" s="219">
        <f>AU48</f>
        <v>0.37074095336929225</v>
      </c>
      <c r="BE8" s="219">
        <f>AU56</f>
        <v>0.37887546826992735</v>
      </c>
      <c r="BF8" s="219">
        <f>AU64</f>
        <v>0.4370382755005771</v>
      </c>
      <c r="BG8" s="219">
        <f>AU72</f>
        <v>0.37827186300988047</v>
      </c>
      <c r="BH8" s="219">
        <f>AU80</f>
        <v>0.4083822471508184</v>
      </c>
      <c r="BI8" s="219">
        <f>AU88</f>
        <v>0.37562637407923066</v>
      </c>
    </row>
    <row r="9" spans="41:71" ht="12.75">
      <c r="AO9" s="6"/>
      <c r="AQ9" s="5"/>
      <c r="AR9" s="5"/>
      <c r="AS9" s="5"/>
      <c r="AT9" s="5"/>
      <c r="AX9" s="218">
        <f>STDEV(AZ9:BS9)</f>
        <v>5.129891760425769E-05</v>
      </c>
      <c r="AY9" s="219">
        <f>AVERAGE(AZ9:BS9)</f>
        <v>5.000000000000001E-05</v>
      </c>
      <c r="AZ9" s="219">
        <f>AU17</f>
        <v>0.0001</v>
      </c>
      <c r="BA9" s="219">
        <f>AU25</f>
        <v>0.0001</v>
      </c>
      <c r="BB9" s="219">
        <f>AU33</f>
        <v>0.0001</v>
      </c>
      <c r="BC9" s="219">
        <f>AU41</f>
        <v>0.0001</v>
      </c>
      <c r="BD9" s="219">
        <f>AU49</f>
        <v>0.0001</v>
      </c>
      <c r="BE9" s="219">
        <f>AU57</f>
        <v>0.0001</v>
      </c>
      <c r="BF9" s="219">
        <f>AU65</f>
        <v>0.0001</v>
      </c>
      <c r="BG9" s="219">
        <f>AU73</f>
        <v>0.0001</v>
      </c>
      <c r="BH9" s="219">
        <f>AU81</f>
        <v>0.0001</v>
      </c>
      <c r="BI9" s="219">
        <f>AU89</f>
        <v>0.0001</v>
      </c>
      <c r="BJ9">
        <f>AU97</f>
        <v>0</v>
      </c>
      <c r="BK9">
        <f>AU105</f>
        <v>0</v>
      </c>
      <c r="BL9">
        <f>AU113</f>
        <v>0</v>
      </c>
      <c r="BM9">
        <f>AU121</f>
        <v>0</v>
      </c>
      <c r="BN9">
        <f>AU129</f>
        <v>0</v>
      </c>
      <c r="BO9">
        <f>AU137</f>
        <v>0</v>
      </c>
      <c r="BP9">
        <f>AU145</f>
        <v>0</v>
      </c>
      <c r="BQ9">
        <f>AU153</f>
        <v>0</v>
      </c>
      <c r="BR9">
        <f>AU161</f>
        <v>0</v>
      </c>
      <c r="BS9">
        <f>AU169</f>
        <v>0</v>
      </c>
    </row>
    <row r="10" spans="41:71" ht="12.75">
      <c r="AO10" s="6"/>
      <c r="AQ10" s="5"/>
      <c r="AR10" s="5"/>
      <c r="AS10" s="5"/>
      <c r="AT10" s="5"/>
      <c r="AX10" s="218">
        <f>STDEV(AZ10:BS10)</f>
        <v>0.007554716333053627</v>
      </c>
      <c r="AY10" s="219">
        <f>AVERAGE(AZ10:BS10)</f>
        <v>0.007358298563408215</v>
      </c>
      <c r="AZ10" s="219">
        <f>AU18</f>
        <v>0.01465265971645792</v>
      </c>
      <c r="BA10" s="219">
        <f>AU26</f>
        <v>0.014928211266499661</v>
      </c>
      <c r="BB10" s="219">
        <f>AU34</f>
        <v>0.013806857848433272</v>
      </c>
      <c r="BC10" s="219">
        <f>AU42</f>
        <v>0.015060713215330843</v>
      </c>
      <c r="BD10" s="219">
        <f>AU50</f>
        <v>0.015113809300189374</v>
      </c>
      <c r="BE10" s="219">
        <f>AU58</f>
        <v>0.014695314636191148</v>
      </c>
      <c r="BF10" s="219">
        <f>AU66</f>
        <v>0.014440588462890995</v>
      </c>
      <c r="BG10" s="219">
        <f>AU74</f>
        <v>0.015149982729486531</v>
      </c>
      <c r="BH10" s="219">
        <f>AU82</f>
        <v>0.014451449765848827</v>
      </c>
      <c r="BI10" s="219">
        <f>AU90</f>
        <v>0.01486638432683574</v>
      </c>
      <c r="BJ10">
        <f>AU98</f>
        <v>0</v>
      </c>
      <c r="BK10">
        <f>AU106</f>
        <v>0</v>
      </c>
      <c r="BL10">
        <f>AU114</f>
        <v>0</v>
      </c>
      <c r="BM10">
        <f>AU122</f>
        <v>0</v>
      </c>
      <c r="BN10">
        <f>AU130</f>
        <v>0</v>
      </c>
      <c r="BO10">
        <f>AU138</f>
        <v>0</v>
      </c>
      <c r="BP10">
        <f>AU146</f>
        <v>0</v>
      </c>
      <c r="BQ10">
        <f>AU154</f>
        <v>0</v>
      </c>
      <c r="BR10">
        <f>AU162</f>
        <v>0</v>
      </c>
      <c r="BS10">
        <f>AU170</f>
        <v>0</v>
      </c>
    </row>
    <row r="11" spans="41:46" ht="13.5" thickBot="1">
      <c r="AO11" s="6"/>
      <c r="AQ11" s="5"/>
      <c r="AR11" s="5"/>
      <c r="AS11" s="5"/>
      <c r="AT11" s="5"/>
    </row>
    <row r="12" spans="2:48" ht="12.75">
      <c r="B12" s="97" t="s">
        <v>96</v>
      </c>
      <c r="C12" s="92" t="s">
        <v>13</v>
      </c>
      <c r="D12" s="92"/>
      <c r="E12" s="92"/>
      <c r="F12" s="93"/>
      <c r="G12" s="91" t="s">
        <v>58</v>
      </c>
      <c r="H12" s="92"/>
      <c r="I12" s="92"/>
      <c r="J12" s="93"/>
      <c r="K12" s="91" t="s">
        <v>16</v>
      </c>
      <c r="L12" s="92"/>
      <c r="M12" s="92"/>
      <c r="N12" s="93"/>
      <c r="O12" s="91" t="s">
        <v>57</v>
      </c>
      <c r="P12" s="92"/>
      <c r="Q12" s="92"/>
      <c r="R12" s="93"/>
      <c r="S12" s="91" t="s">
        <v>56</v>
      </c>
      <c r="T12" s="92"/>
      <c r="U12" s="92"/>
      <c r="V12" s="93"/>
      <c r="W12" s="91" t="s">
        <v>55</v>
      </c>
      <c r="X12" s="92"/>
      <c r="Y12" s="92"/>
      <c r="Z12" s="93"/>
      <c r="AA12" s="91" t="s">
        <v>54</v>
      </c>
      <c r="AB12" s="92"/>
      <c r="AC12" s="92"/>
      <c r="AD12" s="93"/>
      <c r="AE12" s="91" t="s">
        <v>53</v>
      </c>
      <c r="AF12" s="92"/>
      <c r="AG12" s="92"/>
      <c r="AH12" s="93"/>
      <c r="AI12" s="91" t="s">
        <v>59</v>
      </c>
      <c r="AJ12" s="92"/>
      <c r="AK12" s="92"/>
      <c r="AL12" s="93"/>
      <c r="AM12" s="91" t="s">
        <v>46</v>
      </c>
      <c r="AN12" s="92"/>
      <c r="AO12" s="92"/>
      <c r="AP12" s="93"/>
      <c r="AQ12" s="137"/>
      <c r="AR12" s="137"/>
      <c r="AS12" s="137"/>
      <c r="AT12" s="137"/>
      <c r="AU12" s="133"/>
      <c r="AV12" s="133"/>
    </row>
    <row r="13" spans="2:61" ht="12.75">
      <c r="B13" s="98"/>
      <c r="C13" s="94" t="s">
        <v>48</v>
      </c>
      <c r="D13" s="23" t="s">
        <v>10</v>
      </c>
      <c r="E13" s="29" t="s">
        <v>50</v>
      </c>
      <c r="F13" s="76" t="s">
        <v>49</v>
      </c>
      <c r="G13" s="75" t="s">
        <v>48</v>
      </c>
      <c r="H13" s="23" t="s">
        <v>10</v>
      </c>
      <c r="I13" s="24" t="s">
        <v>50</v>
      </c>
      <c r="J13" s="76" t="s">
        <v>49</v>
      </c>
      <c r="K13" s="75" t="s">
        <v>48</v>
      </c>
      <c r="L13" s="23" t="s">
        <v>10</v>
      </c>
      <c r="M13" s="24" t="s">
        <v>50</v>
      </c>
      <c r="N13" s="76" t="s">
        <v>49</v>
      </c>
      <c r="O13" s="75" t="s">
        <v>48</v>
      </c>
      <c r="P13" s="23" t="s">
        <v>10</v>
      </c>
      <c r="Q13" s="24" t="s">
        <v>50</v>
      </c>
      <c r="R13" s="76" t="s">
        <v>49</v>
      </c>
      <c r="S13" s="75" t="s">
        <v>48</v>
      </c>
      <c r="T13" s="23" t="s">
        <v>10</v>
      </c>
      <c r="U13" s="24" t="s">
        <v>50</v>
      </c>
      <c r="V13" s="76" t="s">
        <v>49</v>
      </c>
      <c r="W13" s="75" t="s">
        <v>48</v>
      </c>
      <c r="X13" s="23" t="s">
        <v>10</v>
      </c>
      <c r="Y13" s="24" t="s">
        <v>50</v>
      </c>
      <c r="Z13" s="76" t="s">
        <v>49</v>
      </c>
      <c r="AA13" s="75" t="s">
        <v>48</v>
      </c>
      <c r="AB13" s="23" t="s">
        <v>10</v>
      </c>
      <c r="AC13" s="24" t="s">
        <v>50</v>
      </c>
      <c r="AD13" s="76" t="s">
        <v>49</v>
      </c>
      <c r="AE13" s="75" t="s">
        <v>48</v>
      </c>
      <c r="AF13" s="23" t="s">
        <v>10</v>
      </c>
      <c r="AG13" s="24" t="s">
        <v>50</v>
      </c>
      <c r="AH13" s="76" t="s">
        <v>49</v>
      </c>
      <c r="AI13" s="75" t="s">
        <v>48</v>
      </c>
      <c r="AJ13" s="23" t="s">
        <v>10</v>
      </c>
      <c r="AK13" s="24" t="s">
        <v>50</v>
      </c>
      <c r="AL13" s="76" t="s">
        <v>49</v>
      </c>
      <c r="AM13" s="75" t="s">
        <v>48</v>
      </c>
      <c r="AN13" s="23" t="s">
        <v>10</v>
      </c>
      <c r="AO13" s="24" t="s">
        <v>50</v>
      </c>
      <c r="AP13" s="76" t="s">
        <v>49</v>
      </c>
      <c r="AQ13" s="131" t="s">
        <v>135</v>
      </c>
      <c r="AR13" s="131" t="s">
        <v>134</v>
      </c>
      <c r="AS13" s="131" t="s">
        <v>50</v>
      </c>
      <c r="AT13" s="131" t="s">
        <v>140</v>
      </c>
      <c r="AU13" s="131" t="s">
        <v>141</v>
      </c>
      <c r="AV13" s="131">
        <v>1.0627124960220077E-05</v>
      </c>
      <c r="AX13" s="6">
        <f>STDEV(AZ13:BI13)</f>
        <v>7017481.592475244</v>
      </c>
      <c r="AY13" s="43">
        <f>AVERAGE(AZ13:BI13)</f>
        <v>474611424.2177588</v>
      </c>
      <c r="AZ13" s="43">
        <f>AO14</f>
        <v>469532492.8277914</v>
      </c>
      <c r="BA13" s="43">
        <f>AO22</f>
        <v>475530949.68810385</v>
      </c>
      <c r="BB13" s="43">
        <f>AO30</f>
        <v>472321618.5308852</v>
      </c>
      <c r="BC13" s="43">
        <f>AO38</f>
        <v>470073320.0831993</v>
      </c>
      <c r="BD13" s="43">
        <f>AO46</f>
        <v>483992948.0737008</v>
      </c>
      <c r="BE13" s="43">
        <f>AO54</f>
        <v>472959759.88343453</v>
      </c>
      <c r="BF13" s="43">
        <f>AO62</f>
        <v>477256106.7898711</v>
      </c>
      <c r="BG13" s="43">
        <f>AO70</f>
        <v>484484999.67118627</v>
      </c>
      <c r="BH13" s="43">
        <f>AO78</f>
        <v>461245386.1710319</v>
      </c>
      <c r="BI13" s="43">
        <f>AO86</f>
        <v>478716660.45838296</v>
      </c>
    </row>
    <row r="14" spans="1:61" ht="12.75">
      <c r="A14" s="70"/>
      <c r="B14" s="89" t="s">
        <v>65</v>
      </c>
      <c r="C14" s="95">
        <v>0.3204758333333336</v>
      </c>
      <c r="D14" s="26">
        <v>0.07075944369499829</v>
      </c>
      <c r="E14" s="27">
        <v>7027356.946302586</v>
      </c>
      <c r="F14" s="78">
        <v>24.50366109431768</v>
      </c>
      <c r="G14" s="77">
        <v>2.4308683333333243</v>
      </c>
      <c r="H14" s="26">
        <v>0.07488709436826693</v>
      </c>
      <c r="I14" s="27">
        <v>140267291.34786227</v>
      </c>
      <c r="J14" s="78">
        <v>14.699219273020832</v>
      </c>
      <c r="K14" s="77">
        <v>2.6879183333333394</v>
      </c>
      <c r="L14" s="26">
        <v>0.07541752423992643</v>
      </c>
      <c r="M14" s="27">
        <v>150746555.47731248</v>
      </c>
      <c r="N14" s="78">
        <v>12.726701340696984</v>
      </c>
      <c r="O14" s="77">
        <v>5.049815833333372</v>
      </c>
      <c r="P14" s="26">
        <v>0.08003650514203159</v>
      </c>
      <c r="Q14" s="27">
        <v>281434906.3072339</v>
      </c>
      <c r="R14" s="78">
        <v>9.768055364575206</v>
      </c>
      <c r="S14" s="77">
        <v>5.049815833333372</v>
      </c>
      <c r="T14" s="26">
        <v>0.08003650514203159</v>
      </c>
      <c r="U14" s="27">
        <v>281434906.3072339</v>
      </c>
      <c r="V14" s="78">
        <v>9.768055364575206</v>
      </c>
      <c r="W14" s="77">
        <v>7.01757499999992</v>
      </c>
      <c r="X14" s="26">
        <v>0.08360944407147541</v>
      </c>
      <c r="Y14" s="27">
        <v>367014415.9728094</v>
      </c>
      <c r="Z14" s="78">
        <v>9.442620352596245</v>
      </c>
      <c r="AA14" s="77">
        <v>7.611774999999993</v>
      </c>
      <c r="AB14" s="26">
        <v>0.08464151314140238</v>
      </c>
      <c r="AC14" s="27">
        <v>401409779.99184406</v>
      </c>
      <c r="AD14" s="78">
        <v>10.494887550020561</v>
      </c>
      <c r="AE14" s="77">
        <v>17.269624999999998</v>
      </c>
      <c r="AF14" s="26">
        <v>0.0996614192413384</v>
      </c>
      <c r="AG14" s="27">
        <v>434640623.39152867</v>
      </c>
      <c r="AH14" s="78">
        <v>4.910093248834632</v>
      </c>
      <c r="AI14" s="77">
        <v>17.31690166666666</v>
      </c>
      <c r="AJ14" s="26">
        <v>0.10021970830233033</v>
      </c>
      <c r="AK14" s="27">
        <v>446858685.02446467</v>
      </c>
      <c r="AL14" s="78">
        <v>16.227071569785444</v>
      </c>
      <c r="AM14" s="77">
        <v>24.321021666666702</v>
      </c>
      <c r="AN14" s="26">
        <v>0.1125388827716234</v>
      </c>
      <c r="AO14" s="27">
        <v>469532492.8277914</v>
      </c>
      <c r="AP14" s="78">
        <v>4.866684229682993</v>
      </c>
      <c r="AQ14" s="138">
        <v>24.721210907000525</v>
      </c>
      <c r="AR14" s="138">
        <v>8.650955488890412</v>
      </c>
      <c r="AS14" s="138">
        <v>6704526.107843449</v>
      </c>
      <c r="AT14" s="138">
        <v>3.21044</v>
      </c>
      <c r="AU14" s="134">
        <v>0.03569534716408106</v>
      </c>
      <c r="AV14" s="132" t="s">
        <v>65</v>
      </c>
      <c r="AW14">
        <v>1</v>
      </c>
      <c r="AX14" s="2">
        <f>STDEV(AZ14:BI14)</f>
        <v>0.1485426043934705</v>
      </c>
      <c r="AY14" s="42">
        <f>AVERAGE(AZ14:BI14)</f>
        <v>21.69073077905889</v>
      </c>
      <c r="AZ14" s="42">
        <f>AO15</f>
        <v>21.668499221299378</v>
      </c>
      <c r="BA14" s="42">
        <f>AO23</f>
        <v>21.8025093543609</v>
      </c>
      <c r="BB14" s="42">
        <f>AO31</f>
        <v>21.658876833212787</v>
      </c>
      <c r="BC14" s="42">
        <f>AO39</f>
        <v>21.773066681277964</v>
      </c>
      <c r="BD14" s="42">
        <f>AO47</f>
        <v>21.79790294977277</v>
      </c>
      <c r="BE14" s="42">
        <f>AO55</f>
        <v>21.656502979725424</v>
      </c>
      <c r="BF14" s="42">
        <f>AO63</f>
        <v>21.893687315079816</v>
      </c>
      <c r="BG14" s="42">
        <f>AO71</f>
        <v>21.74848621094288</v>
      </c>
      <c r="BH14" s="42">
        <f>AO79</f>
        <v>21.38897190205826</v>
      </c>
      <c r="BI14" s="42">
        <f>AO87</f>
        <v>21.518804342858754</v>
      </c>
    </row>
    <row r="15" spans="1:61" ht="12.75">
      <c r="A15" s="70"/>
      <c r="B15" s="89" t="s">
        <v>64</v>
      </c>
      <c r="C15" s="95">
        <v>0.29166666666666663</v>
      </c>
      <c r="D15" s="26">
        <v>0.024887075607847642</v>
      </c>
      <c r="E15" s="27">
        <v>10.22293587563545</v>
      </c>
      <c r="F15" s="78">
        <v>24.065827336141453</v>
      </c>
      <c r="G15" s="77">
        <v>2.125</v>
      </c>
      <c r="H15" s="26">
        <v>0.027039682578758883</v>
      </c>
      <c r="I15" s="27">
        <v>14.396794068937497</v>
      </c>
      <c r="J15" s="78">
        <v>13.640327805040144</v>
      </c>
      <c r="K15" s="77">
        <v>2.458333333333333</v>
      </c>
      <c r="L15" s="26">
        <v>0.027301207684340745</v>
      </c>
      <c r="M15" s="27">
        <v>14.784041408030046</v>
      </c>
      <c r="N15" s="78">
        <v>11.355359228522172</v>
      </c>
      <c r="O15" s="77">
        <v>3.916666666666661</v>
      </c>
      <c r="P15" s="26">
        <v>0.02888150426534869</v>
      </c>
      <c r="Q15" s="27">
        <v>17.29324350324249</v>
      </c>
      <c r="R15" s="78">
        <v>9.185450433861636</v>
      </c>
      <c r="S15" s="77">
        <v>3.916666666666661</v>
      </c>
      <c r="T15" s="26">
        <v>0.02888150426534869</v>
      </c>
      <c r="U15" s="27">
        <v>17.29324350324249</v>
      </c>
      <c r="V15" s="78">
        <v>9.185450433861636</v>
      </c>
      <c r="W15" s="77">
        <v>5.708333333333339</v>
      </c>
      <c r="X15" s="26">
        <v>0.03054219278219511</v>
      </c>
      <c r="Y15" s="27">
        <v>18.963666185439493</v>
      </c>
      <c r="Z15" s="78">
        <v>9.075182426899094</v>
      </c>
      <c r="AA15" s="77">
        <v>6.291666666666677</v>
      </c>
      <c r="AB15" s="26">
        <v>0.031122685804171324</v>
      </c>
      <c r="AC15" s="27">
        <v>19.839890750191323</v>
      </c>
      <c r="AD15" s="78">
        <v>10.149113917431823</v>
      </c>
      <c r="AE15" s="77">
        <v>15.208333333333252</v>
      </c>
      <c r="AF15" s="26">
        <v>0.03817517012568328</v>
      </c>
      <c r="AG15" s="27">
        <v>20.527713237644903</v>
      </c>
      <c r="AH15" s="78">
        <v>4</v>
      </c>
      <c r="AI15" s="77">
        <v>15.249999999999918</v>
      </c>
      <c r="AJ15" s="26">
        <v>0.03852061085135938</v>
      </c>
      <c r="AK15" s="27">
        <v>21.01228309581266</v>
      </c>
      <c r="AL15" s="78">
        <v>16.281072378080303</v>
      </c>
      <c r="AM15" s="77">
        <v>22.33333333333342</v>
      </c>
      <c r="AN15" s="26">
        <v>0.044850181135074385</v>
      </c>
      <c r="AO15" s="27">
        <v>21.668499221299378</v>
      </c>
      <c r="AP15" s="78">
        <v>4</v>
      </c>
      <c r="AQ15" s="138">
        <v>8.932388832446392</v>
      </c>
      <c r="AR15" s="138">
        <v>12</v>
      </c>
      <c r="AS15" s="138">
        <v>0.0001</v>
      </c>
      <c r="AT15" s="138">
        <v>2</v>
      </c>
      <c r="AU15" s="134">
        <v>0.0001</v>
      </c>
      <c r="AV15" s="132" t="s">
        <v>64</v>
      </c>
      <c r="AX15" s="6">
        <f>STDEV(AZ15:BI15)</f>
        <v>28108714.90953322</v>
      </c>
      <c r="AY15" s="43">
        <f>AVERAGE(AZ15:BI15)</f>
        <v>4113891876.5919304</v>
      </c>
      <c r="AZ15" s="43">
        <f>AO16</f>
        <v>4090138431.841424</v>
      </c>
      <c r="BA15" s="43">
        <f>AO24</f>
        <v>4122331655.0522976</v>
      </c>
      <c r="BB15" s="43">
        <f>AO32</f>
        <v>4112699969.232168</v>
      </c>
      <c r="BC15" s="43">
        <f>AO40</f>
        <v>4095634733.8455486</v>
      </c>
      <c r="BD15" s="43">
        <f>AO48</f>
        <v>4136494959.683892</v>
      </c>
      <c r="BE15" s="43">
        <f>AO56</f>
        <v>4103547431.486448</v>
      </c>
      <c r="BF15" s="43">
        <f>AO64</f>
        <v>4128153958.3583612</v>
      </c>
      <c r="BG15" s="43">
        <f>AO72</f>
        <v>4163801696.021287</v>
      </c>
      <c r="BH15" s="43">
        <f>AO80</f>
        <v>4061750688.9444685</v>
      </c>
      <c r="BI15" s="43">
        <f>AO88</f>
        <v>4124365241.4534116</v>
      </c>
    </row>
    <row r="16" spans="1:61" ht="12.75">
      <c r="A16" s="71"/>
      <c r="B16" s="89" t="s">
        <v>66</v>
      </c>
      <c r="C16" s="95">
        <v>0.19361200380395482</v>
      </c>
      <c r="D16" s="26">
        <v>0.20571993392636942</v>
      </c>
      <c r="E16" s="27">
        <v>475283680.1113982</v>
      </c>
      <c r="F16" s="78">
        <v>6.21623784609012</v>
      </c>
      <c r="G16" s="77">
        <v>1.6882828963446086</v>
      </c>
      <c r="H16" s="26">
        <v>0.20933264963746392</v>
      </c>
      <c r="I16" s="27">
        <v>2226171394.2861996</v>
      </c>
      <c r="J16" s="78">
        <v>5.984019760559826</v>
      </c>
      <c r="K16" s="77">
        <v>1.7486831385247803</v>
      </c>
      <c r="L16" s="26">
        <v>0.2099347687682627</v>
      </c>
      <c r="M16" s="27">
        <v>2311650232.594821</v>
      </c>
      <c r="N16" s="78">
        <v>6.191489698493837</v>
      </c>
      <c r="O16" s="77">
        <v>4.57639489897723</v>
      </c>
      <c r="P16" s="26">
        <v>0.21415938338429516</v>
      </c>
      <c r="Q16" s="27">
        <v>3183529688.401243</v>
      </c>
      <c r="R16" s="78">
        <v>4.302687584532426</v>
      </c>
      <c r="S16" s="77">
        <v>4.57639489897723</v>
      </c>
      <c r="T16" s="26">
        <v>0.21415938338429516</v>
      </c>
      <c r="U16" s="27">
        <v>3183529688.401243</v>
      </c>
      <c r="V16" s="78">
        <v>4.302687584532426</v>
      </c>
      <c r="W16" s="77">
        <v>5.239408682465915</v>
      </c>
      <c r="X16" s="26">
        <v>0.21740350137618147</v>
      </c>
      <c r="Y16" s="27">
        <v>3629837450.889154</v>
      </c>
      <c r="Z16" s="78">
        <v>3.602748152823157</v>
      </c>
      <c r="AA16" s="77">
        <v>5.253259195291928</v>
      </c>
      <c r="AB16" s="26">
        <v>0.21819742206940246</v>
      </c>
      <c r="AC16" s="27">
        <v>3791028042.599216</v>
      </c>
      <c r="AD16" s="78">
        <v>3.500475668504043</v>
      </c>
      <c r="AE16" s="77">
        <v>8.974205220328827</v>
      </c>
      <c r="AF16" s="26">
        <v>0.23103700358057827</v>
      </c>
      <c r="AG16" s="27">
        <v>3938924676.889736</v>
      </c>
      <c r="AH16" s="78">
        <v>1.3968287360569713</v>
      </c>
      <c r="AI16" s="77">
        <v>8.974066799057839</v>
      </c>
      <c r="AJ16" s="26">
        <v>0.23145454615846023</v>
      </c>
      <c r="AK16" s="27">
        <v>3991968512.7976522</v>
      </c>
      <c r="AL16" s="78">
        <v>7.202609141613494</v>
      </c>
      <c r="AM16" s="77">
        <v>10.00442336812157</v>
      </c>
      <c r="AN16" s="26">
        <v>0.24061966962369244</v>
      </c>
      <c r="AO16" s="27">
        <v>4090138431.841424</v>
      </c>
      <c r="AP16" s="78">
        <v>1.3955943170976066</v>
      </c>
      <c r="AQ16" s="138">
        <v>50.89496982408048</v>
      </c>
      <c r="AR16" s="138">
        <v>3.892829739348194</v>
      </c>
      <c r="AS16" s="138">
        <v>327846336.64256716</v>
      </c>
      <c r="AT16" s="138">
        <v>4.625047332477426</v>
      </c>
      <c r="AU16" s="134">
        <v>0.36277829474942763</v>
      </c>
      <c r="AV16" s="132" t="s">
        <v>66</v>
      </c>
      <c r="AX16" s="2">
        <f>STDEV(AZ16:BI16)</f>
        <v>0.027422127194939583</v>
      </c>
      <c r="AY16" s="42">
        <f>AVERAGE(AZ16:BI16)</f>
        <v>2.0137856551959454</v>
      </c>
      <c r="AZ16" s="42">
        <f>AO17</f>
        <v>2.046000775179262</v>
      </c>
      <c r="BA16" s="42">
        <f>AO25</f>
        <v>2.0404893049457193</v>
      </c>
      <c r="BB16" s="42">
        <f>AO33</f>
        <v>1.9759800840134192</v>
      </c>
      <c r="BC16" s="42">
        <f>AO41</f>
        <v>1.994135751511677</v>
      </c>
      <c r="BD16" s="42">
        <f>AO49</f>
        <v>1.982542356823902</v>
      </c>
      <c r="BE16" s="42">
        <f>AO57</f>
        <v>2.007489549716048</v>
      </c>
      <c r="BF16" s="42">
        <f>AO65</f>
        <v>2.014714148114747</v>
      </c>
      <c r="BG16" s="42">
        <f>AO73</f>
        <v>2.0574040665448994</v>
      </c>
      <c r="BH16" s="42">
        <f>AO81</f>
        <v>2.0206495596698133</v>
      </c>
      <c r="BI16" s="42">
        <f>AO89</f>
        <v>1.9984509554399676</v>
      </c>
    </row>
    <row r="17" spans="2:61" ht="12.75">
      <c r="B17" s="89" t="s">
        <v>51</v>
      </c>
      <c r="C17" s="95">
        <v>0.125</v>
      </c>
      <c r="D17" s="26">
        <v>0.024379033079620038</v>
      </c>
      <c r="E17" s="28">
        <v>1.0341053206200057</v>
      </c>
      <c r="F17" s="78">
        <v>15.063150605141729</v>
      </c>
      <c r="G17" s="77">
        <v>0.25</v>
      </c>
      <c r="H17" s="26">
        <v>0.024620370298592285</v>
      </c>
      <c r="I17" s="27">
        <v>1.3538854829570475</v>
      </c>
      <c r="J17" s="78">
        <v>6.9755139613255155</v>
      </c>
      <c r="K17" s="77">
        <v>0.25</v>
      </c>
      <c r="L17" s="26">
        <v>0.024620619586414517</v>
      </c>
      <c r="M17" s="27">
        <v>1.4103298355647211</v>
      </c>
      <c r="N17" s="78">
        <v>5.43057994004087</v>
      </c>
      <c r="O17" s="77">
        <v>1.5</v>
      </c>
      <c r="P17" s="26">
        <v>0.02584380163003556</v>
      </c>
      <c r="Q17" s="27">
        <v>1.6886031971718312</v>
      </c>
      <c r="R17" s="78">
        <v>4</v>
      </c>
      <c r="S17" s="77">
        <v>1.5</v>
      </c>
      <c r="T17" s="26">
        <v>0.02584380163003556</v>
      </c>
      <c r="U17" s="27">
        <v>1.6886031971718312</v>
      </c>
      <c r="V17" s="78">
        <v>4</v>
      </c>
      <c r="W17" s="77">
        <v>2.291666666666667</v>
      </c>
      <c r="X17" s="26">
        <v>0.026500058552082234</v>
      </c>
      <c r="Y17" s="27">
        <v>1.840526136063757</v>
      </c>
      <c r="Z17" s="78">
        <v>4</v>
      </c>
      <c r="AA17" s="77">
        <v>2.8333333333333317</v>
      </c>
      <c r="AB17" s="26">
        <v>0.02694599186912347</v>
      </c>
      <c r="AC17" s="27">
        <v>1.9061026984331524</v>
      </c>
      <c r="AD17" s="78">
        <v>5.336537877684956</v>
      </c>
      <c r="AE17" s="77">
        <v>7.375000000000018</v>
      </c>
      <c r="AF17" s="26">
        <v>0.030259564012118434</v>
      </c>
      <c r="AG17" s="27">
        <v>1.9652471545131258</v>
      </c>
      <c r="AH17" s="78">
        <v>4</v>
      </c>
      <c r="AI17" s="77">
        <v>7.416666666666685</v>
      </c>
      <c r="AJ17" s="26">
        <v>0.030404110225973197</v>
      </c>
      <c r="AK17" s="27">
        <v>2.010785693349045</v>
      </c>
      <c r="AL17" s="78">
        <v>4.004542458216833</v>
      </c>
      <c r="AM17" s="77">
        <v>12.333333333333293</v>
      </c>
      <c r="AN17" s="26">
        <v>0.03399689621182195</v>
      </c>
      <c r="AO17" s="27">
        <v>2.046000775179262</v>
      </c>
      <c r="AP17" s="78">
        <v>4</v>
      </c>
      <c r="AQ17" s="138">
        <v>1</v>
      </c>
      <c r="AR17" s="138">
        <v>0.94</v>
      </c>
      <c r="AS17" s="138">
        <v>0.0001</v>
      </c>
      <c r="AT17" s="138">
        <v>1</v>
      </c>
      <c r="AU17" s="134">
        <v>0.0001</v>
      </c>
      <c r="AV17" s="132" t="s">
        <v>51</v>
      </c>
      <c r="AX17" s="6">
        <f>STDEV(AZ17:BI17)</f>
        <v>369553.9975026579</v>
      </c>
      <c r="AY17" s="43">
        <f>AVERAGE(AZ17:BI17)</f>
        <v>14462430.030822495</v>
      </c>
      <c r="AZ17" s="43">
        <f>AO18</f>
        <v>14227345.20347927</v>
      </c>
      <c r="BA17" s="43">
        <f>AO26</f>
        <v>14123910.501652703</v>
      </c>
      <c r="BB17" s="43">
        <f>AO34</f>
        <v>14696089.75325936</v>
      </c>
      <c r="BC17" s="43">
        <f>AO42</f>
        <v>14653226.803657502</v>
      </c>
      <c r="BD17" s="43">
        <f>AO50</f>
        <v>14934283.323030483</v>
      </c>
      <c r="BE17" s="43">
        <f>AO58</f>
        <v>14936887.073418733</v>
      </c>
      <c r="BF17" s="43">
        <f>AO66</f>
        <v>14673382.840910565</v>
      </c>
      <c r="BG17" s="43">
        <f>AO74</f>
        <v>14351285.761544636</v>
      </c>
      <c r="BH17" s="43">
        <f>AO82</f>
        <v>14189134.620266411</v>
      </c>
      <c r="BI17" s="43">
        <f>AO90</f>
        <v>13838754.4270053</v>
      </c>
    </row>
    <row r="18" spans="2:61" ht="13.5" thickBot="1">
      <c r="B18" s="90" t="s">
        <v>52</v>
      </c>
      <c r="C18" s="96">
        <v>0.7083333333333331</v>
      </c>
      <c r="D18" s="80">
        <v>0.04762500173504266</v>
      </c>
      <c r="E18" s="83">
        <v>125.76799785653364</v>
      </c>
      <c r="F18" s="82">
        <v>35.46819067522926</v>
      </c>
      <c r="G18" s="79">
        <v>5.541666666666671</v>
      </c>
      <c r="H18" s="80">
        <v>0.06581328855317123</v>
      </c>
      <c r="I18" s="81">
        <v>5410.524437363434</v>
      </c>
      <c r="J18" s="82">
        <v>26.566717946538855</v>
      </c>
      <c r="K18" s="79">
        <v>5.83333333333334</v>
      </c>
      <c r="L18" s="80">
        <v>0.07130352002417778</v>
      </c>
      <c r="M18" s="81">
        <v>8434.73089634838</v>
      </c>
      <c r="N18" s="82">
        <v>26.273813349289657</v>
      </c>
      <c r="O18" s="79">
        <v>11.958333333333298</v>
      </c>
      <c r="P18" s="80">
        <v>1</v>
      </c>
      <c r="Q18" s="81">
        <v>351700.3361903517</v>
      </c>
      <c r="R18" s="82">
        <v>17.750542700228607</v>
      </c>
      <c r="S18" s="79">
        <v>11.958333333333298</v>
      </c>
      <c r="T18" s="80">
        <v>1</v>
      </c>
      <c r="U18" s="81">
        <v>351700.3361903517</v>
      </c>
      <c r="V18" s="82">
        <v>17.750542700228607</v>
      </c>
      <c r="W18" s="79">
        <v>15.708333333333245</v>
      </c>
      <c r="X18" s="80">
        <v>1</v>
      </c>
      <c r="Y18" s="81">
        <v>4121159.797371673</v>
      </c>
      <c r="Z18" s="82">
        <v>15.980716082064255</v>
      </c>
      <c r="AA18" s="79">
        <v>16.33333333333325</v>
      </c>
      <c r="AB18" s="80">
        <v>1</v>
      </c>
      <c r="AC18" s="81">
        <v>7621000.503930421</v>
      </c>
      <c r="AD18" s="82">
        <v>16.82460840231742</v>
      </c>
      <c r="AE18" s="79">
        <v>34.08333333333358</v>
      </c>
      <c r="AF18" s="80">
        <v>1</v>
      </c>
      <c r="AG18" s="81">
        <v>11165563.362978844</v>
      </c>
      <c r="AH18" s="82">
        <v>7.894232633174611</v>
      </c>
      <c r="AI18" s="79">
        <v>34.12500000000024</v>
      </c>
      <c r="AJ18" s="80">
        <v>1</v>
      </c>
      <c r="AK18" s="81">
        <v>12712159.086009867</v>
      </c>
      <c r="AL18" s="82">
        <v>28.286161793498476</v>
      </c>
      <c r="AM18" s="79">
        <v>43.24999999999972</v>
      </c>
      <c r="AN18" s="80">
        <v>1</v>
      </c>
      <c r="AO18" s="81">
        <v>14227345.20347927</v>
      </c>
      <c r="AP18" s="82">
        <v>7.8907156079086755</v>
      </c>
      <c r="AQ18" s="138">
        <v>98.42347436388478</v>
      </c>
      <c r="AR18" s="138">
        <v>12</v>
      </c>
      <c r="AS18" s="138">
        <v>5.895140560630108</v>
      </c>
      <c r="AT18" s="138">
        <v>11</v>
      </c>
      <c r="AU18" s="134">
        <v>0.01465265971645792</v>
      </c>
      <c r="AV18" s="132" t="s">
        <v>52</v>
      </c>
      <c r="AX18" s="6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</row>
    <row r="19" spans="41:47" ht="13.5" thickBot="1">
      <c r="AO19" s="6"/>
      <c r="AQ19" s="5"/>
      <c r="AR19" s="5"/>
      <c r="AS19" s="5"/>
      <c r="AT19" s="5"/>
      <c r="AU19" s="19"/>
    </row>
    <row r="20" spans="2:48" ht="12.75">
      <c r="B20" s="97" t="s">
        <v>96</v>
      </c>
      <c r="C20" s="91" t="s">
        <v>13</v>
      </c>
      <c r="D20" s="92"/>
      <c r="E20" s="92"/>
      <c r="F20" s="93"/>
      <c r="G20" s="91" t="s">
        <v>58</v>
      </c>
      <c r="H20" s="92"/>
      <c r="I20" s="92"/>
      <c r="J20" s="93"/>
      <c r="K20" s="91" t="s">
        <v>16</v>
      </c>
      <c r="L20" s="92"/>
      <c r="M20" s="92"/>
      <c r="N20" s="93"/>
      <c r="O20" s="91" t="s">
        <v>57</v>
      </c>
      <c r="P20" s="92"/>
      <c r="Q20" s="92"/>
      <c r="R20" s="93"/>
      <c r="S20" s="91" t="s">
        <v>56</v>
      </c>
      <c r="T20" s="92"/>
      <c r="U20" s="92"/>
      <c r="V20" s="93"/>
      <c r="W20" s="91" t="s">
        <v>55</v>
      </c>
      <c r="X20" s="92"/>
      <c r="Y20" s="92"/>
      <c r="Z20" s="93"/>
      <c r="AA20" s="91" t="s">
        <v>54</v>
      </c>
      <c r="AB20" s="92"/>
      <c r="AC20" s="92"/>
      <c r="AD20" s="93"/>
      <c r="AE20" s="91" t="s">
        <v>53</v>
      </c>
      <c r="AF20" s="92"/>
      <c r="AG20" s="92"/>
      <c r="AH20" s="93"/>
      <c r="AI20" s="91" t="s">
        <v>59</v>
      </c>
      <c r="AJ20" s="92"/>
      <c r="AK20" s="92"/>
      <c r="AL20" s="93"/>
      <c r="AM20" s="91" t="s">
        <v>46</v>
      </c>
      <c r="AN20" s="92"/>
      <c r="AO20" s="92"/>
      <c r="AP20" s="93"/>
      <c r="AQ20" s="137"/>
      <c r="AR20" s="137"/>
      <c r="AS20" s="139"/>
      <c r="AT20" s="139"/>
      <c r="AU20" s="135"/>
      <c r="AV20" s="130"/>
    </row>
    <row r="21" spans="2:48" ht="12.75">
      <c r="B21" s="98"/>
      <c r="C21" s="75" t="s">
        <v>48</v>
      </c>
      <c r="D21" s="23" t="s">
        <v>10</v>
      </c>
      <c r="E21" s="29" t="s">
        <v>50</v>
      </c>
      <c r="F21" s="76" t="s">
        <v>49</v>
      </c>
      <c r="G21" s="75" t="s">
        <v>48</v>
      </c>
      <c r="H21" s="23" t="s">
        <v>10</v>
      </c>
      <c r="I21" s="24" t="s">
        <v>50</v>
      </c>
      <c r="J21" s="76" t="s">
        <v>49</v>
      </c>
      <c r="K21" s="75" t="s">
        <v>48</v>
      </c>
      <c r="L21" s="23" t="s">
        <v>10</v>
      </c>
      <c r="M21" s="24" t="s">
        <v>50</v>
      </c>
      <c r="N21" s="76" t="s">
        <v>49</v>
      </c>
      <c r="O21" s="75" t="s">
        <v>48</v>
      </c>
      <c r="P21" s="23" t="s">
        <v>10</v>
      </c>
      <c r="Q21" s="24" t="s">
        <v>50</v>
      </c>
      <c r="R21" s="76" t="s">
        <v>49</v>
      </c>
      <c r="S21" s="75" t="s">
        <v>48</v>
      </c>
      <c r="T21" s="23" t="s">
        <v>10</v>
      </c>
      <c r="U21" s="24" t="s">
        <v>50</v>
      </c>
      <c r="V21" s="76" t="s">
        <v>49</v>
      </c>
      <c r="W21" s="75" t="s">
        <v>48</v>
      </c>
      <c r="X21" s="23" t="s">
        <v>10</v>
      </c>
      <c r="Y21" s="24" t="s">
        <v>50</v>
      </c>
      <c r="Z21" s="76" t="s">
        <v>49</v>
      </c>
      <c r="AA21" s="75" t="s">
        <v>48</v>
      </c>
      <c r="AB21" s="23" t="s">
        <v>10</v>
      </c>
      <c r="AC21" s="24" t="s">
        <v>50</v>
      </c>
      <c r="AD21" s="76" t="s">
        <v>49</v>
      </c>
      <c r="AE21" s="75" t="s">
        <v>48</v>
      </c>
      <c r="AF21" s="23" t="s">
        <v>10</v>
      </c>
      <c r="AG21" s="24" t="s">
        <v>50</v>
      </c>
      <c r="AH21" s="76" t="s">
        <v>49</v>
      </c>
      <c r="AI21" s="75" t="s">
        <v>48</v>
      </c>
      <c r="AJ21" s="23" t="s">
        <v>10</v>
      </c>
      <c r="AK21" s="24" t="s">
        <v>50</v>
      </c>
      <c r="AL21" s="76" t="s">
        <v>49</v>
      </c>
      <c r="AM21" s="75" t="s">
        <v>48</v>
      </c>
      <c r="AN21" s="23" t="s">
        <v>10</v>
      </c>
      <c r="AO21" s="24" t="s">
        <v>50</v>
      </c>
      <c r="AP21" s="76" t="s">
        <v>49</v>
      </c>
      <c r="AQ21" s="131" t="s">
        <v>135</v>
      </c>
      <c r="AR21" s="131" t="s">
        <v>134</v>
      </c>
      <c r="AS21" s="131" t="s">
        <v>50</v>
      </c>
      <c r="AT21" s="131" t="s">
        <v>140</v>
      </c>
      <c r="AU21" s="136" t="s">
        <v>141</v>
      </c>
      <c r="AV21" s="131">
        <v>1.0642698613145038E-05</v>
      </c>
    </row>
    <row r="22" spans="1:49" ht="12.75">
      <c r="A22" s="70"/>
      <c r="B22" s="89" t="s">
        <v>65</v>
      </c>
      <c r="C22" s="77">
        <v>0.32010833333333316</v>
      </c>
      <c r="D22" s="26">
        <v>0.07005514295295322</v>
      </c>
      <c r="E22" s="27">
        <v>4632700.613613567</v>
      </c>
      <c r="F22" s="78">
        <v>24.532530625910837</v>
      </c>
      <c r="G22" s="77">
        <v>2.445790000000011</v>
      </c>
      <c r="H22" s="26">
        <v>0.0744388196042653</v>
      </c>
      <c r="I22" s="27">
        <v>130649742.9788514</v>
      </c>
      <c r="J22" s="78">
        <v>14.64768817076724</v>
      </c>
      <c r="K22" s="77">
        <v>2.7027033333333144</v>
      </c>
      <c r="L22" s="26">
        <v>0.07493020457411945</v>
      </c>
      <c r="M22" s="27">
        <v>140333933.24183425</v>
      </c>
      <c r="N22" s="78">
        <v>12.698576618170367</v>
      </c>
      <c r="O22" s="77">
        <v>5.065241666666647</v>
      </c>
      <c r="P22" s="26">
        <v>0.07967061648677075</v>
      </c>
      <c r="Q22" s="27">
        <v>278632076.1381711</v>
      </c>
      <c r="R22" s="78">
        <v>9.789458894410684</v>
      </c>
      <c r="S22" s="77">
        <v>5.065241666666647</v>
      </c>
      <c r="T22" s="26">
        <v>0.07967061648677075</v>
      </c>
      <c r="U22" s="27">
        <v>278632076.1381711</v>
      </c>
      <c r="V22" s="78">
        <v>9.789458894410684</v>
      </c>
      <c r="W22" s="77">
        <v>7.065160000000032</v>
      </c>
      <c r="X22" s="26">
        <v>0.08324432051927372</v>
      </c>
      <c r="Y22" s="27">
        <v>376561215.60190827</v>
      </c>
      <c r="Z22" s="78">
        <v>9.469802457756026</v>
      </c>
      <c r="AA22" s="77">
        <v>7.662294166666638</v>
      </c>
      <c r="AB22" s="26">
        <v>0.08457049317711562</v>
      </c>
      <c r="AC22" s="27">
        <v>412431914.6634623</v>
      </c>
      <c r="AD22" s="78">
        <v>10.503967733376436</v>
      </c>
      <c r="AE22" s="77">
        <v>17.31247916666656</v>
      </c>
      <c r="AF22" s="26">
        <v>0.09903177944128858</v>
      </c>
      <c r="AG22" s="27">
        <v>440318019.92831266</v>
      </c>
      <c r="AH22" s="78">
        <v>4.898652004413887</v>
      </c>
      <c r="AI22" s="77">
        <v>17.359871666667015</v>
      </c>
      <c r="AJ22" s="26">
        <v>0.09976498911306882</v>
      </c>
      <c r="AK22" s="27">
        <v>451370837.52816844</v>
      </c>
      <c r="AL22" s="78">
        <v>16.2037692903314</v>
      </c>
      <c r="AM22" s="77">
        <v>24.386979166666773</v>
      </c>
      <c r="AN22" s="26">
        <v>0.11234044038039066</v>
      </c>
      <c r="AO22" s="27">
        <v>475530949.68810385</v>
      </c>
      <c r="AP22" s="78">
        <v>4.850010887922821</v>
      </c>
      <c r="AQ22" s="138">
        <v>24.790472819841046</v>
      </c>
      <c r="AR22" s="138">
        <v>8.621938444445979</v>
      </c>
      <c r="AS22" s="138">
        <v>3739217.2576291426</v>
      </c>
      <c r="AT22" s="138">
        <v>3.28374</v>
      </c>
      <c r="AU22" s="134">
        <v>0.0357476573561462</v>
      </c>
      <c r="AV22" s="132" t="s">
        <v>65</v>
      </c>
      <c r="AW22">
        <v>2</v>
      </c>
    </row>
    <row r="23" spans="1:48" ht="12.75">
      <c r="A23" s="70"/>
      <c r="B23" s="89" t="s">
        <v>64</v>
      </c>
      <c r="C23" s="77">
        <v>0.29166666666666663</v>
      </c>
      <c r="D23" s="26">
        <v>0.0248857626850833</v>
      </c>
      <c r="E23" s="27">
        <v>10.194282900048552</v>
      </c>
      <c r="F23" s="78">
        <v>24.09703976066185</v>
      </c>
      <c r="G23" s="77">
        <v>2.1666666666666674</v>
      </c>
      <c r="H23" s="26">
        <v>0.02704247854843489</v>
      </c>
      <c r="I23" s="27">
        <v>14.326822768869324</v>
      </c>
      <c r="J23" s="78">
        <v>13.58462223765649</v>
      </c>
      <c r="K23" s="77">
        <v>2.458333333333333</v>
      </c>
      <c r="L23" s="26">
        <v>0.027296971068598963</v>
      </c>
      <c r="M23" s="27">
        <v>14.74164711888593</v>
      </c>
      <c r="N23" s="78">
        <v>11.341814348290645</v>
      </c>
      <c r="O23" s="77">
        <v>3.9583333333333277</v>
      </c>
      <c r="P23" s="26">
        <v>0.028912622364122287</v>
      </c>
      <c r="Q23" s="27">
        <v>17.330307630181537</v>
      </c>
      <c r="R23" s="78">
        <v>9.214486571148832</v>
      </c>
      <c r="S23" s="77">
        <v>3.9583333333333277</v>
      </c>
      <c r="T23" s="26">
        <v>0.028912622364122287</v>
      </c>
      <c r="U23" s="27">
        <v>17.330307630181537</v>
      </c>
      <c r="V23" s="78">
        <v>9.214486571148832</v>
      </c>
      <c r="W23" s="77">
        <v>5.708333333333339</v>
      </c>
      <c r="X23" s="26">
        <v>0.03054360830864844</v>
      </c>
      <c r="Y23" s="27">
        <v>19.120753222251146</v>
      </c>
      <c r="Z23" s="78">
        <v>9.108617379379712</v>
      </c>
      <c r="AA23" s="77">
        <v>6.333333333333344</v>
      </c>
      <c r="AB23" s="26">
        <v>0.031138686717054775</v>
      </c>
      <c r="AC23" s="27">
        <v>19.984103063386023</v>
      </c>
      <c r="AD23" s="78">
        <v>10.142073129786892</v>
      </c>
      <c r="AE23" s="77">
        <v>15.291666666666584</v>
      </c>
      <c r="AF23" s="26">
        <v>0.03823758720588266</v>
      </c>
      <c r="AG23" s="27">
        <v>20.668498857569382</v>
      </c>
      <c r="AH23" s="78">
        <v>4</v>
      </c>
      <c r="AI23" s="77">
        <v>15.33333333333325</v>
      </c>
      <c r="AJ23" s="26">
        <v>0.038598440376925225</v>
      </c>
      <c r="AK23" s="27">
        <v>21.1156437747484</v>
      </c>
      <c r="AL23" s="78">
        <v>16.200712922739235</v>
      </c>
      <c r="AM23" s="77">
        <v>22.416666666666757</v>
      </c>
      <c r="AN23" s="26">
        <v>0.044908938961819855</v>
      </c>
      <c r="AO23" s="27">
        <v>21.8025093543609</v>
      </c>
      <c r="AP23" s="78">
        <v>4</v>
      </c>
      <c r="AQ23" s="138">
        <v>8.798031605274659</v>
      </c>
      <c r="AR23" s="138">
        <v>12</v>
      </c>
      <c r="AS23" s="138">
        <v>0.0001</v>
      </c>
      <c r="AT23" s="138">
        <v>2</v>
      </c>
      <c r="AU23" s="134">
        <v>0.0001</v>
      </c>
      <c r="AV23" s="132" t="s">
        <v>64</v>
      </c>
    </row>
    <row r="24" spans="1:48" ht="12.75">
      <c r="A24" s="71"/>
      <c r="B24" s="89" t="s">
        <v>66</v>
      </c>
      <c r="C24" s="77">
        <v>0.19275616642788976</v>
      </c>
      <c r="D24" s="26">
        <v>0.20416756596269536</v>
      </c>
      <c r="E24" s="27">
        <v>361352069.1490689</v>
      </c>
      <c r="F24" s="78">
        <v>6.206645428925417</v>
      </c>
      <c r="G24" s="77">
        <v>1.7048199118660319</v>
      </c>
      <c r="H24" s="26">
        <v>0.2083544887123719</v>
      </c>
      <c r="I24" s="27">
        <v>2164531642.7553277</v>
      </c>
      <c r="J24" s="78">
        <v>5.94886120294573</v>
      </c>
      <c r="K24" s="77">
        <v>1.7652812381253657</v>
      </c>
      <c r="L24" s="26">
        <v>0.2088789116436153</v>
      </c>
      <c r="M24" s="27">
        <v>2235721482.5847335</v>
      </c>
      <c r="N24" s="78">
        <v>6.168073539233877</v>
      </c>
      <c r="O24" s="77">
        <v>4.531018499343053</v>
      </c>
      <c r="P24" s="26">
        <v>0.2134561379381804</v>
      </c>
      <c r="Q24" s="27">
        <v>3167207012.4249125</v>
      </c>
      <c r="R24" s="78">
        <v>4.316258840784401</v>
      </c>
      <c r="S24" s="77">
        <v>4.531018499343053</v>
      </c>
      <c r="T24" s="26">
        <v>0.2134561379381804</v>
      </c>
      <c r="U24" s="27">
        <v>3167207012.4249125</v>
      </c>
      <c r="V24" s="78">
        <v>4.316258840784401</v>
      </c>
      <c r="W24" s="77">
        <v>5.256273719028162</v>
      </c>
      <c r="X24" s="26">
        <v>0.21665301945059404</v>
      </c>
      <c r="Y24" s="27">
        <v>3675083209.3015847</v>
      </c>
      <c r="Z24" s="78">
        <v>3.6047806347938067</v>
      </c>
      <c r="AA24" s="77">
        <v>5.269756965508479</v>
      </c>
      <c r="AB24" s="26">
        <v>0.21802447225733526</v>
      </c>
      <c r="AC24" s="27">
        <v>3844800809.475522</v>
      </c>
      <c r="AD24" s="78">
        <v>3.5096464503024807</v>
      </c>
      <c r="AE24" s="77">
        <v>8.96029998429435</v>
      </c>
      <c r="AF24" s="26">
        <v>0.22991219571708046</v>
      </c>
      <c r="AG24" s="27">
        <v>3970928390.0736976</v>
      </c>
      <c r="AH24" s="78">
        <v>1.3798843162328933</v>
      </c>
      <c r="AI24" s="77">
        <v>8.960259586561603</v>
      </c>
      <c r="AJ24" s="26">
        <v>0.23064765407595267</v>
      </c>
      <c r="AK24" s="27">
        <v>4017864907.7988753</v>
      </c>
      <c r="AL24" s="78">
        <v>7.215007915362875</v>
      </c>
      <c r="AM24" s="77">
        <v>9.990103565241105</v>
      </c>
      <c r="AN24" s="26">
        <v>0.2402542863083155</v>
      </c>
      <c r="AO24" s="27">
        <v>4122331655.0522976</v>
      </c>
      <c r="AP24" s="78">
        <v>1.3807305591959398</v>
      </c>
      <c r="AQ24" s="138">
        <v>51.772749376460744</v>
      </c>
      <c r="AR24" s="138">
        <v>3.8884684272498147</v>
      </c>
      <c r="AS24" s="138">
        <v>200829960.0620377</v>
      </c>
      <c r="AT24" s="138">
        <v>4.8110803924161205</v>
      </c>
      <c r="AU24" s="134">
        <v>0.44267313801298147</v>
      </c>
      <c r="AV24" s="132" t="s">
        <v>66</v>
      </c>
    </row>
    <row r="25" spans="2:48" ht="12.75">
      <c r="B25" s="89" t="s">
        <v>51</v>
      </c>
      <c r="C25" s="77">
        <v>0.125</v>
      </c>
      <c r="D25" s="26">
        <v>0.0243782576211053</v>
      </c>
      <c r="E25" s="28">
        <v>1.0351118223523463</v>
      </c>
      <c r="F25" s="78">
        <v>15.050270401804132</v>
      </c>
      <c r="G25" s="77">
        <v>0.24791666666667803</v>
      </c>
      <c r="H25" s="26">
        <v>0.02461694548761805</v>
      </c>
      <c r="I25" s="27">
        <v>1.351708092982117</v>
      </c>
      <c r="J25" s="78">
        <v>6.997563752028413</v>
      </c>
      <c r="K25" s="77">
        <v>0.24791666666667803</v>
      </c>
      <c r="L25" s="26">
        <v>0.024617392817929674</v>
      </c>
      <c r="M25" s="27">
        <v>1.4209503471080314</v>
      </c>
      <c r="N25" s="78">
        <v>5.394714109470732</v>
      </c>
      <c r="O25" s="77">
        <v>1.5</v>
      </c>
      <c r="P25" s="26">
        <v>0.025864850328887235</v>
      </c>
      <c r="Q25" s="27">
        <v>1.715919693497752</v>
      </c>
      <c r="R25" s="78">
        <v>4</v>
      </c>
      <c r="S25" s="77">
        <v>1.5</v>
      </c>
      <c r="T25" s="26">
        <v>0.025864850328887235</v>
      </c>
      <c r="U25" s="27">
        <v>1.715919693497752</v>
      </c>
      <c r="V25" s="78">
        <v>4</v>
      </c>
      <c r="W25" s="77">
        <v>2.3333333333333335</v>
      </c>
      <c r="X25" s="26">
        <v>0.026526792410042015</v>
      </c>
      <c r="Y25" s="27">
        <v>1.829313563234602</v>
      </c>
      <c r="Z25" s="78">
        <v>4</v>
      </c>
      <c r="AA25" s="77">
        <v>2.875</v>
      </c>
      <c r="AB25" s="26">
        <v>0.026950258080920754</v>
      </c>
      <c r="AC25" s="27">
        <v>1.9048231830805844</v>
      </c>
      <c r="AD25" s="78">
        <v>5.326378390079317</v>
      </c>
      <c r="AE25" s="77">
        <v>7.333333333333351</v>
      </c>
      <c r="AF25" s="26">
        <v>0.030222748027796658</v>
      </c>
      <c r="AG25" s="27">
        <v>1.9580882543580622</v>
      </c>
      <c r="AH25" s="78">
        <v>4</v>
      </c>
      <c r="AI25" s="77">
        <v>7.375000000000018</v>
      </c>
      <c r="AJ25" s="26">
        <v>0.030353426908743413</v>
      </c>
      <c r="AK25" s="27">
        <v>1.998396417858965</v>
      </c>
      <c r="AL25" s="78">
        <v>4</v>
      </c>
      <c r="AM25" s="77">
        <v>12.375</v>
      </c>
      <c r="AN25" s="26">
        <v>0.033965012127944075</v>
      </c>
      <c r="AO25" s="27">
        <v>2.0404893049457193</v>
      </c>
      <c r="AP25" s="78">
        <v>4</v>
      </c>
      <c r="AQ25" s="138">
        <v>1</v>
      </c>
      <c r="AR25" s="138">
        <v>0.94</v>
      </c>
      <c r="AS25" s="138">
        <v>0.0001</v>
      </c>
      <c r="AT25" s="138">
        <v>1</v>
      </c>
      <c r="AU25" s="134">
        <v>0.0001</v>
      </c>
      <c r="AV25" s="132" t="s">
        <v>51</v>
      </c>
    </row>
    <row r="26" spans="2:48" ht="13.5" thickBot="1">
      <c r="B26" s="90" t="s">
        <v>52</v>
      </c>
      <c r="C26" s="79">
        <v>0.7083333333333331</v>
      </c>
      <c r="D26" s="80">
        <v>0.045951363130507905</v>
      </c>
      <c r="E26" s="83">
        <v>128.57876418314805</v>
      </c>
      <c r="F26" s="82">
        <v>35.451296335158666</v>
      </c>
      <c r="G26" s="79">
        <v>5.583333333333338</v>
      </c>
      <c r="H26" s="80">
        <v>0.06448027132644517</v>
      </c>
      <c r="I26" s="81">
        <v>5381.19045089189</v>
      </c>
      <c r="J26" s="82">
        <v>26.543361154299987</v>
      </c>
      <c r="K26" s="79">
        <v>5.875000000000007</v>
      </c>
      <c r="L26" s="80">
        <v>0.06681840422830343</v>
      </c>
      <c r="M26" s="81">
        <v>8319.77374562732</v>
      </c>
      <c r="N26" s="82">
        <v>26.20210304399498</v>
      </c>
      <c r="O26" s="79">
        <v>11.8333333333333</v>
      </c>
      <c r="P26" s="80">
        <v>1</v>
      </c>
      <c r="Q26" s="81">
        <v>265040.8820003079</v>
      </c>
      <c r="R26" s="82">
        <v>17.797988382167382</v>
      </c>
      <c r="S26" s="79">
        <v>11.8333333333333</v>
      </c>
      <c r="T26" s="80">
        <v>1</v>
      </c>
      <c r="U26" s="81">
        <v>265040.8820003079</v>
      </c>
      <c r="V26" s="82">
        <v>17.797988382167382</v>
      </c>
      <c r="W26" s="79">
        <v>15.87499999999991</v>
      </c>
      <c r="X26" s="80">
        <v>1</v>
      </c>
      <c r="Y26" s="81">
        <v>3647383.5811110814</v>
      </c>
      <c r="Z26" s="82">
        <v>15.97468786738334</v>
      </c>
      <c r="AA26" s="79">
        <v>16.499999999999922</v>
      </c>
      <c r="AB26" s="80">
        <v>1</v>
      </c>
      <c r="AC26" s="81">
        <v>7532435.347303763</v>
      </c>
      <c r="AD26" s="82">
        <v>16.801388466927126</v>
      </c>
      <c r="AE26" s="79">
        <v>34.50000000000022</v>
      </c>
      <c r="AF26" s="80">
        <v>1</v>
      </c>
      <c r="AG26" s="81">
        <v>11152488.621248933</v>
      </c>
      <c r="AH26" s="82">
        <v>7.844155621182611</v>
      </c>
      <c r="AI26" s="79">
        <v>34.541666666666885</v>
      </c>
      <c r="AJ26" s="80">
        <v>1</v>
      </c>
      <c r="AK26" s="81">
        <v>12433803.340436505</v>
      </c>
      <c r="AL26" s="82">
        <v>28.271125647920265</v>
      </c>
      <c r="AM26" s="79">
        <v>43.20833333333306</v>
      </c>
      <c r="AN26" s="80">
        <v>1</v>
      </c>
      <c r="AO26" s="81">
        <v>14123910.501652703</v>
      </c>
      <c r="AP26" s="82">
        <v>7.819289618900411</v>
      </c>
      <c r="AQ26" s="138">
        <v>97.377382715304</v>
      </c>
      <c r="AR26" s="138">
        <v>12</v>
      </c>
      <c r="AS26" s="138">
        <v>6.07506893002749</v>
      </c>
      <c r="AT26" s="138">
        <v>11</v>
      </c>
      <c r="AU26" s="134">
        <v>0.014928211266499661</v>
      </c>
      <c r="AV26" s="132" t="s">
        <v>52</v>
      </c>
    </row>
    <row r="27" spans="41:47" ht="13.5" thickBot="1">
      <c r="AO27" s="6"/>
      <c r="AQ27" s="5"/>
      <c r="AR27" s="5"/>
      <c r="AS27" s="5"/>
      <c r="AT27" s="5"/>
      <c r="AU27" s="19"/>
    </row>
    <row r="28" spans="2:48" ht="12.75">
      <c r="B28" s="97" t="s">
        <v>96</v>
      </c>
      <c r="C28" s="91" t="s">
        <v>13</v>
      </c>
      <c r="D28" s="92"/>
      <c r="E28" s="92"/>
      <c r="F28" s="93"/>
      <c r="G28" s="91" t="s">
        <v>58</v>
      </c>
      <c r="H28" s="92"/>
      <c r="I28" s="92"/>
      <c r="J28" s="93"/>
      <c r="K28" s="91" t="s">
        <v>16</v>
      </c>
      <c r="L28" s="92"/>
      <c r="M28" s="92"/>
      <c r="N28" s="93"/>
      <c r="O28" s="91" t="s">
        <v>57</v>
      </c>
      <c r="P28" s="92"/>
      <c r="Q28" s="92"/>
      <c r="R28" s="93"/>
      <c r="S28" s="91" t="s">
        <v>56</v>
      </c>
      <c r="T28" s="92"/>
      <c r="U28" s="92"/>
      <c r="V28" s="93"/>
      <c r="W28" s="91" t="s">
        <v>55</v>
      </c>
      <c r="X28" s="92"/>
      <c r="Y28" s="92"/>
      <c r="Z28" s="93"/>
      <c r="AA28" s="91" t="s">
        <v>54</v>
      </c>
      <c r="AB28" s="92"/>
      <c r="AC28" s="92"/>
      <c r="AD28" s="93"/>
      <c r="AE28" s="91" t="s">
        <v>53</v>
      </c>
      <c r="AF28" s="92"/>
      <c r="AG28" s="92"/>
      <c r="AH28" s="93"/>
      <c r="AI28" s="91" t="s">
        <v>59</v>
      </c>
      <c r="AJ28" s="92"/>
      <c r="AK28" s="92"/>
      <c r="AL28" s="93"/>
      <c r="AM28" s="91" t="s">
        <v>46</v>
      </c>
      <c r="AN28" s="92"/>
      <c r="AO28" s="92"/>
      <c r="AP28" s="93"/>
      <c r="AQ28" s="137"/>
      <c r="AR28" s="137"/>
      <c r="AS28" s="139"/>
      <c r="AT28" s="139"/>
      <c r="AU28" s="135"/>
      <c r="AV28" s="130"/>
    </row>
    <row r="29" spans="2:48" ht="12.75">
      <c r="B29" s="98"/>
      <c r="C29" s="75" t="s">
        <v>48</v>
      </c>
      <c r="D29" s="23" t="s">
        <v>10</v>
      </c>
      <c r="E29" s="29" t="s">
        <v>50</v>
      </c>
      <c r="F29" s="76" t="s">
        <v>49</v>
      </c>
      <c r="G29" s="75" t="s">
        <v>48</v>
      </c>
      <c r="H29" s="23" t="s">
        <v>10</v>
      </c>
      <c r="I29" s="24" t="s">
        <v>50</v>
      </c>
      <c r="J29" s="76" t="s">
        <v>49</v>
      </c>
      <c r="K29" s="75" t="s">
        <v>48</v>
      </c>
      <c r="L29" s="23" t="s">
        <v>10</v>
      </c>
      <c r="M29" s="24" t="s">
        <v>50</v>
      </c>
      <c r="N29" s="76" t="s">
        <v>49</v>
      </c>
      <c r="O29" s="75" t="s">
        <v>48</v>
      </c>
      <c r="P29" s="23" t="s">
        <v>10</v>
      </c>
      <c r="Q29" s="24" t="s">
        <v>50</v>
      </c>
      <c r="R29" s="76" t="s">
        <v>49</v>
      </c>
      <c r="S29" s="75" t="s">
        <v>48</v>
      </c>
      <c r="T29" s="23" t="s">
        <v>10</v>
      </c>
      <c r="U29" s="24" t="s">
        <v>50</v>
      </c>
      <c r="V29" s="76" t="s">
        <v>49</v>
      </c>
      <c r="W29" s="75" t="s">
        <v>48</v>
      </c>
      <c r="X29" s="23" t="s">
        <v>10</v>
      </c>
      <c r="Y29" s="24" t="s">
        <v>50</v>
      </c>
      <c r="Z29" s="76" t="s">
        <v>49</v>
      </c>
      <c r="AA29" s="75" t="s">
        <v>48</v>
      </c>
      <c r="AB29" s="23" t="s">
        <v>10</v>
      </c>
      <c r="AC29" s="24" t="s">
        <v>50</v>
      </c>
      <c r="AD29" s="76" t="s">
        <v>49</v>
      </c>
      <c r="AE29" s="75" t="s">
        <v>48</v>
      </c>
      <c r="AF29" s="23" t="s">
        <v>10</v>
      </c>
      <c r="AG29" s="24" t="s">
        <v>50</v>
      </c>
      <c r="AH29" s="76" t="s">
        <v>49</v>
      </c>
      <c r="AI29" s="75" t="s">
        <v>48</v>
      </c>
      <c r="AJ29" s="23" t="s">
        <v>10</v>
      </c>
      <c r="AK29" s="24" t="s">
        <v>50</v>
      </c>
      <c r="AL29" s="76" t="s">
        <v>49</v>
      </c>
      <c r="AM29" s="75" t="s">
        <v>48</v>
      </c>
      <c r="AN29" s="23" t="s">
        <v>10</v>
      </c>
      <c r="AO29" s="24" t="s">
        <v>50</v>
      </c>
      <c r="AP29" s="76" t="s">
        <v>49</v>
      </c>
      <c r="AQ29" s="131" t="s">
        <v>135</v>
      </c>
      <c r="AR29" s="131" t="s">
        <v>134</v>
      </c>
      <c r="AS29" s="131" t="s">
        <v>50</v>
      </c>
      <c r="AT29" s="131" t="s">
        <v>140</v>
      </c>
      <c r="AU29" s="136" t="s">
        <v>141</v>
      </c>
      <c r="AV29" s="131">
        <v>9.850107794889506E-06</v>
      </c>
    </row>
    <row r="30" spans="2:49" ht="12.75">
      <c r="B30" s="89" t="s">
        <v>65</v>
      </c>
      <c r="C30" s="77">
        <v>0.32091666666666363</v>
      </c>
      <c r="D30" s="26">
        <v>0.07084389842048897</v>
      </c>
      <c r="E30" s="27">
        <v>4400325.499453581</v>
      </c>
      <c r="F30" s="78">
        <v>24.540071277293695</v>
      </c>
      <c r="G30" s="77">
        <v>2.4319358333333265</v>
      </c>
      <c r="H30" s="26">
        <v>0.07555427595285612</v>
      </c>
      <c r="I30" s="27">
        <v>132346576.31490834</v>
      </c>
      <c r="J30" s="78">
        <v>14.669695203545984</v>
      </c>
      <c r="K30" s="77">
        <v>2.6873516666666606</v>
      </c>
      <c r="L30" s="26">
        <v>0.0759472326805914</v>
      </c>
      <c r="M30" s="27">
        <v>139184167.01490432</v>
      </c>
      <c r="N30" s="78">
        <v>12.68668061939173</v>
      </c>
      <c r="O30" s="77">
        <v>5.060148333333303</v>
      </c>
      <c r="P30" s="26">
        <v>0.08064412965134975</v>
      </c>
      <c r="Q30" s="27">
        <v>279401238.98276967</v>
      </c>
      <c r="R30" s="78">
        <v>9.77431956145074</v>
      </c>
      <c r="S30" s="77">
        <v>5.060148333333303</v>
      </c>
      <c r="T30" s="26">
        <v>0.08064412965134975</v>
      </c>
      <c r="U30" s="27">
        <v>279401238.98276967</v>
      </c>
      <c r="V30" s="78">
        <v>9.77431956145074</v>
      </c>
      <c r="W30" s="77">
        <v>7.051357500000048</v>
      </c>
      <c r="X30" s="26">
        <v>0.08428309066166308</v>
      </c>
      <c r="Y30" s="27">
        <v>379805006.61166406</v>
      </c>
      <c r="Z30" s="78">
        <v>9.457538852984017</v>
      </c>
      <c r="AA30" s="77">
        <v>7.645642499999982</v>
      </c>
      <c r="AB30" s="26">
        <v>0.08556476925180709</v>
      </c>
      <c r="AC30" s="27">
        <v>409036463.78261095</v>
      </c>
      <c r="AD30" s="78">
        <v>10.466030033449801</v>
      </c>
      <c r="AE30" s="77">
        <v>17.260843333333405</v>
      </c>
      <c r="AF30" s="26">
        <v>0.10067562633383162</v>
      </c>
      <c r="AG30" s="27">
        <v>438311109.88337517</v>
      </c>
      <c r="AH30" s="78">
        <v>4.891166441567431</v>
      </c>
      <c r="AI30" s="77">
        <v>17.308265833333415</v>
      </c>
      <c r="AJ30" s="26">
        <v>0.10129460714800193</v>
      </c>
      <c r="AK30" s="27">
        <v>448271679.0872834</v>
      </c>
      <c r="AL30" s="78">
        <v>16.27106663931897</v>
      </c>
      <c r="AM30" s="77">
        <v>24.36472499999983</v>
      </c>
      <c r="AN30" s="26">
        <v>0.1140129780521905</v>
      </c>
      <c r="AO30" s="27">
        <v>472321618.5308852</v>
      </c>
      <c r="AP30" s="78">
        <v>4.863218105594986</v>
      </c>
      <c r="AQ30" s="138">
        <v>24.96294513992046</v>
      </c>
      <c r="AR30" s="138">
        <v>8.676299311112595</v>
      </c>
      <c r="AS30" s="138">
        <v>2995868.054203977</v>
      </c>
      <c r="AT30" s="138">
        <v>3.24802</v>
      </c>
      <c r="AU30" s="134">
        <v>0.033085431728556665</v>
      </c>
      <c r="AV30" s="132" t="s">
        <v>65</v>
      </c>
      <c r="AW30">
        <v>3</v>
      </c>
    </row>
    <row r="31" spans="2:48" ht="12.75">
      <c r="B31" s="89" t="s">
        <v>64</v>
      </c>
      <c r="C31" s="77">
        <v>0.29166666666666663</v>
      </c>
      <c r="D31" s="26">
        <v>0.024892634179896733</v>
      </c>
      <c r="E31" s="27">
        <v>10.226318933896014</v>
      </c>
      <c r="F31" s="78">
        <v>24.122040858774525</v>
      </c>
      <c r="G31" s="77">
        <v>2.1666666666666674</v>
      </c>
      <c r="H31" s="26">
        <v>0.027066598120894902</v>
      </c>
      <c r="I31" s="27">
        <v>14.369204143039251</v>
      </c>
      <c r="J31" s="78">
        <v>13.639507649431149</v>
      </c>
      <c r="K31" s="77">
        <v>2.458333333333333</v>
      </c>
      <c r="L31" s="26">
        <v>0.02732096667260081</v>
      </c>
      <c r="M31" s="27">
        <v>14.76405708535242</v>
      </c>
      <c r="N31" s="78">
        <v>11.31648405610872</v>
      </c>
      <c r="O31" s="77">
        <v>3.9583333333333277</v>
      </c>
      <c r="P31" s="26">
        <v>0.028910653032479472</v>
      </c>
      <c r="Q31" s="27">
        <v>17.35035681209837</v>
      </c>
      <c r="R31" s="78">
        <v>9.197840504948202</v>
      </c>
      <c r="S31" s="77">
        <v>3.9583333333333277</v>
      </c>
      <c r="T31" s="26">
        <v>0.028910653032479472</v>
      </c>
      <c r="U31" s="27">
        <v>17.35035681209837</v>
      </c>
      <c r="V31" s="78">
        <v>9.197840504948202</v>
      </c>
      <c r="W31" s="77">
        <v>5.750000000000006</v>
      </c>
      <c r="X31" s="26">
        <v>0.03058936181834221</v>
      </c>
      <c r="Y31" s="27">
        <v>19.072616269686606</v>
      </c>
      <c r="Z31" s="78">
        <v>9.085034763708965</v>
      </c>
      <c r="AA31" s="77">
        <v>6.333333333333344</v>
      </c>
      <c r="AB31" s="26">
        <v>0.031173472162812244</v>
      </c>
      <c r="AC31" s="27">
        <v>19.95651672054025</v>
      </c>
      <c r="AD31" s="78">
        <v>10.110254890219124</v>
      </c>
      <c r="AE31" s="77">
        <v>15.249999999999918</v>
      </c>
      <c r="AF31" s="26">
        <v>0.038267317414671986</v>
      </c>
      <c r="AG31" s="27">
        <v>20.650396826973957</v>
      </c>
      <c r="AH31" s="78">
        <v>4</v>
      </c>
      <c r="AI31" s="77">
        <v>15.291666666666584</v>
      </c>
      <c r="AJ31" s="26">
        <v>0.03861079658996114</v>
      </c>
      <c r="AK31" s="27">
        <v>21.028108225154334</v>
      </c>
      <c r="AL31" s="78">
        <v>16.301497514021897</v>
      </c>
      <c r="AM31" s="77">
        <v>22.416666666666757</v>
      </c>
      <c r="AN31" s="26">
        <v>0.045011740179776494</v>
      </c>
      <c r="AO31" s="27">
        <v>21.658876833212787</v>
      </c>
      <c r="AP31" s="78">
        <v>4</v>
      </c>
      <c r="AQ31" s="138">
        <v>8.80551026829335</v>
      </c>
      <c r="AR31" s="138">
        <v>12</v>
      </c>
      <c r="AS31" s="138">
        <v>0.0001</v>
      </c>
      <c r="AT31" s="138">
        <v>2</v>
      </c>
      <c r="AU31" s="134">
        <v>0.0001</v>
      </c>
      <c r="AV31" s="132" t="s">
        <v>64</v>
      </c>
    </row>
    <row r="32" spans="2:48" ht="12.75">
      <c r="B32" s="89" t="s">
        <v>66</v>
      </c>
      <c r="C32" s="77">
        <v>0.19442003964697718</v>
      </c>
      <c r="D32" s="26">
        <v>0.20579849870062752</v>
      </c>
      <c r="E32" s="27">
        <v>394534086.1976842</v>
      </c>
      <c r="F32" s="78">
        <v>6.243857848680926</v>
      </c>
      <c r="G32" s="77">
        <v>1.6828409093971584</v>
      </c>
      <c r="H32" s="26">
        <v>0.21062672432047552</v>
      </c>
      <c r="I32" s="27">
        <v>2170146334.6018953</v>
      </c>
      <c r="J32" s="78">
        <v>5.989278826020103</v>
      </c>
      <c r="K32" s="77">
        <v>1.744629881123276</v>
      </c>
      <c r="L32" s="26">
        <v>0.21094155249789676</v>
      </c>
      <c r="M32" s="27">
        <v>2218543820.8408246</v>
      </c>
      <c r="N32" s="78">
        <v>6.183801116799329</v>
      </c>
      <c r="O32" s="77">
        <v>4.520725153900961</v>
      </c>
      <c r="P32" s="26">
        <v>0.215288466088012</v>
      </c>
      <c r="Q32" s="27">
        <v>3153859235.228482</v>
      </c>
      <c r="R32" s="78">
        <v>4.283089030195427</v>
      </c>
      <c r="S32" s="77">
        <v>4.520725153900961</v>
      </c>
      <c r="T32" s="26">
        <v>0.215288466088012</v>
      </c>
      <c r="U32" s="27">
        <v>3153859235.228482</v>
      </c>
      <c r="V32" s="78">
        <v>4.283089030195427</v>
      </c>
      <c r="W32" s="77">
        <v>5.21891112146052</v>
      </c>
      <c r="X32" s="26">
        <v>0.2185793659065772</v>
      </c>
      <c r="Y32" s="27">
        <v>3697571649.1732726</v>
      </c>
      <c r="Z32" s="78">
        <v>3.5851966699495157</v>
      </c>
      <c r="AA32" s="77">
        <v>5.229486919578413</v>
      </c>
      <c r="AB32" s="26">
        <v>0.21985959964564633</v>
      </c>
      <c r="AC32" s="27">
        <v>3828854063.5602007</v>
      </c>
      <c r="AD32" s="78">
        <v>3.5040894012598214</v>
      </c>
      <c r="AE32" s="77">
        <v>8.922518675241522</v>
      </c>
      <c r="AF32" s="26">
        <v>0.23284753955821508</v>
      </c>
      <c r="AG32" s="27">
        <v>3966272565.3037395</v>
      </c>
      <c r="AH32" s="78">
        <v>1.3669782261768042</v>
      </c>
      <c r="AI32" s="77">
        <v>8.92245633523444</v>
      </c>
      <c r="AJ32" s="26">
        <v>0.23336155100874784</v>
      </c>
      <c r="AK32" s="27">
        <v>4011307417.4498043</v>
      </c>
      <c r="AL32" s="78">
        <v>7.234039515465707</v>
      </c>
      <c r="AM32" s="77">
        <v>9.971368797539508</v>
      </c>
      <c r="AN32" s="26">
        <v>0.2429694636333785</v>
      </c>
      <c r="AO32" s="27">
        <v>4112699969.232168</v>
      </c>
      <c r="AP32" s="78">
        <v>1.3931066429068166</v>
      </c>
      <c r="AQ32" s="138">
        <v>52.70692270058546</v>
      </c>
      <c r="AR32" s="138">
        <v>3.876203529960475</v>
      </c>
      <c r="AS32" s="138">
        <v>101929466.9522622</v>
      </c>
      <c r="AT32" s="138">
        <v>4.811507985214389</v>
      </c>
      <c r="AU32" s="134">
        <v>0.3703032805703763</v>
      </c>
      <c r="AV32" s="132" t="s">
        <v>66</v>
      </c>
    </row>
    <row r="33" spans="2:48" ht="12.75">
      <c r="B33" s="89" t="s">
        <v>51</v>
      </c>
      <c r="C33" s="77">
        <v>0.125</v>
      </c>
      <c r="D33" s="26">
        <v>0.024378138018806554</v>
      </c>
      <c r="E33" s="28">
        <v>1.031824009123118</v>
      </c>
      <c r="F33" s="78">
        <v>15.102434758375026</v>
      </c>
      <c r="G33" s="77">
        <v>0.20833333333333331</v>
      </c>
      <c r="H33" s="26">
        <v>0.024614096555648564</v>
      </c>
      <c r="I33" s="27">
        <v>1.3261494637617715</v>
      </c>
      <c r="J33" s="78">
        <v>6.945159238825619</v>
      </c>
      <c r="K33" s="77">
        <v>0.20833333333333331</v>
      </c>
      <c r="L33" s="26">
        <v>0.024614358541756448</v>
      </c>
      <c r="M33" s="27">
        <v>1.3819271665405903</v>
      </c>
      <c r="N33" s="78">
        <v>5.411262107193516</v>
      </c>
      <c r="O33" s="77">
        <v>1.5</v>
      </c>
      <c r="P33" s="26">
        <v>0.025868211403006734</v>
      </c>
      <c r="Q33" s="27">
        <v>1.663019591089866</v>
      </c>
      <c r="R33" s="78">
        <v>4</v>
      </c>
      <c r="S33" s="77">
        <v>1.5</v>
      </c>
      <c r="T33" s="26">
        <v>0.025868211403006734</v>
      </c>
      <c r="U33" s="27">
        <v>1.663019591089866</v>
      </c>
      <c r="V33" s="78">
        <v>4</v>
      </c>
      <c r="W33" s="77">
        <v>2.3333333333333335</v>
      </c>
      <c r="X33" s="26">
        <v>0.026540277465587236</v>
      </c>
      <c r="Y33" s="27">
        <v>1.8011218589317872</v>
      </c>
      <c r="Z33" s="78">
        <v>4.015351958711798</v>
      </c>
      <c r="AA33" s="77">
        <v>2.875</v>
      </c>
      <c r="AB33" s="26">
        <v>0.026967730319899907</v>
      </c>
      <c r="AC33" s="27">
        <v>1.8641043026678146</v>
      </c>
      <c r="AD33" s="78">
        <v>5.2964184335229545</v>
      </c>
      <c r="AE33" s="77">
        <v>7.333333333333351</v>
      </c>
      <c r="AF33" s="26">
        <v>0.03023314486128976</v>
      </c>
      <c r="AG33" s="27">
        <v>1.9080803421950876</v>
      </c>
      <c r="AH33" s="78">
        <v>4</v>
      </c>
      <c r="AI33" s="77">
        <v>7.375000000000018</v>
      </c>
      <c r="AJ33" s="26">
        <v>0.030386043418237984</v>
      </c>
      <c r="AK33" s="27">
        <v>1.9431052790400378</v>
      </c>
      <c r="AL33" s="78">
        <v>4.032065629541021</v>
      </c>
      <c r="AM33" s="77">
        <v>12.333333333333293</v>
      </c>
      <c r="AN33" s="26">
        <v>0.03403394954388727</v>
      </c>
      <c r="AO33" s="27">
        <v>1.9759800840134192</v>
      </c>
      <c r="AP33" s="78">
        <v>4</v>
      </c>
      <c r="AQ33" s="138">
        <v>1</v>
      </c>
      <c r="AR33" s="138">
        <v>0.94</v>
      </c>
      <c r="AS33" s="138">
        <v>0.0001</v>
      </c>
      <c r="AT33" s="138">
        <v>1</v>
      </c>
      <c r="AU33" s="134">
        <v>0.0001</v>
      </c>
      <c r="AV33" s="132" t="s">
        <v>51</v>
      </c>
    </row>
    <row r="34" spans="2:48" ht="13.5" thickBot="1">
      <c r="B34" s="90" t="s">
        <v>52</v>
      </c>
      <c r="C34" s="79">
        <v>0.7083333333333331</v>
      </c>
      <c r="D34" s="80">
        <v>0.049004662135763336</v>
      </c>
      <c r="E34" s="83">
        <v>126.26566323069923</v>
      </c>
      <c r="F34" s="82">
        <v>35.677727573921665</v>
      </c>
      <c r="G34" s="79">
        <v>5.541666666666671</v>
      </c>
      <c r="H34" s="80">
        <v>0.0838371712201896</v>
      </c>
      <c r="I34" s="81">
        <v>6008.3522479134945</v>
      </c>
      <c r="J34" s="82">
        <v>26.605439034289482</v>
      </c>
      <c r="K34" s="79">
        <v>5.83333333333334</v>
      </c>
      <c r="L34" s="80">
        <v>0.09481436623108923</v>
      </c>
      <c r="M34" s="81">
        <v>9509.387704433942</v>
      </c>
      <c r="N34" s="82">
        <v>26.161814201417453</v>
      </c>
      <c r="O34" s="79">
        <v>12</v>
      </c>
      <c r="P34" s="80">
        <v>1</v>
      </c>
      <c r="Q34" s="81">
        <v>401045.1470772074</v>
      </c>
      <c r="R34" s="82">
        <v>17.65006624736907</v>
      </c>
      <c r="S34" s="79">
        <v>12</v>
      </c>
      <c r="T34" s="80">
        <v>1</v>
      </c>
      <c r="U34" s="81">
        <v>401045.1470772074</v>
      </c>
      <c r="V34" s="82">
        <v>17.65006624736907</v>
      </c>
      <c r="W34" s="79">
        <v>15.833333333333243</v>
      </c>
      <c r="X34" s="80">
        <v>1</v>
      </c>
      <c r="Y34" s="81">
        <v>4524889.006110597</v>
      </c>
      <c r="Z34" s="82">
        <v>15.93096587475319</v>
      </c>
      <c r="AA34" s="79">
        <v>16.458333333333254</v>
      </c>
      <c r="AB34" s="80">
        <v>1</v>
      </c>
      <c r="AC34" s="81">
        <v>8686879.1706136</v>
      </c>
      <c r="AD34" s="82">
        <v>16.80895960835063</v>
      </c>
      <c r="AE34" s="79">
        <v>33.96041666666674</v>
      </c>
      <c r="AF34" s="80">
        <v>1</v>
      </c>
      <c r="AG34" s="81">
        <v>12136944.233008545</v>
      </c>
      <c r="AH34" s="82">
        <v>7.802698981433955</v>
      </c>
      <c r="AI34" s="79">
        <v>34.00000000000025</v>
      </c>
      <c r="AJ34" s="80">
        <v>1</v>
      </c>
      <c r="AK34" s="81">
        <v>13136335.581257408</v>
      </c>
      <c r="AL34" s="82">
        <v>28.406945531839277</v>
      </c>
      <c r="AM34" s="79">
        <v>43.12499999999973</v>
      </c>
      <c r="AN34" s="80">
        <v>1</v>
      </c>
      <c r="AO34" s="81">
        <v>14696089.75325936</v>
      </c>
      <c r="AP34" s="82">
        <v>7.900834722078582</v>
      </c>
      <c r="AQ34" s="138">
        <v>96.1358637904285</v>
      </c>
      <c r="AR34" s="138">
        <v>12</v>
      </c>
      <c r="AS34" s="138">
        <v>5.555608685823508</v>
      </c>
      <c r="AT34" s="138">
        <v>11</v>
      </c>
      <c r="AU34" s="134">
        <v>0.013806857848433272</v>
      </c>
      <c r="AV34" s="132" t="s">
        <v>52</v>
      </c>
    </row>
    <row r="35" spans="41:47" ht="13.5" thickBot="1">
      <c r="AO35" s="6"/>
      <c r="AQ35" s="5"/>
      <c r="AR35" s="5"/>
      <c r="AS35" s="5"/>
      <c r="AT35" s="5"/>
      <c r="AU35" s="19"/>
    </row>
    <row r="36" spans="2:48" ht="12.75">
      <c r="B36" s="97" t="s">
        <v>96</v>
      </c>
      <c r="C36" s="91" t="s">
        <v>13</v>
      </c>
      <c r="D36" s="92"/>
      <c r="E36" s="92"/>
      <c r="F36" s="93"/>
      <c r="G36" s="91" t="s">
        <v>58</v>
      </c>
      <c r="H36" s="92"/>
      <c r="I36" s="92"/>
      <c r="J36" s="93"/>
      <c r="K36" s="91" t="s">
        <v>16</v>
      </c>
      <c r="L36" s="92"/>
      <c r="M36" s="92"/>
      <c r="N36" s="93"/>
      <c r="O36" s="91" t="s">
        <v>57</v>
      </c>
      <c r="P36" s="92"/>
      <c r="Q36" s="92"/>
      <c r="R36" s="93"/>
      <c r="S36" s="91" t="s">
        <v>56</v>
      </c>
      <c r="T36" s="92"/>
      <c r="U36" s="92"/>
      <c r="V36" s="93"/>
      <c r="W36" s="91" t="s">
        <v>55</v>
      </c>
      <c r="X36" s="92"/>
      <c r="Y36" s="92"/>
      <c r="Z36" s="93"/>
      <c r="AA36" s="91" t="s">
        <v>54</v>
      </c>
      <c r="AB36" s="92"/>
      <c r="AC36" s="92"/>
      <c r="AD36" s="93"/>
      <c r="AE36" s="91" t="s">
        <v>53</v>
      </c>
      <c r="AF36" s="92"/>
      <c r="AG36" s="92"/>
      <c r="AH36" s="93"/>
      <c r="AI36" s="91" t="s">
        <v>59</v>
      </c>
      <c r="AJ36" s="92"/>
      <c r="AK36" s="92"/>
      <c r="AL36" s="93"/>
      <c r="AM36" s="91" t="s">
        <v>46</v>
      </c>
      <c r="AN36" s="92"/>
      <c r="AO36" s="92"/>
      <c r="AP36" s="93"/>
      <c r="AQ36" s="137"/>
      <c r="AR36" s="137"/>
      <c r="AS36" s="139"/>
      <c r="AT36" s="139"/>
      <c r="AU36" s="135"/>
      <c r="AV36" s="130"/>
    </row>
    <row r="37" spans="2:48" ht="12.75">
      <c r="B37" s="98"/>
      <c r="C37" s="75" t="s">
        <v>48</v>
      </c>
      <c r="D37" s="23" t="s">
        <v>10</v>
      </c>
      <c r="E37" s="29" t="s">
        <v>50</v>
      </c>
      <c r="F37" s="76" t="s">
        <v>49</v>
      </c>
      <c r="G37" s="75" t="s">
        <v>48</v>
      </c>
      <c r="H37" s="23" t="s">
        <v>10</v>
      </c>
      <c r="I37" s="24" t="s">
        <v>50</v>
      </c>
      <c r="J37" s="76" t="s">
        <v>49</v>
      </c>
      <c r="K37" s="75" t="s">
        <v>48</v>
      </c>
      <c r="L37" s="23" t="s">
        <v>10</v>
      </c>
      <c r="M37" s="24" t="s">
        <v>50</v>
      </c>
      <c r="N37" s="76" t="s">
        <v>49</v>
      </c>
      <c r="O37" s="75" t="s">
        <v>48</v>
      </c>
      <c r="P37" s="23" t="s">
        <v>10</v>
      </c>
      <c r="Q37" s="24" t="s">
        <v>50</v>
      </c>
      <c r="R37" s="76" t="s">
        <v>49</v>
      </c>
      <c r="S37" s="75" t="s">
        <v>48</v>
      </c>
      <c r="T37" s="23" t="s">
        <v>10</v>
      </c>
      <c r="U37" s="24" t="s">
        <v>50</v>
      </c>
      <c r="V37" s="76" t="s">
        <v>49</v>
      </c>
      <c r="W37" s="75" t="s">
        <v>48</v>
      </c>
      <c r="X37" s="23" t="s">
        <v>10</v>
      </c>
      <c r="Y37" s="24" t="s">
        <v>50</v>
      </c>
      <c r="Z37" s="76" t="s">
        <v>49</v>
      </c>
      <c r="AA37" s="75" t="s">
        <v>48</v>
      </c>
      <c r="AB37" s="23" t="s">
        <v>10</v>
      </c>
      <c r="AC37" s="24" t="s">
        <v>50</v>
      </c>
      <c r="AD37" s="76" t="s">
        <v>49</v>
      </c>
      <c r="AE37" s="75" t="s">
        <v>48</v>
      </c>
      <c r="AF37" s="23" t="s">
        <v>10</v>
      </c>
      <c r="AG37" s="24" t="s">
        <v>50</v>
      </c>
      <c r="AH37" s="76" t="s">
        <v>49</v>
      </c>
      <c r="AI37" s="75" t="s">
        <v>48</v>
      </c>
      <c r="AJ37" s="23" t="s">
        <v>10</v>
      </c>
      <c r="AK37" s="24" t="s">
        <v>50</v>
      </c>
      <c r="AL37" s="76" t="s">
        <v>49</v>
      </c>
      <c r="AM37" s="75" t="s">
        <v>48</v>
      </c>
      <c r="AN37" s="23" t="s">
        <v>10</v>
      </c>
      <c r="AO37" s="24" t="s">
        <v>50</v>
      </c>
      <c r="AP37" s="76" t="s">
        <v>49</v>
      </c>
      <c r="AQ37" s="131" t="s">
        <v>135</v>
      </c>
      <c r="AR37" s="131" t="s">
        <v>134</v>
      </c>
      <c r="AS37" s="131" t="s">
        <v>50</v>
      </c>
      <c r="AT37" s="131" t="s">
        <v>140</v>
      </c>
      <c r="AU37" s="136" t="s">
        <v>141</v>
      </c>
      <c r="AV37" s="131">
        <v>9.812361189317238E-06</v>
      </c>
    </row>
    <row r="38" spans="2:49" ht="12.75">
      <c r="B38" s="89" t="s">
        <v>65</v>
      </c>
      <c r="C38" s="77">
        <v>0.320762499999998</v>
      </c>
      <c r="D38" s="26">
        <v>0.07001100597419975</v>
      </c>
      <c r="E38" s="27">
        <v>3278167.0322128376</v>
      </c>
      <c r="F38" s="78">
        <v>24.548775072005736</v>
      </c>
      <c r="G38" s="77">
        <v>2.43948416666665</v>
      </c>
      <c r="H38" s="26">
        <v>0.07409857859527226</v>
      </c>
      <c r="I38" s="27">
        <v>132142960.62022008</v>
      </c>
      <c r="J38" s="78">
        <v>14.6977886054771</v>
      </c>
      <c r="K38" s="77">
        <v>2.6958441666666646</v>
      </c>
      <c r="L38" s="26">
        <v>0.07445374020711404</v>
      </c>
      <c r="M38" s="27">
        <v>140711090.6019558</v>
      </c>
      <c r="N38" s="78">
        <v>12.707476751383682</v>
      </c>
      <c r="O38" s="77">
        <v>5.067566666666644</v>
      </c>
      <c r="P38" s="26">
        <v>0.07917545977396422</v>
      </c>
      <c r="Q38" s="27">
        <v>267473993.95023608</v>
      </c>
      <c r="R38" s="78">
        <v>9.787181226675765</v>
      </c>
      <c r="S38" s="77">
        <v>5.067566666666644</v>
      </c>
      <c r="T38" s="26">
        <v>0.07917545977396422</v>
      </c>
      <c r="U38" s="27">
        <v>267473993.95023608</v>
      </c>
      <c r="V38" s="78">
        <v>9.787181226675765</v>
      </c>
      <c r="W38" s="77">
        <v>7.066592500000025</v>
      </c>
      <c r="X38" s="26">
        <v>0.08285674498223221</v>
      </c>
      <c r="Y38" s="27">
        <v>377915978.8658825</v>
      </c>
      <c r="Z38" s="78">
        <v>9.452889738870311</v>
      </c>
      <c r="AA38" s="77">
        <v>7.661125000000011</v>
      </c>
      <c r="AB38" s="26">
        <v>0.08394790731004723</v>
      </c>
      <c r="AC38" s="27">
        <v>410005809.66626143</v>
      </c>
      <c r="AD38" s="78">
        <v>10.488462370863648</v>
      </c>
      <c r="AE38" s="77">
        <v>17.241445833333415</v>
      </c>
      <c r="AF38" s="26">
        <v>0.09852542887689462</v>
      </c>
      <c r="AG38" s="27">
        <v>439639711.00974315</v>
      </c>
      <c r="AH38" s="78">
        <v>4.894898342049981</v>
      </c>
      <c r="AI38" s="77">
        <v>17.28855750000008</v>
      </c>
      <c r="AJ38" s="26">
        <v>0.09916381922786852</v>
      </c>
      <c r="AK38" s="27">
        <v>450767981.0696037</v>
      </c>
      <c r="AL38" s="78">
        <v>16.231048605646986</v>
      </c>
      <c r="AM38" s="77">
        <v>24.339823333333303</v>
      </c>
      <c r="AN38" s="26">
        <v>0.11163864011843425</v>
      </c>
      <c r="AO38" s="27">
        <v>470073320.0831993</v>
      </c>
      <c r="AP38" s="78">
        <v>4.856941268803489</v>
      </c>
      <c r="AQ38" s="138">
        <v>25.248755704405056</v>
      </c>
      <c r="AR38" s="138">
        <v>8.62706111111264</v>
      </c>
      <c r="AS38" s="138">
        <v>4194220.454904535</v>
      </c>
      <c r="AT38" s="138">
        <v>3.2231</v>
      </c>
      <c r="AU38" s="134">
        <v>0.03295864502046663</v>
      </c>
      <c r="AV38" s="132" t="s">
        <v>65</v>
      </c>
      <c r="AW38">
        <v>4</v>
      </c>
    </row>
    <row r="39" spans="2:48" ht="12.75">
      <c r="B39" s="89" t="s">
        <v>64</v>
      </c>
      <c r="C39" s="77">
        <v>0.29166666666666663</v>
      </c>
      <c r="D39" s="26">
        <v>0.02489026645986575</v>
      </c>
      <c r="E39" s="27">
        <v>10.341363321020866</v>
      </c>
      <c r="F39" s="78">
        <v>24.0694243066602</v>
      </c>
      <c r="G39" s="77">
        <v>2.1666666666666674</v>
      </c>
      <c r="H39" s="26">
        <v>0.027054133528541136</v>
      </c>
      <c r="I39" s="27">
        <v>14.669217355610222</v>
      </c>
      <c r="J39" s="78">
        <v>13.635706018420535</v>
      </c>
      <c r="K39" s="77">
        <v>2.458333333333333</v>
      </c>
      <c r="L39" s="26">
        <v>0.027306486623124016</v>
      </c>
      <c r="M39" s="27">
        <v>15.072507045772193</v>
      </c>
      <c r="N39" s="78">
        <v>11.340034357137789</v>
      </c>
      <c r="O39" s="77">
        <v>3.9583333333333277</v>
      </c>
      <c r="P39" s="26">
        <v>0.02891141956801102</v>
      </c>
      <c r="Q39" s="27">
        <v>17.50343163663114</v>
      </c>
      <c r="R39" s="78">
        <v>9.234512948076606</v>
      </c>
      <c r="S39" s="77">
        <v>3.9583333333333277</v>
      </c>
      <c r="T39" s="26">
        <v>0.02891141956801102</v>
      </c>
      <c r="U39" s="27">
        <v>17.50343163663114</v>
      </c>
      <c r="V39" s="78">
        <v>9.234512948076606</v>
      </c>
      <c r="W39" s="77">
        <v>5.750000000000006</v>
      </c>
      <c r="X39" s="26">
        <v>0.030593260995269767</v>
      </c>
      <c r="Y39" s="27">
        <v>19.246761230431765</v>
      </c>
      <c r="Z39" s="78">
        <v>9.09468306867387</v>
      </c>
      <c r="AA39" s="77">
        <v>6.333333333333344</v>
      </c>
      <c r="AB39" s="26">
        <v>0.03117722389800809</v>
      </c>
      <c r="AC39" s="27">
        <v>20.0928567649064</v>
      </c>
      <c r="AD39" s="78">
        <v>10.13692882307333</v>
      </c>
      <c r="AE39" s="77">
        <v>15.187499999999918</v>
      </c>
      <c r="AF39" s="26">
        <v>0.038218300972906794</v>
      </c>
      <c r="AG39" s="27">
        <v>20.760707825623506</v>
      </c>
      <c r="AH39" s="78">
        <v>4</v>
      </c>
      <c r="AI39" s="77">
        <v>15.249999999999918</v>
      </c>
      <c r="AJ39" s="26">
        <v>0.03855320325964867</v>
      </c>
      <c r="AK39" s="27">
        <v>21.21619531373426</v>
      </c>
      <c r="AL39" s="78">
        <v>16.28889143738955</v>
      </c>
      <c r="AM39" s="77">
        <v>22.37500000000009</v>
      </c>
      <c r="AN39" s="26">
        <v>0.044982522290018645</v>
      </c>
      <c r="AO39" s="27">
        <v>21.773066681277964</v>
      </c>
      <c r="AP39" s="78">
        <v>4</v>
      </c>
      <c r="AQ39" s="138">
        <v>8.958167689827661</v>
      </c>
      <c r="AR39" s="138">
        <v>12</v>
      </c>
      <c r="AS39" s="138">
        <v>0.0001</v>
      </c>
      <c r="AT39" s="138">
        <v>2</v>
      </c>
      <c r="AU39" s="134">
        <v>0.0001</v>
      </c>
      <c r="AV39" s="132" t="s">
        <v>64</v>
      </c>
    </row>
    <row r="40" spans="2:48" ht="12.75">
      <c r="B40" s="89" t="s">
        <v>66</v>
      </c>
      <c r="C40" s="77">
        <v>0.1931483799157797</v>
      </c>
      <c r="D40" s="26">
        <v>0.20403628690595735</v>
      </c>
      <c r="E40" s="27">
        <v>319371034.98936933</v>
      </c>
      <c r="F40" s="78">
        <v>6.239833657039416</v>
      </c>
      <c r="G40" s="77">
        <v>1.709587589218241</v>
      </c>
      <c r="H40" s="26">
        <v>0.20756642885889762</v>
      </c>
      <c r="I40" s="27">
        <v>2159952451.0709276</v>
      </c>
      <c r="J40" s="78">
        <v>6.002388485429993</v>
      </c>
      <c r="K40" s="77">
        <v>1.7707715373580952</v>
      </c>
      <c r="L40" s="26">
        <v>0.20780618436330398</v>
      </c>
      <c r="M40" s="27">
        <v>2228752972.078042</v>
      </c>
      <c r="N40" s="78">
        <v>6.218002621557263</v>
      </c>
      <c r="O40" s="77">
        <v>4.544623223999295</v>
      </c>
      <c r="P40" s="26">
        <v>0.21228334295249365</v>
      </c>
      <c r="Q40" s="27">
        <v>3091433441.4737844</v>
      </c>
      <c r="R40" s="78">
        <v>4.324697604594308</v>
      </c>
      <c r="S40" s="77">
        <v>4.544623223999295</v>
      </c>
      <c r="T40" s="26">
        <v>0.21228334295249365</v>
      </c>
      <c r="U40" s="27">
        <v>3091433441.4737844</v>
      </c>
      <c r="V40" s="78">
        <v>4.324697604594308</v>
      </c>
      <c r="W40" s="77">
        <v>5.258332910985739</v>
      </c>
      <c r="X40" s="26">
        <v>0.21572069649941997</v>
      </c>
      <c r="Y40" s="27">
        <v>3678459104.617486</v>
      </c>
      <c r="Z40" s="78">
        <v>3.600485659171341</v>
      </c>
      <c r="AA40" s="77">
        <v>5.270668010570893</v>
      </c>
      <c r="AB40" s="26">
        <v>0.21663884263370697</v>
      </c>
      <c r="AC40" s="27">
        <v>3832343276.743875</v>
      </c>
      <c r="AD40" s="78">
        <v>3.508909216774694</v>
      </c>
      <c r="AE40" s="77">
        <v>8.924328048793294</v>
      </c>
      <c r="AF40" s="26">
        <v>0.22892822204917257</v>
      </c>
      <c r="AG40" s="27">
        <v>3960162220.843821</v>
      </c>
      <c r="AH40" s="78">
        <v>1.3731706530630978</v>
      </c>
      <c r="AI40" s="77">
        <v>8.924411422745175</v>
      </c>
      <c r="AJ40" s="26">
        <v>0.229492044693902</v>
      </c>
      <c r="AK40" s="27">
        <v>4012900105.7058496</v>
      </c>
      <c r="AL40" s="78">
        <v>7.220111451990483</v>
      </c>
      <c r="AM40" s="77">
        <v>9.98091931258161</v>
      </c>
      <c r="AN40" s="26">
        <v>0.23896893970948968</v>
      </c>
      <c r="AO40" s="27">
        <v>4095634733.8455486</v>
      </c>
      <c r="AP40" s="78">
        <v>1.3869565218724518</v>
      </c>
      <c r="AQ40" s="138">
        <v>52.88918113300654</v>
      </c>
      <c r="AR40" s="138">
        <v>3.8947144659066875</v>
      </c>
      <c r="AS40" s="138">
        <v>205548793.23234385</v>
      </c>
      <c r="AT40" s="138">
        <v>4.667419210446146</v>
      </c>
      <c r="AU40" s="134">
        <v>0.41477879503584997</v>
      </c>
      <c r="AV40" s="132" t="s">
        <v>66</v>
      </c>
    </row>
    <row r="41" spans="2:48" ht="12.75">
      <c r="B41" s="89" t="s">
        <v>51</v>
      </c>
      <c r="C41" s="77">
        <v>0.125</v>
      </c>
      <c r="D41" s="26">
        <v>0.024379943007723733</v>
      </c>
      <c r="E41" s="28">
        <v>1.0356442132614994</v>
      </c>
      <c r="F41" s="78">
        <v>15.088871842538738</v>
      </c>
      <c r="G41" s="77">
        <v>0.20833333333333331</v>
      </c>
      <c r="H41" s="26">
        <v>0.024610799908382615</v>
      </c>
      <c r="I41" s="27">
        <v>1.3663451070498878</v>
      </c>
      <c r="J41" s="78">
        <v>6.939523253983546</v>
      </c>
      <c r="K41" s="77">
        <v>0.20833333333333331</v>
      </c>
      <c r="L41" s="26">
        <v>0.02461086137262286</v>
      </c>
      <c r="M41" s="27">
        <v>1.4292395422915583</v>
      </c>
      <c r="N41" s="78">
        <v>5.398514644633129</v>
      </c>
      <c r="O41" s="77">
        <v>1.5</v>
      </c>
      <c r="P41" s="26">
        <v>0.02585176375323369</v>
      </c>
      <c r="Q41" s="27">
        <v>1.6883191927107664</v>
      </c>
      <c r="R41" s="78">
        <v>4</v>
      </c>
      <c r="S41" s="77">
        <v>1.5</v>
      </c>
      <c r="T41" s="26">
        <v>0.02585176375323369</v>
      </c>
      <c r="U41" s="27">
        <v>1.6883191927107664</v>
      </c>
      <c r="V41" s="78">
        <v>4</v>
      </c>
      <c r="W41" s="77">
        <v>2.3333333333333335</v>
      </c>
      <c r="X41" s="26">
        <v>0.026523582476316764</v>
      </c>
      <c r="Y41" s="27">
        <v>1.8061911889806068</v>
      </c>
      <c r="Z41" s="78">
        <v>4</v>
      </c>
      <c r="AA41" s="77">
        <v>2.875</v>
      </c>
      <c r="AB41" s="26">
        <v>0.026951323805963222</v>
      </c>
      <c r="AC41" s="27">
        <v>1.873784423834943</v>
      </c>
      <c r="AD41" s="78">
        <v>5.344625722934678</v>
      </c>
      <c r="AE41" s="77">
        <v>7.333333333333351</v>
      </c>
      <c r="AF41" s="26">
        <v>0.030219016683244115</v>
      </c>
      <c r="AG41" s="27">
        <v>1.9252817959274322</v>
      </c>
      <c r="AH41" s="78">
        <v>4</v>
      </c>
      <c r="AI41" s="77">
        <v>7.375000000000018</v>
      </c>
      <c r="AJ41" s="26">
        <v>0.030373514275675428</v>
      </c>
      <c r="AK41" s="27">
        <v>1.954875913812227</v>
      </c>
      <c r="AL41" s="78">
        <v>4</v>
      </c>
      <c r="AM41" s="77">
        <v>12.291666666666627</v>
      </c>
      <c r="AN41" s="26">
        <v>0.033922356431309426</v>
      </c>
      <c r="AO41" s="27">
        <v>1.994135751511677</v>
      </c>
      <c r="AP41" s="78">
        <v>4</v>
      </c>
      <c r="AQ41" s="138">
        <v>1</v>
      </c>
      <c r="AR41" s="138">
        <v>0.94</v>
      </c>
      <c r="AS41" s="138">
        <v>0.0001</v>
      </c>
      <c r="AT41" s="138">
        <v>1</v>
      </c>
      <c r="AU41" s="134">
        <v>0.0001</v>
      </c>
      <c r="AV41" s="132" t="s">
        <v>51</v>
      </c>
    </row>
    <row r="42" spans="2:48" ht="13.5" thickBot="1">
      <c r="B42" s="90" t="s">
        <v>52</v>
      </c>
      <c r="C42" s="79">
        <v>0.7083333333333331</v>
      </c>
      <c r="D42" s="80">
        <v>0.04602354644264923</v>
      </c>
      <c r="E42" s="83">
        <v>127.46073191410385</v>
      </c>
      <c r="F42" s="82">
        <v>35.72495973941114</v>
      </c>
      <c r="G42" s="79">
        <v>5.583333333333338</v>
      </c>
      <c r="H42" s="80">
        <v>0.062082921777916175</v>
      </c>
      <c r="I42" s="81">
        <v>5249.006449884923</v>
      </c>
      <c r="J42" s="82">
        <v>26.602947856357957</v>
      </c>
      <c r="K42" s="79">
        <v>5.916666666666674</v>
      </c>
      <c r="L42" s="80">
        <v>0.0632084754277811</v>
      </c>
      <c r="M42" s="81">
        <v>8176.332119740458</v>
      </c>
      <c r="N42" s="82">
        <v>26.20564137377063</v>
      </c>
      <c r="O42" s="79">
        <v>11.916666666666632</v>
      </c>
      <c r="P42" s="80">
        <v>1</v>
      </c>
      <c r="Q42" s="81">
        <v>359968.78902432346</v>
      </c>
      <c r="R42" s="82">
        <v>17.77928178098112</v>
      </c>
      <c r="S42" s="79">
        <v>11.916666666666632</v>
      </c>
      <c r="T42" s="80">
        <v>1</v>
      </c>
      <c r="U42" s="81">
        <v>359968.78902432346</v>
      </c>
      <c r="V42" s="82">
        <v>17.77928178098112</v>
      </c>
      <c r="W42" s="79">
        <v>15.877083333333061</v>
      </c>
      <c r="X42" s="80">
        <v>1</v>
      </c>
      <c r="Y42" s="81">
        <v>4399419.725998284</v>
      </c>
      <c r="Z42" s="82">
        <v>15.95340685596616</v>
      </c>
      <c r="AA42" s="79">
        <v>16.499999999999922</v>
      </c>
      <c r="AB42" s="80">
        <v>1</v>
      </c>
      <c r="AC42" s="81">
        <v>8793605.749911748</v>
      </c>
      <c r="AD42" s="82">
        <v>16.8074914915336</v>
      </c>
      <c r="AE42" s="79">
        <v>34.12500000000024</v>
      </c>
      <c r="AF42" s="80">
        <v>1</v>
      </c>
      <c r="AG42" s="81">
        <v>12579011.22498</v>
      </c>
      <c r="AH42" s="82">
        <v>7.821681475344518</v>
      </c>
      <c r="AI42" s="79">
        <v>34.166666666666906</v>
      </c>
      <c r="AJ42" s="80">
        <v>1</v>
      </c>
      <c r="AK42" s="81">
        <v>13458193.236835426</v>
      </c>
      <c r="AL42" s="82">
        <v>28.38562066805458</v>
      </c>
      <c r="AM42" s="79">
        <v>43.0416666666664</v>
      </c>
      <c r="AN42" s="80">
        <v>1</v>
      </c>
      <c r="AO42" s="81">
        <v>14653226.803657502</v>
      </c>
      <c r="AP42" s="82">
        <v>7.860450235916294</v>
      </c>
      <c r="AQ42" s="138">
        <v>99.59710137096003</v>
      </c>
      <c r="AR42" s="138">
        <v>12</v>
      </c>
      <c r="AS42" s="138">
        <v>6.115650323407277</v>
      </c>
      <c r="AT42" s="138">
        <v>11</v>
      </c>
      <c r="AU42" s="134">
        <v>0.015060713215330843</v>
      </c>
      <c r="AV42" s="132" t="s">
        <v>52</v>
      </c>
    </row>
    <row r="43" spans="41:47" ht="13.5" thickBot="1">
      <c r="AO43" s="6"/>
      <c r="AQ43" s="5"/>
      <c r="AR43" s="5"/>
      <c r="AS43" s="5"/>
      <c r="AT43" s="5"/>
      <c r="AU43" s="19"/>
    </row>
    <row r="44" spans="2:48" ht="12.75">
      <c r="B44" s="97" t="s">
        <v>96</v>
      </c>
      <c r="C44" s="91" t="s">
        <v>13</v>
      </c>
      <c r="D44" s="92"/>
      <c r="E44" s="92"/>
      <c r="F44" s="93"/>
      <c r="G44" s="91" t="s">
        <v>58</v>
      </c>
      <c r="H44" s="92"/>
      <c r="I44" s="92"/>
      <c r="J44" s="93"/>
      <c r="K44" s="91" t="s">
        <v>16</v>
      </c>
      <c r="L44" s="92"/>
      <c r="M44" s="92"/>
      <c r="N44" s="93"/>
      <c r="O44" s="91" t="s">
        <v>57</v>
      </c>
      <c r="P44" s="92"/>
      <c r="Q44" s="92"/>
      <c r="R44" s="93"/>
      <c r="S44" s="91" t="s">
        <v>56</v>
      </c>
      <c r="T44" s="92"/>
      <c r="U44" s="92"/>
      <c r="V44" s="93"/>
      <c r="W44" s="91" t="s">
        <v>55</v>
      </c>
      <c r="X44" s="92"/>
      <c r="Y44" s="92"/>
      <c r="Z44" s="93"/>
      <c r="AA44" s="91" t="s">
        <v>54</v>
      </c>
      <c r="AB44" s="92"/>
      <c r="AC44" s="92"/>
      <c r="AD44" s="93"/>
      <c r="AE44" s="91" t="s">
        <v>53</v>
      </c>
      <c r="AF44" s="92"/>
      <c r="AG44" s="92"/>
      <c r="AH44" s="93"/>
      <c r="AI44" s="91" t="s">
        <v>59</v>
      </c>
      <c r="AJ44" s="92"/>
      <c r="AK44" s="92"/>
      <c r="AL44" s="93"/>
      <c r="AM44" s="91" t="s">
        <v>46</v>
      </c>
      <c r="AN44" s="92"/>
      <c r="AO44" s="92"/>
      <c r="AP44" s="93"/>
      <c r="AQ44" s="137"/>
      <c r="AR44" s="137"/>
      <c r="AS44" s="139"/>
      <c r="AT44" s="139"/>
      <c r="AU44" s="135"/>
      <c r="AV44" s="130"/>
    </row>
    <row r="45" spans="2:48" ht="12.75">
      <c r="B45" s="98"/>
      <c r="C45" s="75" t="s">
        <v>48</v>
      </c>
      <c r="D45" s="23" t="s">
        <v>10</v>
      </c>
      <c r="E45" s="29" t="s">
        <v>50</v>
      </c>
      <c r="F45" s="76" t="s">
        <v>49</v>
      </c>
      <c r="G45" s="75" t="s">
        <v>48</v>
      </c>
      <c r="H45" s="23" t="s">
        <v>10</v>
      </c>
      <c r="I45" s="24" t="s">
        <v>50</v>
      </c>
      <c r="J45" s="76" t="s">
        <v>49</v>
      </c>
      <c r="K45" s="75" t="s">
        <v>48</v>
      </c>
      <c r="L45" s="23" t="s">
        <v>10</v>
      </c>
      <c r="M45" s="24" t="s">
        <v>50</v>
      </c>
      <c r="N45" s="76" t="s">
        <v>49</v>
      </c>
      <c r="O45" s="75" t="s">
        <v>48</v>
      </c>
      <c r="P45" s="23" t="s">
        <v>10</v>
      </c>
      <c r="Q45" s="24" t="s">
        <v>50</v>
      </c>
      <c r="R45" s="76" t="s">
        <v>49</v>
      </c>
      <c r="S45" s="75" t="s">
        <v>48</v>
      </c>
      <c r="T45" s="23" t="s">
        <v>10</v>
      </c>
      <c r="U45" s="24" t="s">
        <v>50</v>
      </c>
      <c r="V45" s="76" t="s">
        <v>49</v>
      </c>
      <c r="W45" s="75" t="s">
        <v>48</v>
      </c>
      <c r="X45" s="23" t="s">
        <v>10</v>
      </c>
      <c r="Y45" s="24" t="s">
        <v>50</v>
      </c>
      <c r="Z45" s="76" t="s">
        <v>49</v>
      </c>
      <c r="AA45" s="75" t="s">
        <v>48</v>
      </c>
      <c r="AB45" s="23" t="s">
        <v>10</v>
      </c>
      <c r="AC45" s="24" t="s">
        <v>50</v>
      </c>
      <c r="AD45" s="76" t="s">
        <v>49</v>
      </c>
      <c r="AE45" s="75" t="s">
        <v>48</v>
      </c>
      <c r="AF45" s="23" t="s">
        <v>10</v>
      </c>
      <c r="AG45" s="24" t="s">
        <v>50</v>
      </c>
      <c r="AH45" s="76" t="s">
        <v>49</v>
      </c>
      <c r="AI45" s="75" t="s">
        <v>48</v>
      </c>
      <c r="AJ45" s="23" t="s">
        <v>10</v>
      </c>
      <c r="AK45" s="24" t="s">
        <v>50</v>
      </c>
      <c r="AL45" s="76" t="s">
        <v>49</v>
      </c>
      <c r="AM45" s="75" t="s">
        <v>48</v>
      </c>
      <c r="AN45" s="23" t="s">
        <v>10</v>
      </c>
      <c r="AO45" s="24" t="s">
        <v>50</v>
      </c>
      <c r="AP45" s="76" t="s">
        <v>49</v>
      </c>
      <c r="AQ45" s="131" t="s">
        <v>135</v>
      </c>
      <c r="AR45" s="131" t="s">
        <v>134</v>
      </c>
      <c r="AS45" s="131" t="s">
        <v>50</v>
      </c>
      <c r="AT45" s="131" t="s">
        <v>140</v>
      </c>
      <c r="AU45" s="136" t="s">
        <v>141</v>
      </c>
      <c r="AV45" s="131">
        <v>1.0221550142891448E-05</v>
      </c>
    </row>
    <row r="46" spans="2:49" ht="12.75">
      <c r="B46" s="89" t="s">
        <v>65</v>
      </c>
      <c r="C46" s="77">
        <v>0.32094249999999663</v>
      </c>
      <c r="D46" s="26">
        <v>0.07074631105337711</v>
      </c>
      <c r="E46" s="27">
        <v>8160770.255456287</v>
      </c>
      <c r="F46" s="78">
        <v>24.539191411826966</v>
      </c>
      <c r="G46" s="77">
        <v>2.44761916666667</v>
      </c>
      <c r="H46" s="26">
        <v>0.07542328969032087</v>
      </c>
      <c r="I46" s="27">
        <v>136177564.11763343</v>
      </c>
      <c r="J46" s="78">
        <v>14.660059794409303</v>
      </c>
      <c r="K46" s="77">
        <v>2.705188333333337</v>
      </c>
      <c r="L46" s="26">
        <v>0.07591443207821168</v>
      </c>
      <c r="M46" s="27">
        <v>147910069.30673292</v>
      </c>
      <c r="N46" s="78">
        <v>12.697836953277882</v>
      </c>
      <c r="O46" s="77">
        <v>5.0731075000000265</v>
      </c>
      <c r="P46" s="26">
        <v>0.08062339358794735</v>
      </c>
      <c r="Q46" s="27">
        <v>277172605.791973</v>
      </c>
      <c r="R46" s="78">
        <v>9.699415333669583</v>
      </c>
      <c r="S46" s="77">
        <v>5.0731075000000265</v>
      </c>
      <c r="T46" s="26">
        <v>0.08062339358794735</v>
      </c>
      <c r="U46" s="27">
        <v>277172605.791973</v>
      </c>
      <c r="V46" s="78">
        <v>9.699415333669583</v>
      </c>
      <c r="W46" s="77">
        <v>7.0538</v>
      </c>
      <c r="X46" s="26">
        <v>0.08402884339903222</v>
      </c>
      <c r="Y46" s="27">
        <v>374460744.9978477</v>
      </c>
      <c r="Z46" s="78">
        <v>9.397958991692299</v>
      </c>
      <c r="AA46" s="77">
        <v>7.647900833333307</v>
      </c>
      <c r="AB46" s="26">
        <v>0.08542234039587164</v>
      </c>
      <c r="AC46" s="27">
        <v>409795655.49119186</v>
      </c>
      <c r="AD46" s="78">
        <v>10.476976494284726</v>
      </c>
      <c r="AE46" s="77">
        <v>17.250900833333446</v>
      </c>
      <c r="AF46" s="26">
        <v>0.1001909652023907</v>
      </c>
      <c r="AG46" s="27">
        <v>447552619.3046457</v>
      </c>
      <c r="AH46" s="78">
        <v>4.901201022065167</v>
      </c>
      <c r="AI46" s="77">
        <v>17.298178333333283</v>
      </c>
      <c r="AJ46" s="26">
        <v>0.10073382828808548</v>
      </c>
      <c r="AK46" s="27">
        <v>460260328.64436036</v>
      </c>
      <c r="AL46" s="78">
        <v>16.1928610492411</v>
      </c>
      <c r="AM46" s="77">
        <v>24.31615500000013</v>
      </c>
      <c r="AN46" s="26">
        <v>0.11286208827933575</v>
      </c>
      <c r="AO46" s="27">
        <v>483992948.0737008</v>
      </c>
      <c r="AP46" s="78">
        <v>4.86437177469333</v>
      </c>
      <c r="AQ46" s="138">
        <v>24.99505903104909</v>
      </c>
      <c r="AR46" s="138">
        <v>8.661491133334868</v>
      </c>
      <c r="AS46" s="138">
        <v>5676219.615519719</v>
      </c>
      <c r="AT46" s="138">
        <v>3.25822</v>
      </c>
      <c r="AU46" s="134">
        <v>0.034333065835900047</v>
      </c>
      <c r="AV46" s="132" t="s">
        <v>65</v>
      </c>
      <c r="AW46">
        <v>5</v>
      </c>
    </row>
    <row r="47" spans="2:48" ht="12.75">
      <c r="B47" s="89" t="s">
        <v>64</v>
      </c>
      <c r="C47" s="77">
        <v>0.29166666666666663</v>
      </c>
      <c r="D47" s="26">
        <v>0.02488697860537148</v>
      </c>
      <c r="E47" s="27">
        <v>10.208516660333977</v>
      </c>
      <c r="F47" s="78">
        <v>24.068536417362886</v>
      </c>
      <c r="G47" s="77">
        <v>2.1666666666666674</v>
      </c>
      <c r="H47" s="26">
        <v>0.027072006360557344</v>
      </c>
      <c r="I47" s="27">
        <v>14.482437738709407</v>
      </c>
      <c r="J47" s="78">
        <v>13.617296010345186</v>
      </c>
      <c r="K47" s="77">
        <v>2.458333333333333</v>
      </c>
      <c r="L47" s="26">
        <v>0.027324625659660318</v>
      </c>
      <c r="M47" s="27">
        <v>14.915949089687928</v>
      </c>
      <c r="N47" s="78">
        <v>11.340634440485184</v>
      </c>
      <c r="O47" s="77">
        <v>3.9583333333333277</v>
      </c>
      <c r="P47" s="26">
        <v>0.02888996986886483</v>
      </c>
      <c r="Q47" s="27">
        <v>17.34874719789245</v>
      </c>
      <c r="R47" s="78">
        <v>9.189433783782071</v>
      </c>
      <c r="S47" s="77">
        <v>3.9583333333333277</v>
      </c>
      <c r="T47" s="26">
        <v>0.02888996986886483</v>
      </c>
      <c r="U47" s="27">
        <v>17.34874719789245</v>
      </c>
      <c r="V47" s="78">
        <v>9.189433783782071</v>
      </c>
      <c r="W47" s="77">
        <v>5.750000000000006</v>
      </c>
      <c r="X47" s="26">
        <v>0.03054103844250544</v>
      </c>
      <c r="Y47" s="27">
        <v>19.06127965831759</v>
      </c>
      <c r="Z47" s="78">
        <v>9.054267828493785</v>
      </c>
      <c r="AA47" s="77">
        <v>6.333333333333344</v>
      </c>
      <c r="AB47" s="26">
        <v>0.031140471196223984</v>
      </c>
      <c r="AC47" s="27">
        <v>19.992329940468505</v>
      </c>
      <c r="AD47" s="78">
        <v>10.131022619771912</v>
      </c>
      <c r="AE47" s="77">
        <v>15.208333333333252</v>
      </c>
      <c r="AF47" s="26">
        <v>0.03817008626936996</v>
      </c>
      <c r="AG47" s="27">
        <v>20.72885716521839</v>
      </c>
      <c r="AH47" s="78">
        <v>4</v>
      </c>
      <c r="AI47" s="77">
        <v>15.249999999999918</v>
      </c>
      <c r="AJ47" s="26">
        <v>0.038502924623504464</v>
      </c>
      <c r="AK47" s="27">
        <v>21.189338570187047</v>
      </c>
      <c r="AL47" s="78">
        <v>16.20981535319453</v>
      </c>
      <c r="AM47" s="77">
        <v>22.33333333333342</v>
      </c>
      <c r="AN47" s="26">
        <v>0.04489605659655138</v>
      </c>
      <c r="AO47" s="27">
        <v>21.79790294977277</v>
      </c>
      <c r="AP47" s="78">
        <v>4</v>
      </c>
      <c r="AQ47" s="138">
        <v>8.781133913538195</v>
      </c>
      <c r="AR47" s="138">
        <v>12</v>
      </c>
      <c r="AS47" s="138">
        <v>0.0001</v>
      </c>
      <c r="AT47" s="138">
        <v>2</v>
      </c>
      <c r="AU47" s="134">
        <v>0.0001</v>
      </c>
      <c r="AV47" s="132" t="s">
        <v>64</v>
      </c>
    </row>
    <row r="48" spans="2:48" ht="12.75">
      <c r="B48" s="89" t="s">
        <v>66</v>
      </c>
      <c r="C48" s="77">
        <v>0.1936766763509929</v>
      </c>
      <c r="D48" s="26">
        <v>0.20563510800725884</v>
      </c>
      <c r="E48" s="27">
        <v>519982094.41273385</v>
      </c>
      <c r="F48" s="78">
        <v>6.266095944596805</v>
      </c>
      <c r="G48" s="77">
        <v>1.709257816629845</v>
      </c>
      <c r="H48" s="26">
        <v>0.2103866072753329</v>
      </c>
      <c r="I48" s="27">
        <v>2161908851.4858475</v>
      </c>
      <c r="J48" s="78">
        <v>5.991151546104453</v>
      </c>
      <c r="K48" s="77">
        <v>1.7693496957752737</v>
      </c>
      <c r="L48" s="26">
        <v>0.2109037503084765</v>
      </c>
      <c r="M48" s="27">
        <v>2257380766.0575385</v>
      </c>
      <c r="N48" s="78">
        <v>6.204339967229932</v>
      </c>
      <c r="O48" s="77">
        <v>4.553298954349281</v>
      </c>
      <c r="P48" s="26">
        <v>0.2154438257215591</v>
      </c>
      <c r="Q48" s="27">
        <v>3130119438.241391</v>
      </c>
      <c r="R48" s="78">
        <v>4.151246582213945</v>
      </c>
      <c r="S48" s="77">
        <v>4.553298954349281</v>
      </c>
      <c r="T48" s="26">
        <v>0.2154438257215591</v>
      </c>
      <c r="U48" s="27">
        <v>3130119438.241391</v>
      </c>
      <c r="V48" s="78">
        <v>4.151246582213945</v>
      </c>
      <c r="W48" s="77">
        <v>5.24502036335478</v>
      </c>
      <c r="X48" s="26">
        <v>0.21831152415300153</v>
      </c>
      <c r="Y48" s="27">
        <v>3644342805.49961</v>
      </c>
      <c r="Z48" s="78">
        <v>3.5564639564410068</v>
      </c>
      <c r="AA48" s="77">
        <v>5.253161310167559</v>
      </c>
      <c r="AB48" s="26">
        <v>0.21982139394070963</v>
      </c>
      <c r="AC48" s="27">
        <v>3801984119.363055</v>
      </c>
      <c r="AD48" s="78">
        <v>3.495004524877883</v>
      </c>
      <c r="AE48" s="77">
        <v>8.91464155903261</v>
      </c>
      <c r="AF48" s="26">
        <v>0.23218175464359062</v>
      </c>
      <c r="AG48" s="27">
        <v>3983439898.7559404</v>
      </c>
      <c r="AH48" s="78">
        <v>1.3865133776201313</v>
      </c>
      <c r="AI48" s="77">
        <v>8.914685649256782</v>
      </c>
      <c r="AJ48" s="26">
        <v>0.23256003101569128</v>
      </c>
      <c r="AK48" s="27">
        <v>4039760132.9465065</v>
      </c>
      <c r="AL48" s="78">
        <v>7.202846860591574</v>
      </c>
      <c r="AM48" s="77">
        <v>9.938772085022356</v>
      </c>
      <c r="AN48" s="26">
        <v>0.24132561922420773</v>
      </c>
      <c r="AO48" s="27">
        <v>4136494959.683892</v>
      </c>
      <c r="AP48" s="78">
        <v>1.3855657349304322</v>
      </c>
      <c r="AQ48" s="138">
        <v>52.12211126572094</v>
      </c>
      <c r="AR48" s="138">
        <v>3.8840978917913715</v>
      </c>
      <c r="AS48" s="138">
        <v>274288765.66700137</v>
      </c>
      <c r="AT48" s="138">
        <v>4.81958992037082</v>
      </c>
      <c r="AU48" s="134">
        <v>0.37074095336929225</v>
      </c>
      <c r="AV48" s="132" t="s">
        <v>66</v>
      </c>
    </row>
    <row r="49" spans="2:48" ht="12.75">
      <c r="B49" s="89" t="s">
        <v>51</v>
      </c>
      <c r="C49" s="77">
        <v>0.125</v>
      </c>
      <c r="D49" s="26">
        <v>0.024378298297648197</v>
      </c>
      <c r="E49" s="28">
        <v>1.0320676347257818</v>
      </c>
      <c r="F49" s="78">
        <v>15.015832245760016</v>
      </c>
      <c r="G49" s="77">
        <v>0.25</v>
      </c>
      <c r="H49" s="26">
        <v>0.024619437852167463</v>
      </c>
      <c r="I49" s="27">
        <v>1.3488216789954275</v>
      </c>
      <c r="J49" s="78">
        <v>6.9841781940568675</v>
      </c>
      <c r="K49" s="77">
        <v>0.25</v>
      </c>
      <c r="L49" s="26">
        <v>0.02461988514355589</v>
      </c>
      <c r="M49" s="27">
        <v>1.4137046546957401</v>
      </c>
      <c r="N49" s="78">
        <v>5.381594620391417</v>
      </c>
      <c r="O49" s="77">
        <v>1.5</v>
      </c>
      <c r="P49" s="26">
        <v>0.02583687237689522</v>
      </c>
      <c r="Q49" s="27">
        <v>1.6591333720369437</v>
      </c>
      <c r="R49" s="78">
        <v>4</v>
      </c>
      <c r="S49" s="77">
        <v>1.5</v>
      </c>
      <c r="T49" s="26">
        <v>0.02583687237689522</v>
      </c>
      <c r="U49" s="27">
        <v>1.6591333720369437</v>
      </c>
      <c r="V49" s="78">
        <v>4</v>
      </c>
      <c r="W49" s="77">
        <v>2.3333333333333335</v>
      </c>
      <c r="X49" s="26">
        <v>0.026504612813042887</v>
      </c>
      <c r="Y49" s="27">
        <v>1.7866062494440313</v>
      </c>
      <c r="Z49" s="78">
        <v>4</v>
      </c>
      <c r="AA49" s="77">
        <v>2.875</v>
      </c>
      <c r="AB49" s="26">
        <v>0.026928689848450465</v>
      </c>
      <c r="AC49" s="27">
        <v>1.8519703884290373</v>
      </c>
      <c r="AD49" s="78">
        <v>5.342068241882848</v>
      </c>
      <c r="AE49" s="77">
        <v>7.333333333333351</v>
      </c>
      <c r="AF49" s="26">
        <v>0.03021464591936095</v>
      </c>
      <c r="AG49" s="27">
        <v>1.90859517056542</v>
      </c>
      <c r="AH49" s="78">
        <v>4</v>
      </c>
      <c r="AI49" s="77">
        <v>7.375000000000018</v>
      </c>
      <c r="AJ49" s="26">
        <v>0.030353972610600643</v>
      </c>
      <c r="AK49" s="27">
        <v>1.9494946053360414</v>
      </c>
      <c r="AL49" s="78">
        <v>4</v>
      </c>
      <c r="AM49" s="77">
        <v>12.333333333333293</v>
      </c>
      <c r="AN49" s="26">
        <v>0.03391656733217741</v>
      </c>
      <c r="AO49" s="27">
        <v>1.982542356823902</v>
      </c>
      <c r="AP49" s="78">
        <v>4</v>
      </c>
      <c r="AQ49" s="138">
        <v>1</v>
      </c>
      <c r="AR49" s="138">
        <v>0.94</v>
      </c>
      <c r="AS49" s="138">
        <v>0.0001</v>
      </c>
      <c r="AT49" s="138">
        <v>1</v>
      </c>
      <c r="AU49" s="134">
        <v>0.0001</v>
      </c>
      <c r="AV49" s="132" t="s">
        <v>51</v>
      </c>
    </row>
    <row r="50" spans="2:48" ht="13.5" thickBot="1">
      <c r="B50" s="90" t="s">
        <v>52</v>
      </c>
      <c r="C50" s="79">
        <v>0.7083333333333331</v>
      </c>
      <c r="D50" s="80">
        <v>0.049350384861684166</v>
      </c>
      <c r="E50" s="83">
        <v>128.0706451041918</v>
      </c>
      <c r="F50" s="82">
        <v>35.63916791966349</v>
      </c>
      <c r="G50" s="79">
        <v>5.625000000000005</v>
      </c>
      <c r="H50" s="80">
        <v>0.08098732182143464</v>
      </c>
      <c r="I50" s="81">
        <v>6299.84306093058</v>
      </c>
      <c r="J50" s="82">
        <v>26.56645853588347</v>
      </c>
      <c r="K50" s="79">
        <v>5.916666666666674</v>
      </c>
      <c r="L50" s="80">
        <v>0.08827009334564095</v>
      </c>
      <c r="M50" s="81">
        <v>10009.111069292412</v>
      </c>
      <c r="N50" s="82">
        <v>26.223396960649993</v>
      </c>
      <c r="O50" s="79">
        <v>11.916666666666632</v>
      </c>
      <c r="P50" s="80">
        <v>1</v>
      </c>
      <c r="Q50" s="81">
        <v>389979.31392206263</v>
      </c>
      <c r="R50" s="82">
        <v>17.457136287145396</v>
      </c>
      <c r="S50" s="79">
        <v>11.916666666666632</v>
      </c>
      <c r="T50" s="80">
        <v>1</v>
      </c>
      <c r="U50" s="81">
        <v>389979.31392206263</v>
      </c>
      <c r="V50" s="82">
        <v>17.457136287145396</v>
      </c>
      <c r="W50" s="79">
        <v>15.791666666666577</v>
      </c>
      <c r="X50" s="80">
        <v>1</v>
      </c>
      <c r="Y50" s="81">
        <v>5190937.821129808</v>
      </c>
      <c r="Z50" s="82">
        <v>15.880983828768084</v>
      </c>
      <c r="AA50" s="79">
        <v>16.3354166666664</v>
      </c>
      <c r="AB50" s="80">
        <v>1</v>
      </c>
      <c r="AC50" s="81">
        <v>9722664.480780892</v>
      </c>
      <c r="AD50" s="82">
        <v>16.7882657974128</v>
      </c>
      <c r="AE50" s="79">
        <v>33.75208333333342</v>
      </c>
      <c r="AF50" s="80">
        <v>1</v>
      </c>
      <c r="AG50" s="81">
        <v>12904827.108578669</v>
      </c>
      <c r="AH50" s="82">
        <v>7.821058777226746</v>
      </c>
      <c r="AI50" s="79">
        <v>33.79166666666693</v>
      </c>
      <c r="AJ50" s="80">
        <v>1</v>
      </c>
      <c r="AK50" s="81">
        <v>13669165.63548628</v>
      </c>
      <c r="AL50" s="82">
        <v>28.2608450055195</v>
      </c>
      <c r="AM50" s="79">
        <v>42.95833333333307</v>
      </c>
      <c r="AN50" s="80">
        <v>1</v>
      </c>
      <c r="AO50" s="81">
        <v>14934283.323030483</v>
      </c>
      <c r="AP50" s="82">
        <v>7.886803184648552</v>
      </c>
      <c r="AQ50" s="138">
        <v>98.42527197115135</v>
      </c>
      <c r="AR50" s="138">
        <v>12</v>
      </c>
      <c r="AS50" s="138">
        <v>6.083419365312473</v>
      </c>
      <c r="AT50" s="138">
        <v>11</v>
      </c>
      <c r="AU50" s="134">
        <v>0.015113809300189374</v>
      </c>
      <c r="AV50" s="132" t="s">
        <v>52</v>
      </c>
    </row>
    <row r="51" spans="41:47" ht="13.5" thickBot="1">
      <c r="AO51" s="6"/>
      <c r="AQ51" s="5"/>
      <c r="AR51" s="5"/>
      <c r="AS51" s="5"/>
      <c r="AT51" s="5"/>
      <c r="AU51" s="19"/>
    </row>
    <row r="52" spans="2:48" ht="12.75">
      <c r="B52" s="97" t="s">
        <v>96</v>
      </c>
      <c r="C52" s="91" t="s">
        <v>13</v>
      </c>
      <c r="D52" s="92"/>
      <c r="E52" s="92"/>
      <c r="F52" s="93"/>
      <c r="G52" s="91" t="s">
        <v>58</v>
      </c>
      <c r="H52" s="92"/>
      <c r="I52" s="92"/>
      <c r="J52" s="93"/>
      <c r="K52" s="91" t="s">
        <v>16</v>
      </c>
      <c r="L52" s="92"/>
      <c r="M52" s="92"/>
      <c r="N52" s="93"/>
      <c r="O52" s="91" t="s">
        <v>57</v>
      </c>
      <c r="P52" s="92"/>
      <c r="Q52" s="92"/>
      <c r="R52" s="93"/>
      <c r="S52" s="91" t="s">
        <v>56</v>
      </c>
      <c r="T52" s="92"/>
      <c r="U52" s="92"/>
      <c r="V52" s="93"/>
      <c r="W52" s="91" t="s">
        <v>55</v>
      </c>
      <c r="X52" s="92"/>
      <c r="Y52" s="92"/>
      <c r="Z52" s="93"/>
      <c r="AA52" s="91" t="s">
        <v>54</v>
      </c>
      <c r="AB52" s="92"/>
      <c r="AC52" s="92"/>
      <c r="AD52" s="93"/>
      <c r="AE52" s="91" t="s">
        <v>53</v>
      </c>
      <c r="AF52" s="92"/>
      <c r="AG52" s="92"/>
      <c r="AH52" s="93"/>
      <c r="AI52" s="91" t="s">
        <v>59</v>
      </c>
      <c r="AJ52" s="92"/>
      <c r="AK52" s="92"/>
      <c r="AL52" s="93"/>
      <c r="AM52" s="91" t="s">
        <v>46</v>
      </c>
      <c r="AN52" s="92"/>
      <c r="AO52" s="92"/>
      <c r="AP52" s="93"/>
      <c r="AQ52" s="137"/>
      <c r="AR52" s="137"/>
      <c r="AS52" s="139"/>
      <c r="AT52" s="139"/>
      <c r="AU52" s="135"/>
      <c r="AV52" s="130"/>
    </row>
    <row r="53" spans="2:48" ht="12.75">
      <c r="B53" s="98"/>
      <c r="C53" s="75" t="s">
        <v>48</v>
      </c>
      <c r="D53" s="23" t="s">
        <v>10</v>
      </c>
      <c r="E53" s="29" t="s">
        <v>50</v>
      </c>
      <c r="F53" s="76" t="s">
        <v>49</v>
      </c>
      <c r="G53" s="75" t="s">
        <v>48</v>
      </c>
      <c r="H53" s="23" t="s">
        <v>10</v>
      </c>
      <c r="I53" s="24" t="s">
        <v>50</v>
      </c>
      <c r="J53" s="76" t="s">
        <v>49</v>
      </c>
      <c r="K53" s="75" t="s">
        <v>48</v>
      </c>
      <c r="L53" s="23" t="s">
        <v>10</v>
      </c>
      <c r="M53" s="24" t="s">
        <v>50</v>
      </c>
      <c r="N53" s="76" t="s">
        <v>49</v>
      </c>
      <c r="O53" s="75" t="s">
        <v>48</v>
      </c>
      <c r="P53" s="23" t="s">
        <v>10</v>
      </c>
      <c r="Q53" s="24" t="s">
        <v>50</v>
      </c>
      <c r="R53" s="76" t="s">
        <v>49</v>
      </c>
      <c r="S53" s="75" t="s">
        <v>48</v>
      </c>
      <c r="T53" s="23" t="s">
        <v>10</v>
      </c>
      <c r="U53" s="24" t="s">
        <v>50</v>
      </c>
      <c r="V53" s="76" t="s">
        <v>49</v>
      </c>
      <c r="W53" s="75" t="s">
        <v>48</v>
      </c>
      <c r="X53" s="23" t="s">
        <v>10</v>
      </c>
      <c r="Y53" s="24" t="s">
        <v>50</v>
      </c>
      <c r="Z53" s="76" t="s">
        <v>49</v>
      </c>
      <c r="AA53" s="75" t="s">
        <v>48</v>
      </c>
      <c r="AB53" s="23" t="s">
        <v>10</v>
      </c>
      <c r="AC53" s="24" t="s">
        <v>50</v>
      </c>
      <c r="AD53" s="76" t="s">
        <v>49</v>
      </c>
      <c r="AE53" s="75" t="s">
        <v>48</v>
      </c>
      <c r="AF53" s="23" t="s">
        <v>10</v>
      </c>
      <c r="AG53" s="24" t="s">
        <v>50</v>
      </c>
      <c r="AH53" s="76" t="s">
        <v>49</v>
      </c>
      <c r="AI53" s="75" t="s">
        <v>48</v>
      </c>
      <c r="AJ53" s="23" t="s">
        <v>10</v>
      </c>
      <c r="AK53" s="24" t="s">
        <v>50</v>
      </c>
      <c r="AL53" s="76" t="s">
        <v>49</v>
      </c>
      <c r="AM53" s="75" t="s">
        <v>48</v>
      </c>
      <c r="AN53" s="23" t="s">
        <v>10</v>
      </c>
      <c r="AO53" s="24" t="s">
        <v>50</v>
      </c>
      <c r="AP53" s="76" t="s">
        <v>49</v>
      </c>
      <c r="AQ53" s="131" t="s">
        <v>135</v>
      </c>
      <c r="AR53" s="131" t="s">
        <v>134</v>
      </c>
      <c r="AS53" s="131" t="s">
        <v>50</v>
      </c>
      <c r="AT53" s="131" t="s">
        <v>140</v>
      </c>
      <c r="AU53" s="136" t="s">
        <v>141</v>
      </c>
      <c r="AV53" s="131">
        <v>1.0825488040576055E-05</v>
      </c>
    </row>
    <row r="54" spans="2:49" ht="12.75">
      <c r="B54" s="89" t="s">
        <v>65</v>
      </c>
      <c r="C54" s="77">
        <v>0.32177666666666693</v>
      </c>
      <c r="D54" s="26">
        <v>0.06990705640918403</v>
      </c>
      <c r="E54" s="27">
        <v>3587278.612471101</v>
      </c>
      <c r="F54" s="78">
        <v>24.565346827701227</v>
      </c>
      <c r="G54" s="77">
        <v>2.451252499999998</v>
      </c>
      <c r="H54" s="26">
        <v>0.07418419406784446</v>
      </c>
      <c r="I54" s="27">
        <v>132306540.05348949</v>
      </c>
      <c r="J54" s="78">
        <v>14.664481520269497</v>
      </c>
      <c r="K54" s="77">
        <v>2.709247500000009</v>
      </c>
      <c r="L54" s="26">
        <v>0.07461768519786387</v>
      </c>
      <c r="M54" s="27">
        <v>144934298.239132</v>
      </c>
      <c r="N54" s="78">
        <v>12.673608513670176</v>
      </c>
      <c r="O54" s="77">
        <v>5.053298333333333</v>
      </c>
      <c r="P54" s="26">
        <v>0.07892052602260728</v>
      </c>
      <c r="Q54" s="27">
        <v>280124309.09387463</v>
      </c>
      <c r="R54" s="78">
        <v>9.759454899407086</v>
      </c>
      <c r="S54" s="77">
        <v>5.053298333333333</v>
      </c>
      <c r="T54" s="26">
        <v>0.07892052602260728</v>
      </c>
      <c r="U54" s="27">
        <v>280124309.09387463</v>
      </c>
      <c r="V54" s="78">
        <v>9.759454899407086</v>
      </c>
      <c r="W54" s="77">
        <v>7.044332499999989</v>
      </c>
      <c r="X54" s="26">
        <v>0.08237737134706585</v>
      </c>
      <c r="Y54" s="27">
        <v>373461466.9593885</v>
      </c>
      <c r="Z54" s="78">
        <v>9.398551940330375</v>
      </c>
      <c r="AA54" s="77">
        <v>7.636781666666668</v>
      </c>
      <c r="AB54" s="26">
        <v>0.08357919271370638</v>
      </c>
      <c r="AC54" s="27">
        <v>412266874.23014295</v>
      </c>
      <c r="AD54" s="78">
        <v>10.459657276974408</v>
      </c>
      <c r="AE54" s="77">
        <v>17.273774999999976</v>
      </c>
      <c r="AF54" s="26">
        <v>0.09876184580791933</v>
      </c>
      <c r="AG54" s="27">
        <v>444919056.851829</v>
      </c>
      <c r="AH54" s="78">
        <v>4.900375753939192</v>
      </c>
      <c r="AI54" s="77">
        <v>17.32106249999995</v>
      </c>
      <c r="AJ54" s="26">
        <v>0.09933891015193573</v>
      </c>
      <c r="AK54" s="27">
        <v>455905238.82349586</v>
      </c>
      <c r="AL54" s="78">
        <v>16.17838965223908</v>
      </c>
      <c r="AM54" s="77">
        <v>24.34350249999985</v>
      </c>
      <c r="AN54" s="26">
        <v>0.11142795664336182</v>
      </c>
      <c r="AO54" s="27">
        <v>472959759.88343453</v>
      </c>
      <c r="AP54" s="78">
        <v>4.851235399714781</v>
      </c>
      <c r="AQ54" s="138">
        <v>25.148647481519482</v>
      </c>
      <c r="AR54" s="138">
        <v>8.675347355557031</v>
      </c>
      <c r="AS54" s="138">
        <v>6059792.426695022</v>
      </c>
      <c r="AT54" s="138">
        <v>3.27294</v>
      </c>
      <c r="AU54" s="134">
        <v>0.03636162699464179</v>
      </c>
      <c r="AV54" s="132" t="s">
        <v>65</v>
      </c>
      <c r="AW54">
        <v>6</v>
      </c>
    </row>
    <row r="55" spans="2:48" ht="12.75">
      <c r="B55" s="89" t="s">
        <v>64</v>
      </c>
      <c r="C55" s="77">
        <v>0.29166666666666663</v>
      </c>
      <c r="D55" s="26">
        <v>0.02488843403907748</v>
      </c>
      <c r="E55" s="27">
        <v>10.393797497458852</v>
      </c>
      <c r="F55" s="78">
        <v>24.116111554538087</v>
      </c>
      <c r="G55" s="77">
        <v>2.1666666666666674</v>
      </c>
      <c r="H55" s="26">
        <v>0.02706764565540104</v>
      </c>
      <c r="I55" s="27">
        <v>14.628886139676462</v>
      </c>
      <c r="J55" s="78">
        <v>13.656651318619263</v>
      </c>
      <c r="K55" s="77">
        <v>2.458333333333333</v>
      </c>
      <c r="L55" s="26">
        <v>0.027322008471355963</v>
      </c>
      <c r="M55" s="27">
        <v>14.996972451272178</v>
      </c>
      <c r="N55" s="78">
        <v>11.3191467399975</v>
      </c>
      <c r="O55" s="77">
        <v>3.9583333333333277</v>
      </c>
      <c r="P55" s="26">
        <v>0.028890204029828392</v>
      </c>
      <c r="Q55" s="27">
        <v>17.565971284865388</v>
      </c>
      <c r="R55" s="78">
        <v>9.184044771810518</v>
      </c>
      <c r="S55" s="77">
        <v>3.9583333333333277</v>
      </c>
      <c r="T55" s="26">
        <v>0.028890204029828392</v>
      </c>
      <c r="U55" s="27">
        <v>17.565971284865388</v>
      </c>
      <c r="V55" s="78">
        <v>9.184044771810518</v>
      </c>
      <c r="W55" s="77">
        <v>5.708333333333339</v>
      </c>
      <c r="X55" s="26">
        <v>0.0305400768288403</v>
      </c>
      <c r="Y55" s="27">
        <v>19.158199932552535</v>
      </c>
      <c r="Z55" s="78">
        <v>9.037701175060185</v>
      </c>
      <c r="AA55" s="77">
        <v>6.291666666666677</v>
      </c>
      <c r="AB55" s="26">
        <v>0.031105173471888736</v>
      </c>
      <c r="AC55" s="27">
        <v>19.97676210594578</v>
      </c>
      <c r="AD55" s="78">
        <v>10.100511653431855</v>
      </c>
      <c r="AE55" s="77">
        <v>15.249999999999918</v>
      </c>
      <c r="AF55" s="26">
        <v>0.03819085524795901</v>
      </c>
      <c r="AG55" s="27">
        <v>20.645461637571458</v>
      </c>
      <c r="AH55" s="78">
        <v>4</v>
      </c>
      <c r="AI55" s="77">
        <v>15.291666666666584</v>
      </c>
      <c r="AJ55" s="26">
        <v>0.03851776502058335</v>
      </c>
      <c r="AK55" s="27">
        <v>21.080206867650585</v>
      </c>
      <c r="AL55" s="78">
        <v>16.1892723953096</v>
      </c>
      <c r="AM55" s="77">
        <v>22.37500000000009</v>
      </c>
      <c r="AN55" s="26">
        <v>0.044879952419365765</v>
      </c>
      <c r="AO55" s="27">
        <v>21.656502979725424</v>
      </c>
      <c r="AP55" s="78">
        <v>4</v>
      </c>
      <c r="AQ55" s="138">
        <v>8.961802732171659</v>
      </c>
      <c r="AR55" s="138">
        <v>12</v>
      </c>
      <c r="AS55" s="138">
        <v>0.0001</v>
      </c>
      <c r="AT55" s="138">
        <v>2</v>
      </c>
      <c r="AU55" s="134">
        <v>0.0001</v>
      </c>
      <c r="AV55" s="132" t="s">
        <v>64</v>
      </c>
    </row>
    <row r="56" spans="2:48" ht="12.75">
      <c r="B56" s="89" t="s">
        <v>66</v>
      </c>
      <c r="C56" s="77">
        <v>0.1936940942230614</v>
      </c>
      <c r="D56" s="26">
        <v>0.20396533921039353</v>
      </c>
      <c r="E56" s="27">
        <v>353392837.69161046</v>
      </c>
      <c r="F56" s="78">
        <v>6.28365235573633</v>
      </c>
      <c r="G56" s="77">
        <v>1.698519501998104</v>
      </c>
      <c r="H56" s="26">
        <v>0.20791247621550962</v>
      </c>
      <c r="I56" s="27">
        <v>2139628558.5976775</v>
      </c>
      <c r="J56" s="78">
        <v>5.954677699372887</v>
      </c>
      <c r="K56" s="77">
        <v>1.7587940619247098</v>
      </c>
      <c r="L56" s="26">
        <v>0.20831554577605893</v>
      </c>
      <c r="M56" s="27">
        <v>2247672990.605534</v>
      </c>
      <c r="N56" s="78">
        <v>6.180198409699338</v>
      </c>
      <c r="O56" s="77">
        <v>4.484355097797211</v>
      </c>
      <c r="P56" s="26">
        <v>0.2120130343788486</v>
      </c>
      <c r="Q56" s="27">
        <v>3165052458.2466908</v>
      </c>
      <c r="R56" s="78">
        <v>4.294171135134579</v>
      </c>
      <c r="S56" s="77">
        <v>4.484355097797211</v>
      </c>
      <c r="T56" s="26">
        <v>0.2120130343788486</v>
      </c>
      <c r="U56" s="27">
        <v>3165052458.2466908</v>
      </c>
      <c r="V56" s="78">
        <v>4.294171135134579</v>
      </c>
      <c r="W56" s="77">
        <v>5.195278830006148</v>
      </c>
      <c r="X56" s="26">
        <v>0.21502964149493856</v>
      </c>
      <c r="Y56" s="27">
        <v>3646247745.7590513</v>
      </c>
      <c r="Z56" s="78">
        <v>3.572249593921259</v>
      </c>
      <c r="AA56" s="77">
        <v>5.20563399099294</v>
      </c>
      <c r="AB56" s="26">
        <v>0.21618623032678422</v>
      </c>
      <c r="AC56" s="27">
        <v>3832801629.5189147</v>
      </c>
      <c r="AD56" s="78">
        <v>3.5117513005972736</v>
      </c>
      <c r="AE56" s="77">
        <v>8.927204904063757</v>
      </c>
      <c r="AF56" s="26">
        <v>0.22953448143124072</v>
      </c>
      <c r="AG56" s="27">
        <v>3987566906.0462346</v>
      </c>
      <c r="AH56" s="78">
        <v>1.3767976703985074</v>
      </c>
      <c r="AI56" s="77">
        <v>8.927176315164616</v>
      </c>
      <c r="AJ56" s="26">
        <v>0.22999171473681176</v>
      </c>
      <c r="AK56" s="27">
        <v>4033439526.6744957</v>
      </c>
      <c r="AL56" s="78">
        <v>7.215375108605281</v>
      </c>
      <c r="AM56" s="77">
        <v>9.98633885174966</v>
      </c>
      <c r="AN56" s="26">
        <v>0.2387840411557839</v>
      </c>
      <c r="AO56" s="27">
        <v>4103547431.486448</v>
      </c>
      <c r="AP56" s="78">
        <v>1.3780587487530007</v>
      </c>
      <c r="AQ56" s="138">
        <v>52.93436456608229</v>
      </c>
      <c r="AR56" s="138">
        <v>3.8856064192027806</v>
      </c>
      <c r="AS56" s="138">
        <v>312038300.3878963</v>
      </c>
      <c r="AT56" s="138">
        <v>4.739916992169995</v>
      </c>
      <c r="AU56" s="134">
        <v>0.37887546826992735</v>
      </c>
      <c r="AV56" s="132" t="s">
        <v>66</v>
      </c>
    </row>
    <row r="57" spans="2:48" ht="12.75">
      <c r="B57" s="89" t="s">
        <v>51</v>
      </c>
      <c r="C57" s="77">
        <v>0.125</v>
      </c>
      <c r="D57" s="26">
        <v>0.024377009971089863</v>
      </c>
      <c r="E57" s="28">
        <v>1.0326980601362117</v>
      </c>
      <c r="F57" s="78">
        <v>15.041833593607157</v>
      </c>
      <c r="G57" s="77">
        <v>0.25</v>
      </c>
      <c r="H57" s="26">
        <v>0.024605883297850635</v>
      </c>
      <c r="I57" s="27">
        <v>1.3530127240227947</v>
      </c>
      <c r="J57" s="78">
        <v>6.971635942464598</v>
      </c>
      <c r="K57" s="77">
        <v>0.25</v>
      </c>
      <c r="L57" s="26">
        <v>0.024605883297850635</v>
      </c>
      <c r="M57" s="27">
        <v>1.4233030451999922</v>
      </c>
      <c r="N57" s="78">
        <v>5.443156757426893</v>
      </c>
      <c r="O57" s="77">
        <v>1.5</v>
      </c>
      <c r="P57" s="26">
        <v>0.025847390085133554</v>
      </c>
      <c r="Q57" s="27">
        <v>1.6774363733393445</v>
      </c>
      <c r="R57" s="78">
        <v>4</v>
      </c>
      <c r="S57" s="77">
        <v>1.5</v>
      </c>
      <c r="T57" s="26">
        <v>0.025847390085133554</v>
      </c>
      <c r="U57" s="27">
        <v>1.6774363733393445</v>
      </c>
      <c r="V57" s="78">
        <v>4</v>
      </c>
      <c r="W57" s="77">
        <v>2.3333333333333335</v>
      </c>
      <c r="X57" s="26">
        <v>0.026505539027636776</v>
      </c>
      <c r="Y57" s="27">
        <v>1.8243013246093787</v>
      </c>
      <c r="Z57" s="78">
        <v>4</v>
      </c>
      <c r="AA57" s="77">
        <v>2.875</v>
      </c>
      <c r="AB57" s="26">
        <v>0.02695020789807643</v>
      </c>
      <c r="AC57" s="27">
        <v>1.8851467209799406</v>
      </c>
      <c r="AD57" s="78">
        <v>5.331008638896828</v>
      </c>
      <c r="AE57" s="77">
        <v>7.375000000000018</v>
      </c>
      <c r="AF57" s="26">
        <v>0.030234753211494436</v>
      </c>
      <c r="AG57" s="27">
        <v>1.925912735847007</v>
      </c>
      <c r="AH57" s="78">
        <v>4</v>
      </c>
      <c r="AI57" s="77">
        <v>7.458333333333352</v>
      </c>
      <c r="AJ57" s="26">
        <v>0.030385846234624588</v>
      </c>
      <c r="AK57" s="27">
        <v>1.9722324928135875</v>
      </c>
      <c r="AL57" s="78">
        <v>4.070020804472179</v>
      </c>
      <c r="AM57" s="77">
        <v>12.25</v>
      </c>
      <c r="AN57" s="26">
        <v>0.0339476210871555</v>
      </c>
      <c r="AO57" s="27">
        <v>2.007489549716048</v>
      </c>
      <c r="AP57" s="78">
        <v>4</v>
      </c>
      <c r="AQ57" s="138">
        <v>1</v>
      </c>
      <c r="AR57" s="138">
        <v>0.94</v>
      </c>
      <c r="AS57" s="138">
        <v>0.0001</v>
      </c>
      <c r="AT57" s="138">
        <v>1</v>
      </c>
      <c r="AU57" s="134">
        <v>0.0001</v>
      </c>
      <c r="AV57" s="132" t="s">
        <v>51</v>
      </c>
    </row>
    <row r="58" spans="2:48" ht="13.5" thickBot="1">
      <c r="B58" s="90" t="s">
        <v>52</v>
      </c>
      <c r="C58" s="79">
        <v>0.7083333333333331</v>
      </c>
      <c r="D58" s="80">
        <v>0.04523106672158234</v>
      </c>
      <c r="E58" s="83">
        <v>132.2374788694775</v>
      </c>
      <c r="F58" s="82">
        <v>35.612157570013586</v>
      </c>
      <c r="G58" s="79">
        <v>5.583333333333338</v>
      </c>
      <c r="H58" s="80">
        <v>0.06057526836898016</v>
      </c>
      <c r="I58" s="81">
        <v>7821.586249896764</v>
      </c>
      <c r="J58" s="82">
        <v>26.597834997339014</v>
      </c>
      <c r="K58" s="79">
        <v>5.875000000000007</v>
      </c>
      <c r="L58" s="80">
        <v>0.06208831809162095</v>
      </c>
      <c r="M58" s="81">
        <v>13187.121602567544</v>
      </c>
      <c r="N58" s="82">
        <v>26.288144550207292</v>
      </c>
      <c r="O58" s="79">
        <v>11.916666666666632</v>
      </c>
      <c r="P58" s="80">
        <v>1</v>
      </c>
      <c r="Q58" s="81">
        <v>466526.1305283776</v>
      </c>
      <c r="R58" s="82">
        <v>17.742390869297342</v>
      </c>
      <c r="S58" s="79">
        <v>11.916666666666632</v>
      </c>
      <c r="T58" s="80">
        <v>1</v>
      </c>
      <c r="U58" s="81">
        <v>466526.1305283776</v>
      </c>
      <c r="V58" s="82">
        <v>17.742390869297342</v>
      </c>
      <c r="W58" s="79">
        <v>15.916666666666575</v>
      </c>
      <c r="X58" s="80">
        <v>1</v>
      </c>
      <c r="Y58" s="81">
        <v>5319644.167278243</v>
      </c>
      <c r="Z58" s="82">
        <v>15.9120494437179</v>
      </c>
      <c r="AA58" s="79">
        <v>16.54166666666659</v>
      </c>
      <c r="AB58" s="80">
        <v>1</v>
      </c>
      <c r="AC58" s="81">
        <v>9597683.638512166</v>
      </c>
      <c r="AD58" s="82">
        <v>16.820909712275075</v>
      </c>
      <c r="AE58" s="79">
        <v>34.08333333333358</v>
      </c>
      <c r="AF58" s="80">
        <v>1</v>
      </c>
      <c r="AG58" s="81">
        <v>12637461.47706829</v>
      </c>
      <c r="AH58" s="82">
        <v>7.84985544154446</v>
      </c>
      <c r="AI58" s="79">
        <v>34.12500000000024</v>
      </c>
      <c r="AJ58" s="80">
        <v>1</v>
      </c>
      <c r="AK58" s="81">
        <v>13698011.486442992</v>
      </c>
      <c r="AL58" s="82">
        <v>28.272441228814852</v>
      </c>
      <c r="AM58" s="79">
        <v>43.12499999999973</v>
      </c>
      <c r="AN58" s="80">
        <v>1</v>
      </c>
      <c r="AO58" s="81">
        <v>14936887.073418733</v>
      </c>
      <c r="AP58" s="82">
        <v>7.853331608929923</v>
      </c>
      <c r="AQ58" s="138">
        <v>98.07947475566037</v>
      </c>
      <c r="AR58" s="138">
        <v>12</v>
      </c>
      <c r="AS58" s="138">
        <v>5.9828482431717305</v>
      </c>
      <c r="AT58" s="138">
        <v>11</v>
      </c>
      <c r="AU58" s="134">
        <v>0.014695314636191148</v>
      </c>
      <c r="AV58" s="132" t="s">
        <v>52</v>
      </c>
    </row>
    <row r="59" spans="41:47" ht="13.5" thickBot="1">
      <c r="AO59" s="6"/>
      <c r="AQ59" s="5"/>
      <c r="AR59" s="5"/>
      <c r="AS59" s="5"/>
      <c r="AT59" s="5"/>
      <c r="AU59" s="19"/>
    </row>
    <row r="60" spans="2:48" ht="12.75">
      <c r="B60" s="97" t="s">
        <v>96</v>
      </c>
      <c r="C60" s="91" t="s">
        <v>13</v>
      </c>
      <c r="D60" s="92"/>
      <c r="E60" s="92"/>
      <c r="F60" s="93"/>
      <c r="G60" s="91" t="s">
        <v>58</v>
      </c>
      <c r="H60" s="92"/>
      <c r="I60" s="92"/>
      <c r="J60" s="93"/>
      <c r="K60" s="91" t="s">
        <v>16</v>
      </c>
      <c r="L60" s="92"/>
      <c r="M60" s="92"/>
      <c r="N60" s="93"/>
      <c r="O60" s="91" t="s">
        <v>57</v>
      </c>
      <c r="P60" s="92"/>
      <c r="Q60" s="92"/>
      <c r="R60" s="93"/>
      <c r="S60" s="91" t="s">
        <v>56</v>
      </c>
      <c r="T60" s="92"/>
      <c r="U60" s="92"/>
      <c r="V60" s="93"/>
      <c r="W60" s="91" t="s">
        <v>55</v>
      </c>
      <c r="X60" s="92"/>
      <c r="Y60" s="92"/>
      <c r="Z60" s="93"/>
      <c r="AA60" s="91" t="s">
        <v>54</v>
      </c>
      <c r="AB60" s="92"/>
      <c r="AC60" s="92"/>
      <c r="AD60" s="93"/>
      <c r="AE60" s="91" t="s">
        <v>53</v>
      </c>
      <c r="AF60" s="92"/>
      <c r="AG60" s="92"/>
      <c r="AH60" s="93"/>
      <c r="AI60" s="91" t="s">
        <v>59</v>
      </c>
      <c r="AJ60" s="92"/>
      <c r="AK60" s="92"/>
      <c r="AL60" s="93"/>
      <c r="AM60" s="91" t="s">
        <v>46</v>
      </c>
      <c r="AN60" s="92"/>
      <c r="AO60" s="92"/>
      <c r="AP60" s="93"/>
      <c r="AQ60" s="137"/>
      <c r="AR60" s="137"/>
      <c r="AS60" s="139"/>
      <c r="AT60" s="139"/>
      <c r="AU60" s="135"/>
      <c r="AV60" s="130"/>
    </row>
    <row r="61" spans="2:49" ht="12.75">
      <c r="B61" s="98"/>
      <c r="C61" s="75" t="s">
        <v>48</v>
      </c>
      <c r="D61" s="23" t="s">
        <v>10</v>
      </c>
      <c r="E61" s="29" t="s">
        <v>50</v>
      </c>
      <c r="F61" s="76" t="s">
        <v>49</v>
      </c>
      <c r="G61" s="75" t="s">
        <v>48</v>
      </c>
      <c r="H61" s="23" t="s">
        <v>10</v>
      </c>
      <c r="I61" s="24" t="s">
        <v>50</v>
      </c>
      <c r="J61" s="76" t="s">
        <v>49</v>
      </c>
      <c r="K61" s="75" t="s">
        <v>48</v>
      </c>
      <c r="L61" s="23" t="s">
        <v>10</v>
      </c>
      <c r="M61" s="24" t="s">
        <v>50</v>
      </c>
      <c r="N61" s="76" t="s">
        <v>49</v>
      </c>
      <c r="O61" s="75" t="s">
        <v>48</v>
      </c>
      <c r="P61" s="23" t="s">
        <v>10</v>
      </c>
      <c r="Q61" s="24" t="s">
        <v>50</v>
      </c>
      <c r="R61" s="76" t="s">
        <v>49</v>
      </c>
      <c r="S61" s="75" t="s">
        <v>48</v>
      </c>
      <c r="T61" s="23" t="s">
        <v>10</v>
      </c>
      <c r="U61" s="24" t="s">
        <v>50</v>
      </c>
      <c r="V61" s="76" t="s">
        <v>49</v>
      </c>
      <c r="W61" s="75" t="s">
        <v>48</v>
      </c>
      <c r="X61" s="23" t="s">
        <v>10</v>
      </c>
      <c r="Y61" s="24" t="s">
        <v>50</v>
      </c>
      <c r="Z61" s="76" t="s">
        <v>49</v>
      </c>
      <c r="AA61" s="75" t="s">
        <v>48</v>
      </c>
      <c r="AB61" s="23" t="s">
        <v>10</v>
      </c>
      <c r="AC61" s="24" t="s">
        <v>50</v>
      </c>
      <c r="AD61" s="76" t="s">
        <v>49</v>
      </c>
      <c r="AE61" s="75" t="s">
        <v>48</v>
      </c>
      <c r="AF61" s="23" t="s">
        <v>10</v>
      </c>
      <c r="AG61" s="24" t="s">
        <v>50</v>
      </c>
      <c r="AH61" s="76" t="s">
        <v>49</v>
      </c>
      <c r="AI61" s="75" t="s">
        <v>48</v>
      </c>
      <c r="AJ61" s="23" t="s">
        <v>10</v>
      </c>
      <c r="AK61" s="24" t="s">
        <v>50</v>
      </c>
      <c r="AL61" s="76" t="s">
        <v>49</v>
      </c>
      <c r="AM61" s="75" t="s">
        <v>48</v>
      </c>
      <c r="AN61" s="23" t="s">
        <v>10</v>
      </c>
      <c r="AO61" s="24" t="s">
        <v>50</v>
      </c>
      <c r="AP61" s="76" t="s">
        <v>49</v>
      </c>
      <c r="AQ61" s="131" t="s">
        <v>135</v>
      </c>
      <c r="AR61" s="131" t="s">
        <v>134</v>
      </c>
      <c r="AS61" s="131" t="s">
        <v>50</v>
      </c>
      <c r="AT61" s="131" t="s">
        <v>140</v>
      </c>
      <c r="AU61" s="136" t="s">
        <v>141</v>
      </c>
      <c r="AV61" s="131">
        <v>1.0867695099044224E-05</v>
      </c>
      <c r="AW61">
        <v>7</v>
      </c>
    </row>
    <row r="62" spans="2:48" ht="12.75">
      <c r="B62" s="89" t="s">
        <v>65</v>
      </c>
      <c r="C62" s="77">
        <v>0.32035499999999717</v>
      </c>
      <c r="D62" s="26">
        <v>0.0699689416186293</v>
      </c>
      <c r="E62" s="27">
        <v>5482391.681538736</v>
      </c>
      <c r="F62" s="78">
        <v>24.577373363262172</v>
      </c>
      <c r="G62" s="77">
        <v>2.4449549999999878</v>
      </c>
      <c r="H62" s="26">
        <v>0.07444645128649847</v>
      </c>
      <c r="I62" s="27">
        <v>144490415.4446211</v>
      </c>
      <c r="J62" s="78">
        <v>14.708304472470836</v>
      </c>
      <c r="K62" s="77">
        <v>2.701974999999995</v>
      </c>
      <c r="L62" s="26">
        <v>0.074917594211841</v>
      </c>
      <c r="M62" s="27">
        <v>152909888.96300694</v>
      </c>
      <c r="N62" s="78">
        <v>12.673214212589922</v>
      </c>
      <c r="O62" s="77">
        <v>5.042234999999985</v>
      </c>
      <c r="P62" s="26">
        <v>0.07979473121810203</v>
      </c>
      <c r="Q62" s="27">
        <v>275494709.1954352</v>
      </c>
      <c r="R62" s="78">
        <v>9.746614055914556</v>
      </c>
      <c r="S62" s="77">
        <v>5.042234999999985</v>
      </c>
      <c r="T62" s="26">
        <v>0.07979473121810203</v>
      </c>
      <c r="U62" s="27">
        <v>275494709.1954352</v>
      </c>
      <c r="V62" s="78">
        <v>9.746614055914556</v>
      </c>
      <c r="W62" s="77">
        <v>7.0301599999999445</v>
      </c>
      <c r="X62" s="26">
        <v>0.08333126969395978</v>
      </c>
      <c r="Y62" s="27">
        <v>369684526.85081553</v>
      </c>
      <c r="Z62" s="78">
        <v>9.424974914292921</v>
      </c>
      <c r="AA62" s="77">
        <v>7.625602500000019</v>
      </c>
      <c r="AB62" s="26">
        <v>0.08438387753538963</v>
      </c>
      <c r="AC62" s="27">
        <v>405056372.7924729</v>
      </c>
      <c r="AD62" s="78">
        <v>10.446981841877477</v>
      </c>
      <c r="AE62" s="77">
        <v>17.2095875</v>
      </c>
      <c r="AF62" s="26">
        <v>0.09896928767881816</v>
      </c>
      <c r="AG62" s="27">
        <v>439122773.2383144</v>
      </c>
      <c r="AH62" s="78">
        <v>4.894738467698708</v>
      </c>
      <c r="AI62" s="77">
        <v>17.256912499999906</v>
      </c>
      <c r="AJ62" s="26">
        <v>0.09945138850298417</v>
      </c>
      <c r="AK62" s="27">
        <v>450375046.65457314</v>
      </c>
      <c r="AL62" s="78">
        <v>16.218424810095936</v>
      </c>
      <c r="AM62" s="77">
        <v>24.237682500000048</v>
      </c>
      <c r="AN62" s="26">
        <v>0.11178812308895562</v>
      </c>
      <c r="AO62" s="27">
        <v>477256106.7898711</v>
      </c>
      <c r="AP62" s="78">
        <v>4.856245809417626</v>
      </c>
      <c r="AQ62" s="138">
        <v>25.11243580774868</v>
      </c>
      <c r="AR62" s="138">
        <v>8.646342377779373</v>
      </c>
      <c r="AS62" s="138">
        <v>3954736.3092187224</v>
      </c>
      <c r="AT62" s="138">
        <v>3.26632</v>
      </c>
      <c r="AU62" s="134">
        <v>0.036503395874789096</v>
      </c>
      <c r="AV62" s="132" t="s">
        <v>65</v>
      </c>
    </row>
    <row r="63" spans="2:48" ht="12.75">
      <c r="B63" s="89" t="s">
        <v>64</v>
      </c>
      <c r="C63" s="77">
        <v>0.29166666666666663</v>
      </c>
      <c r="D63" s="26">
        <v>0.02489253343121489</v>
      </c>
      <c r="E63" s="27">
        <v>10.306828753154363</v>
      </c>
      <c r="F63" s="78">
        <v>24.18401494700386</v>
      </c>
      <c r="G63" s="77">
        <v>2.1666666666666674</v>
      </c>
      <c r="H63" s="26">
        <v>0.02707657006651737</v>
      </c>
      <c r="I63" s="27">
        <v>14.631913323792297</v>
      </c>
      <c r="J63" s="78">
        <v>13.684596098705462</v>
      </c>
      <c r="K63" s="77">
        <v>2.458333333333333</v>
      </c>
      <c r="L63" s="26">
        <v>0.02733314217845556</v>
      </c>
      <c r="M63" s="27">
        <v>15.011787090889545</v>
      </c>
      <c r="N63" s="78">
        <v>11.314182495218756</v>
      </c>
      <c r="O63" s="77">
        <v>3.9583333333333277</v>
      </c>
      <c r="P63" s="26">
        <v>0.028907362306351603</v>
      </c>
      <c r="Q63" s="27">
        <v>17.58530597658047</v>
      </c>
      <c r="R63" s="78">
        <v>9.177172285717148</v>
      </c>
      <c r="S63" s="77">
        <v>3.9583333333333277</v>
      </c>
      <c r="T63" s="26">
        <v>0.028907362306351603</v>
      </c>
      <c r="U63" s="27">
        <v>17.58530597658047</v>
      </c>
      <c r="V63" s="78">
        <v>9.177172285717148</v>
      </c>
      <c r="W63" s="77">
        <v>5.708333333333339</v>
      </c>
      <c r="X63" s="26">
        <v>0.030562423051966103</v>
      </c>
      <c r="Y63" s="27">
        <v>19.262936194229255</v>
      </c>
      <c r="Z63" s="78">
        <v>9.06097153362844</v>
      </c>
      <c r="AA63" s="77">
        <v>6.333333333333344</v>
      </c>
      <c r="AB63" s="26">
        <v>0.031151903370861378</v>
      </c>
      <c r="AC63" s="27">
        <v>20.124879272920943</v>
      </c>
      <c r="AD63" s="78">
        <v>10.09275467970799</v>
      </c>
      <c r="AE63" s="77">
        <v>15.208333333333252</v>
      </c>
      <c r="AF63" s="26">
        <v>0.0382256442168436</v>
      </c>
      <c r="AG63" s="27">
        <v>20.856392579157948</v>
      </c>
      <c r="AH63" s="78">
        <v>4</v>
      </c>
      <c r="AI63" s="77">
        <v>15.249999999999918</v>
      </c>
      <c r="AJ63" s="26">
        <v>0.03854230482723664</v>
      </c>
      <c r="AK63" s="27">
        <v>21.27203174935954</v>
      </c>
      <c r="AL63" s="78">
        <v>16.259523706580012</v>
      </c>
      <c r="AM63" s="77">
        <v>22.33333333333342</v>
      </c>
      <c r="AN63" s="26">
        <v>0.044879906451647744</v>
      </c>
      <c r="AO63" s="27">
        <v>21.893687315079816</v>
      </c>
      <c r="AP63" s="78">
        <v>4</v>
      </c>
      <c r="AQ63" s="138">
        <v>8.873418913096863</v>
      </c>
      <c r="AR63" s="138">
        <v>12</v>
      </c>
      <c r="AS63" s="138">
        <v>0.0001</v>
      </c>
      <c r="AT63" s="138">
        <v>2</v>
      </c>
      <c r="AU63" s="134">
        <v>0.0001</v>
      </c>
      <c r="AV63" s="132" t="s">
        <v>64</v>
      </c>
    </row>
    <row r="64" spans="2:48" ht="12.75">
      <c r="B64" s="89" t="s">
        <v>66</v>
      </c>
      <c r="C64" s="77">
        <v>0.191957409440261</v>
      </c>
      <c r="D64" s="26">
        <v>0.20399678130006868</v>
      </c>
      <c r="E64" s="27">
        <v>454036663.6391816</v>
      </c>
      <c r="F64" s="78">
        <v>6.257155066304898</v>
      </c>
      <c r="G64" s="77">
        <v>1.7054012705581278</v>
      </c>
      <c r="H64" s="26">
        <v>0.20834904736387136</v>
      </c>
      <c r="I64" s="27">
        <v>2264775428.2997875</v>
      </c>
      <c r="J64" s="78">
        <v>5.962871902669072</v>
      </c>
      <c r="K64" s="77">
        <v>1.7660294657215723</v>
      </c>
      <c r="L64" s="26">
        <v>0.20883280070505697</v>
      </c>
      <c r="M64" s="27">
        <v>2328607920.950181</v>
      </c>
      <c r="N64" s="78">
        <v>6.182126201431457</v>
      </c>
      <c r="O64" s="77">
        <v>4.470281890298472</v>
      </c>
      <c r="P64" s="26">
        <v>0.2137831513851978</v>
      </c>
      <c r="Q64" s="27">
        <v>3145062885.999801</v>
      </c>
      <c r="R64" s="78">
        <v>4.2940457708425726</v>
      </c>
      <c r="S64" s="77">
        <v>4.470281890298472</v>
      </c>
      <c r="T64" s="26">
        <v>0.2137831513851978</v>
      </c>
      <c r="U64" s="27">
        <v>3145062885.999801</v>
      </c>
      <c r="V64" s="78">
        <v>4.2940457708425726</v>
      </c>
      <c r="W64" s="77">
        <v>5.17518592503998</v>
      </c>
      <c r="X64" s="26">
        <v>0.21691858496530153</v>
      </c>
      <c r="Y64" s="27">
        <v>3631848822.679941</v>
      </c>
      <c r="Z64" s="78">
        <v>3.5607572809405776</v>
      </c>
      <c r="AA64" s="77">
        <v>5.1853401791980485</v>
      </c>
      <c r="AB64" s="26">
        <v>0.21775158026780297</v>
      </c>
      <c r="AC64" s="27">
        <v>3797978177.975505</v>
      </c>
      <c r="AD64" s="78">
        <v>3.4833018355361984</v>
      </c>
      <c r="AE64" s="77">
        <v>8.805605802057865</v>
      </c>
      <c r="AF64" s="26">
        <v>0.2300198826725971</v>
      </c>
      <c r="AG64" s="27">
        <v>3960021807.9365015</v>
      </c>
      <c r="AH64" s="78">
        <v>1.3704703588962188</v>
      </c>
      <c r="AI64" s="77">
        <v>8.805692930553828</v>
      </c>
      <c r="AJ64" s="26">
        <v>0.23030004632472317</v>
      </c>
      <c r="AK64" s="27">
        <v>4015732817.994951</v>
      </c>
      <c r="AL64" s="78">
        <v>7.189873488723778</v>
      </c>
      <c r="AM64" s="77">
        <v>9.845593071555056</v>
      </c>
      <c r="AN64" s="26">
        <v>0.23961535274714535</v>
      </c>
      <c r="AO64" s="27">
        <v>4128153958.3583612</v>
      </c>
      <c r="AP64" s="78">
        <v>1.38216800644352</v>
      </c>
      <c r="AQ64" s="138">
        <v>52.74529572544475</v>
      </c>
      <c r="AR64" s="138">
        <v>3.886307965307921</v>
      </c>
      <c r="AS64" s="138">
        <v>203640311.72608963</v>
      </c>
      <c r="AT64" s="138">
        <v>4.725581475332491</v>
      </c>
      <c r="AU64" s="134">
        <v>0.4370382755005771</v>
      </c>
      <c r="AV64" s="132" t="s">
        <v>66</v>
      </c>
    </row>
    <row r="65" spans="2:48" ht="12.75">
      <c r="B65" s="89" t="s">
        <v>51</v>
      </c>
      <c r="C65" s="77">
        <v>0.125</v>
      </c>
      <c r="D65" s="26">
        <v>0.024381090866745926</v>
      </c>
      <c r="E65" s="28">
        <v>1.03307754041527</v>
      </c>
      <c r="F65" s="78">
        <v>14.962090518652662</v>
      </c>
      <c r="G65" s="77">
        <v>0.20833333333333331</v>
      </c>
      <c r="H65" s="26">
        <v>0.024610148036882683</v>
      </c>
      <c r="I65" s="27">
        <v>1.3533271773056847</v>
      </c>
      <c r="J65" s="78">
        <v>6.985101063841006</v>
      </c>
      <c r="K65" s="77">
        <v>0.20833333333333331</v>
      </c>
      <c r="L65" s="26">
        <v>0.024610179942975124</v>
      </c>
      <c r="M65" s="27">
        <v>1.4153234270100656</v>
      </c>
      <c r="N65" s="78">
        <v>5.3578500290750295</v>
      </c>
      <c r="O65" s="77">
        <v>1.5</v>
      </c>
      <c r="P65" s="26">
        <v>0.025836378200509758</v>
      </c>
      <c r="Q65" s="27">
        <v>1.6953973184737976</v>
      </c>
      <c r="R65" s="78">
        <v>4</v>
      </c>
      <c r="S65" s="77">
        <v>1.5</v>
      </c>
      <c r="T65" s="26">
        <v>0.025836378200509758</v>
      </c>
      <c r="U65" s="27">
        <v>1.6953973184737976</v>
      </c>
      <c r="V65" s="78">
        <v>4</v>
      </c>
      <c r="W65" s="77">
        <v>2.291666666666667</v>
      </c>
      <c r="X65" s="26">
        <v>0.026506289172280584</v>
      </c>
      <c r="Y65" s="27">
        <v>1.8202301284963942</v>
      </c>
      <c r="Z65" s="78">
        <v>4</v>
      </c>
      <c r="AA65" s="77">
        <v>2.8333333333333317</v>
      </c>
      <c r="AB65" s="26">
        <v>0.026936626905548794</v>
      </c>
      <c r="AC65" s="27">
        <v>1.8889179853054732</v>
      </c>
      <c r="AD65" s="78">
        <v>5.349716737659775</v>
      </c>
      <c r="AE65" s="77">
        <v>7.333333333333351</v>
      </c>
      <c r="AF65" s="26">
        <v>0.030225318812405012</v>
      </c>
      <c r="AG65" s="27">
        <v>1.9353121677894303</v>
      </c>
      <c r="AH65" s="78">
        <v>4</v>
      </c>
      <c r="AI65" s="77">
        <v>7.416666666666685</v>
      </c>
      <c r="AJ65" s="26">
        <v>0.030369644884169</v>
      </c>
      <c r="AK65" s="27">
        <v>1.9820019618935947</v>
      </c>
      <c r="AL65" s="78">
        <v>4.0202741188179285</v>
      </c>
      <c r="AM65" s="77">
        <v>12.291666666666627</v>
      </c>
      <c r="AN65" s="26">
        <v>0.03395580606600042</v>
      </c>
      <c r="AO65" s="27">
        <v>2.014714148114747</v>
      </c>
      <c r="AP65" s="78">
        <v>4</v>
      </c>
      <c r="AQ65" s="138">
        <v>1</v>
      </c>
      <c r="AR65" s="138">
        <v>0.94</v>
      </c>
      <c r="AS65" s="138">
        <v>0.0001</v>
      </c>
      <c r="AT65" s="138">
        <v>1</v>
      </c>
      <c r="AU65" s="134">
        <v>0.0001</v>
      </c>
      <c r="AV65" s="132" t="s">
        <v>51</v>
      </c>
    </row>
    <row r="66" spans="2:48" ht="13.5" thickBot="1">
      <c r="B66" s="90" t="s">
        <v>52</v>
      </c>
      <c r="C66" s="79">
        <v>0.6666666666666665</v>
      </c>
      <c r="D66" s="80">
        <v>0.04470018431854695</v>
      </c>
      <c r="E66" s="83">
        <v>130.77441951821015</v>
      </c>
      <c r="F66" s="82">
        <v>35.577273524604806</v>
      </c>
      <c r="G66" s="79">
        <v>5.583333333333338</v>
      </c>
      <c r="H66" s="80">
        <v>0.06236746457860934</v>
      </c>
      <c r="I66" s="81">
        <v>6339.6524035673465</v>
      </c>
      <c r="J66" s="82">
        <v>26.613435366403465</v>
      </c>
      <c r="K66" s="79">
        <v>5.916666666666674</v>
      </c>
      <c r="L66" s="80">
        <v>0.06565182054616442</v>
      </c>
      <c r="M66" s="81">
        <v>9599.078985579798</v>
      </c>
      <c r="N66" s="82">
        <v>26.3378491773888</v>
      </c>
      <c r="O66" s="79">
        <v>11.791666666666634</v>
      </c>
      <c r="P66" s="80">
        <v>1</v>
      </c>
      <c r="Q66" s="81">
        <v>426577.0998033162</v>
      </c>
      <c r="R66" s="82">
        <v>17.618815356763747</v>
      </c>
      <c r="S66" s="79">
        <v>11.791666666666634</v>
      </c>
      <c r="T66" s="80">
        <v>1</v>
      </c>
      <c r="U66" s="81">
        <v>426577.0998033162</v>
      </c>
      <c r="V66" s="82">
        <v>17.618815356763747</v>
      </c>
      <c r="W66" s="79">
        <v>15.749999999999911</v>
      </c>
      <c r="X66" s="80">
        <v>1</v>
      </c>
      <c r="Y66" s="81">
        <v>4392610.952502307</v>
      </c>
      <c r="Z66" s="82">
        <v>15.851925801084676</v>
      </c>
      <c r="AA66" s="79">
        <v>16.37499999999992</v>
      </c>
      <c r="AB66" s="80">
        <v>1</v>
      </c>
      <c r="AC66" s="81">
        <v>8407234.58209122</v>
      </c>
      <c r="AD66" s="82">
        <v>16.71113874966407</v>
      </c>
      <c r="AE66" s="79">
        <v>33.83333333333359</v>
      </c>
      <c r="AF66" s="80">
        <v>1</v>
      </c>
      <c r="AG66" s="81">
        <v>12229380.279289816</v>
      </c>
      <c r="AH66" s="82">
        <v>7.827472771000393</v>
      </c>
      <c r="AI66" s="79">
        <v>33.87708333333341</v>
      </c>
      <c r="AJ66" s="80">
        <v>1</v>
      </c>
      <c r="AK66" s="81">
        <v>13383296.996949537</v>
      </c>
      <c r="AL66" s="82">
        <v>28.331694011468105</v>
      </c>
      <c r="AM66" s="79">
        <v>42.74999999999975</v>
      </c>
      <c r="AN66" s="80">
        <v>1</v>
      </c>
      <c r="AO66" s="81">
        <v>14673382.840910565</v>
      </c>
      <c r="AP66" s="82">
        <v>7.859887046834312</v>
      </c>
      <c r="AQ66" s="138">
        <v>97.96945198026569</v>
      </c>
      <c r="AR66" s="138">
        <v>12</v>
      </c>
      <c r="AS66" s="138">
        <v>5.815605794841296</v>
      </c>
      <c r="AT66" s="138">
        <v>11</v>
      </c>
      <c r="AU66" s="134">
        <v>0.014440588462890995</v>
      </c>
      <c r="AV66" s="132" t="s">
        <v>52</v>
      </c>
    </row>
    <row r="67" spans="41:47" ht="13.5" thickBot="1">
      <c r="AO67" s="6"/>
      <c r="AQ67" s="5"/>
      <c r="AR67" s="5"/>
      <c r="AS67" s="5"/>
      <c r="AT67" s="5"/>
      <c r="AU67" s="19"/>
    </row>
    <row r="68" spans="2:48" ht="12.75">
      <c r="B68" s="97" t="s">
        <v>96</v>
      </c>
      <c r="C68" s="91" t="s">
        <v>13</v>
      </c>
      <c r="D68" s="92"/>
      <c r="E68" s="92"/>
      <c r="F68" s="93"/>
      <c r="G68" s="91" t="s">
        <v>58</v>
      </c>
      <c r="H68" s="92"/>
      <c r="I68" s="92"/>
      <c r="J68" s="93"/>
      <c r="K68" s="91" t="s">
        <v>16</v>
      </c>
      <c r="L68" s="92"/>
      <c r="M68" s="92"/>
      <c r="N68" s="93"/>
      <c r="O68" s="91" t="s">
        <v>57</v>
      </c>
      <c r="P68" s="92"/>
      <c r="Q68" s="92"/>
      <c r="R68" s="93"/>
      <c r="S68" s="91" t="s">
        <v>56</v>
      </c>
      <c r="T68" s="92"/>
      <c r="U68" s="92"/>
      <c r="V68" s="93"/>
      <c r="W68" s="91" t="s">
        <v>55</v>
      </c>
      <c r="X68" s="92"/>
      <c r="Y68" s="92"/>
      <c r="Z68" s="93"/>
      <c r="AA68" s="91" t="s">
        <v>54</v>
      </c>
      <c r="AB68" s="92"/>
      <c r="AC68" s="92"/>
      <c r="AD68" s="93"/>
      <c r="AE68" s="91" t="s">
        <v>53</v>
      </c>
      <c r="AF68" s="92"/>
      <c r="AG68" s="92"/>
      <c r="AH68" s="93"/>
      <c r="AI68" s="91" t="s">
        <v>59</v>
      </c>
      <c r="AJ68" s="92"/>
      <c r="AK68" s="92"/>
      <c r="AL68" s="93"/>
      <c r="AM68" s="91" t="s">
        <v>46</v>
      </c>
      <c r="AN68" s="92"/>
      <c r="AO68" s="92"/>
      <c r="AP68" s="93"/>
      <c r="AQ68" s="137"/>
      <c r="AR68" s="137"/>
      <c r="AS68" s="139"/>
      <c r="AT68" s="139"/>
      <c r="AU68" s="135"/>
      <c r="AV68" s="130"/>
    </row>
    <row r="69" spans="2:49" ht="12.75">
      <c r="B69" s="98"/>
      <c r="C69" s="75" t="s">
        <v>48</v>
      </c>
      <c r="D69" s="23" t="s">
        <v>10</v>
      </c>
      <c r="E69" s="29" t="s">
        <v>50</v>
      </c>
      <c r="F69" s="76" t="s">
        <v>49</v>
      </c>
      <c r="G69" s="75" t="s">
        <v>48</v>
      </c>
      <c r="H69" s="23" t="s">
        <v>10</v>
      </c>
      <c r="I69" s="24" t="s">
        <v>50</v>
      </c>
      <c r="J69" s="76" t="s">
        <v>49</v>
      </c>
      <c r="K69" s="75" t="s">
        <v>48</v>
      </c>
      <c r="L69" s="23" t="s">
        <v>10</v>
      </c>
      <c r="M69" s="24" t="s">
        <v>50</v>
      </c>
      <c r="N69" s="76" t="s">
        <v>49</v>
      </c>
      <c r="O69" s="75" t="s">
        <v>48</v>
      </c>
      <c r="P69" s="23" t="s">
        <v>10</v>
      </c>
      <c r="Q69" s="24" t="s">
        <v>50</v>
      </c>
      <c r="R69" s="76" t="s">
        <v>49</v>
      </c>
      <c r="S69" s="75" t="s">
        <v>48</v>
      </c>
      <c r="T69" s="23" t="s">
        <v>10</v>
      </c>
      <c r="U69" s="24" t="s">
        <v>50</v>
      </c>
      <c r="V69" s="76" t="s">
        <v>49</v>
      </c>
      <c r="W69" s="75" t="s">
        <v>48</v>
      </c>
      <c r="X69" s="23" t="s">
        <v>10</v>
      </c>
      <c r="Y69" s="24" t="s">
        <v>50</v>
      </c>
      <c r="Z69" s="76" t="s">
        <v>49</v>
      </c>
      <c r="AA69" s="75" t="s">
        <v>48</v>
      </c>
      <c r="AB69" s="23" t="s">
        <v>10</v>
      </c>
      <c r="AC69" s="24" t="s">
        <v>50</v>
      </c>
      <c r="AD69" s="76" t="s">
        <v>49</v>
      </c>
      <c r="AE69" s="75" t="s">
        <v>48</v>
      </c>
      <c r="AF69" s="23" t="s">
        <v>10</v>
      </c>
      <c r="AG69" s="24" t="s">
        <v>50</v>
      </c>
      <c r="AH69" s="76" t="s">
        <v>49</v>
      </c>
      <c r="AI69" s="75" t="s">
        <v>48</v>
      </c>
      <c r="AJ69" s="23" t="s">
        <v>10</v>
      </c>
      <c r="AK69" s="24" t="s">
        <v>50</v>
      </c>
      <c r="AL69" s="76" t="s">
        <v>49</v>
      </c>
      <c r="AM69" s="75" t="s">
        <v>48</v>
      </c>
      <c r="AN69" s="23" t="s">
        <v>10</v>
      </c>
      <c r="AO69" s="24" t="s">
        <v>50</v>
      </c>
      <c r="AP69" s="76" t="s">
        <v>49</v>
      </c>
      <c r="AQ69" s="131" t="s">
        <v>135</v>
      </c>
      <c r="AR69" s="131" t="s">
        <v>134</v>
      </c>
      <c r="AS69" s="131" t="s">
        <v>50</v>
      </c>
      <c r="AT69" s="131" t="s">
        <v>140</v>
      </c>
      <c r="AU69" s="136" t="s">
        <v>141</v>
      </c>
      <c r="AV69" s="131">
        <v>1.0120405252923368E-05</v>
      </c>
      <c r="AW69">
        <v>8</v>
      </c>
    </row>
    <row r="70" spans="2:48" ht="12.75">
      <c r="B70" s="89" t="s">
        <v>65</v>
      </c>
      <c r="C70" s="77">
        <v>0.3209624999999981</v>
      </c>
      <c r="D70" s="26">
        <v>0.07035847086733518</v>
      </c>
      <c r="E70" s="27">
        <v>2605157.27685015</v>
      </c>
      <c r="F70" s="78">
        <v>24.571881680524378</v>
      </c>
      <c r="G70" s="77">
        <v>2.450081666666675</v>
      </c>
      <c r="H70" s="26">
        <v>0.07460562762994427</v>
      </c>
      <c r="I70" s="27">
        <v>155007629.7633912</v>
      </c>
      <c r="J70" s="78">
        <v>14.714827731990919</v>
      </c>
      <c r="K70" s="77">
        <v>2.7083866666666547</v>
      </c>
      <c r="L70" s="26">
        <v>0.07498129573905056</v>
      </c>
      <c r="M70" s="27">
        <v>165551584.8829087</v>
      </c>
      <c r="N70" s="78">
        <v>12.72667657893043</v>
      </c>
      <c r="O70" s="77">
        <v>5.072837499999995</v>
      </c>
      <c r="P70" s="26">
        <v>0.07975987777072535</v>
      </c>
      <c r="Q70" s="27">
        <v>287719627.3416558</v>
      </c>
      <c r="R70" s="78">
        <v>9.751512375222807</v>
      </c>
      <c r="S70" s="77">
        <v>5.072837499999995</v>
      </c>
      <c r="T70" s="26">
        <v>0.07975987777072535</v>
      </c>
      <c r="U70" s="27">
        <v>287719627.3416558</v>
      </c>
      <c r="V70" s="78">
        <v>9.751512375222807</v>
      </c>
      <c r="W70" s="77">
        <v>7.061858333333337</v>
      </c>
      <c r="X70" s="26">
        <v>0.08311655694619662</v>
      </c>
      <c r="Y70" s="27">
        <v>384824312.57542384</v>
      </c>
      <c r="Z70" s="78">
        <v>9.443456106742751</v>
      </c>
      <c r="AA70" s="77">
        <v>7.654908333333433</v>
      </c>
      <c r="AB70" s="26">
        <v>0.08431841032435879</v>
      </c>
      <c r="AC70" s="27">
        <v>416022746.3397246</v>
      </c>
      <c r="AD70" s="78">
        <v>10.470869689434307</v>
      </c>
      <c r="AE70" s="77">
        <v>17.334949166666703</v>
      </c>
      <c r="AF70" s="26">
        <v>0.09888785725728255</v>
      </c>
      <c r="AG70" s="27">
        <v>451840640.00254524</v>
      </c>
      <c r="AH70" s="78">
        <v>4.890436161046832</v>
      </c>
      <c r="AI70" s="77">
        <v>17.382245833333386</v>
      </c>
      <c r="AJ70" s="26">
        <v>0.09958094661252462</v>
      </c>
      <c r="AK70" s="27">
        <v>463951620.9380481</v>
      </c>
      <c r="AL70" s="78">
        <v>16.22895682771006</v>
      </c>
      <c r="AM70" s="77">
        <v>24.42014166666634</v>
      </c>
      <c r="AN70" s="26">
        <v>0.1122916456646515</v>
      </c>
      <c r="AO70" s="27">
        <v>484484999.67118627</v>
      </c>
      <c r="AP70" s="78">
        <v>4.84591821602644</v>
      </c>
      <c r="AQ70" s="138">
        <v>24.86122809997147</v>
      </c>
      <c r="AR70" s="138">
        <v>8.65695797777931</v>
      </c>
      <c r="AS70" s="138">
        <v>5678648.442623849</v>
      </c>
      <c r="AT70" s="138">
        <v>3.27804</v>
      </c>
      <c r="AU70" s="134">
        <v>0.0339933312440139</v>
      </c>
      <c r="AV70" s="132" t="s">
        <v>65</v>
      </c>
    </row>
    <row r="71" spans="2:48" ht="12.75">
      <c r="B71" s="89" t="s">
        <v>64</v>
      </c>
      <c r="C71" s="77">
        <v>0.29166666666666663</v>
      </c>
      <c r="D71" s="26">
        <v>0.02489405772350184</v>
      </c>
      <c r="E71" s="27">
        <v>10.241328137713726</v>
      </c>
      <c r="F71" s="78">
        <v>24.131352870248904</v>
      </c>
      <c r="G71" s="77">
        <v>2.1666666666666674</v>
      </c>
      <c r="H71" s="26">
        <v>0.027071104615776553</v>
      </c>
      <c r="I71" s="27">
        <v>14.491574213068262</v>
      </c>
      <c r="J71" s="78">
        <v>13.662379864465068</v>
      </c>
      <c r="K71" s="77">
        <v>2.458333333333333</v>
      </c>
      <c r="L71" s="26">
        <v>0.027333982496101417</v>
      </c>
      <c r="M71" s="27">
        <v>14.878133963667697</v>
      </c>
      <c r="N71" s="78">
        <v>11.3418484171803</v>
      </c>
      <c r="O71" s="77">
        <v>3.9583333333333277</v>
      </c>
      <c r="P71" s="26">
        <v>0.028947116631742598</v>
      </c>
      <c r="Q71" s="27">
        <v>17.320412614736686</v>
      </c>
      <c r="R71" s="78">
        <v>9.184759511374025</v>
      </c>
      <c r="S71" s="77">
        <v>3.9583333333333277</v>
      </c>
      <c r="T71" s="26">
        <v>0.028947116631742598</v>
      </c>
      <c r="U71" s="27">
        <v>17.320412614736686</v>
      </c>
      <c r="V71" s="78">
        <v>9.184759511374025</v>
      </c>
      <c r="W71" s="77">
        <v>5.708333333333339</v>
      </c>
      <c r="X71" s="26">
        <v>0.030604749421897393</v>
      </c>
      <c r="Y71" s="27">
        <v>19.071204337025698</v>
      </c>
      <c r="Z71" s="78">
        <v>9.095558897272774</v>
      </c>
      <c r="AA71" s="77">
        <v>6.333333333333344</v>
      </c>
      <c r="AB71" s="26">
        <v>0.031177542848727147</v>
      </c>
      <c r="AC71" s="27">
        <v>20.04823479441763</v>
      </c>
      <c r="AD71" s="78">
        <v>10.10875418016986</v>
      </c>
      <c r="AE71" s="77">
        <v>15.291666666666584</v>
      </c>
      <c r="AF71" s="26">
        <v>0.03830990884962726</v>
      </c>
      <c r="AG71" s="27">
        <v>20.67324758933242</v>
      </c>
      <c r="AH71" s="78">
        <v>4</v>
      </c>
      <c r="AI71" s="77">
        <v>15.33333333333325</v>
      </c>
      <c r="AJ71" s="26">
        <v>0.03864414579882536</v>
      </c>
      <c r="AK71" s="27">
        <v>21.116899313888837</v>
      </c>
      <c r="AL71" s="78">
        <v>16.25036578426071</v>
      </c>
      <c r="AM71" s="77">
        <v>22.458333333333425</v>
      </c>
      <c r="AN71" s="26">
        <v>0.0450636567236562</v>
      </c>
      <c r="AO71" s="27">
        <v>21.74848621094288</v>
      </c>
      <c r="AP71" s="78">
        <v>4</v>
      </c>
      <c r="AQ71" s="138">
        <v>8.871570188751168</v>
      </c>
      <c r="AR71" s="138">
        <v>12</v>
      </c>
      <c r="AS71" s="138">
        <v>0.0001</v>
      </c>
      <c r="AT71" s="138">
        <v>2</v>
      </c>
      <c r="AU71" s="134">
        <v>0.0001</v>
      </c>
      <c r="AV71" s="132" t="s">
        <v>64</v>
      </c>
    </row>
    <row r="72" spans="2:48" ht="12.75">
      <c r="B72" s="89" t="s">
        <v>66</v>
      </c>
      <c r="C72" s="77">
        <v>0.19378603159960173</v>
      </c>
      <c r="D72" s="26">
        <v>0.20481665537743615</v>
      </c>
      <c r="E72" s="27">
        <v>275190744.6950239</v>
      </c>
      <c r="F72" s="78">
        <v>6.2788326123206035</v>
      </c>
      <c r="G72" s="77">
        <v>1.7088498510261363</v>
      </c>
      <c r="H72" s="26">
        <v>0.20865266897888687</v>
      </c>
      <c r="I72" s="27">
        <v>2348802393.9390945</v>
      </c>
      <c r="J72" s="78">
        <v>6.010819650256815</v>
      </c>
      <c r="K72" s="77">
        <v>1.7704089226936481</v>
      </c>
      <c r="L72" s="26">
        <v>0.20893089246594462</v>
      </c>
      <c r="M72" s="27">
        <v>2433292545.4021807</v>
      </c>
      <c r="N72" s="78">
        <v>6.206011438227744</v>
      </c>
      <c r="O72" s="77">
        <v>4.518136839951103</v>
      </c>
      <c r="P72" s="26">
        <v>0.21355333833298748</v>
      </c>
      <c r="Q72" s="27">
        <v>3202494876.3877425</v>
      </c>
      <c r="R72" s="78">
        <v>4.284617025025043</v>
      </c>
      <c r="S72" s="77">
        <v>4.518136839951103</v>
      </c>
      <c r="T72" s="26">
        <v>0.21355333833298748</v>
      </c>
      <c r="U72" s="27">
        <v>3202494876.3877425</v>
      </c>
      <c r="V72" s="78">
        <v>4.284617025025043</v>
      </c>
      <c r="W72" s="77">
        <v>5.240587525595625</v>
      </c>
      <c r="X72" s="26">
        <v>0.21634068364307432</v>
      </c>
      <c r="Y72" s="27">
        <v>3727774941.1596513</v>
      </c>
      <c r="Z72" s="78">
        <v>3.577195778455296</v>
      </c>
      <c r="AA72" s="77">
        <v>5.249327880566509</v>
      </c>
      <c r="AB72" s="26">
        <v>0.21748577321456328</v>
      </c>
      <c r="AC72" s="27">
        <v>3867527077.8943677</v>
      </c>
      <c r="AD72" s="78">
        <v>3.516067275023599</v>
      </c>
      <c r="AE72" s="77">
        <v>8.96243554747958</v>
      </c>
      <c r="AF72" s="26">
        <v>0.22955324800724047</v>
      </c>
      <c r="AG72" s="27">
        <v>4021471436.570239</v>
      </c>
      <c r="AH72" s="78">
        <v>1.3673044519268513</v>
      </c>
      <c r="AI72" s="77">
        <v>8.962536074858253</v>
      </c>
      <c r="AJ72" s="26">
        <v>0.23022056159290735</v>
      </c>
      <c r="AK72" s="27">
        <v>4073784823.920063</v>
      </c>
      <c r="AL72" s="78">
        <v>7.2184836050893155</v>
      </c>
      <c r="AM72" s="77">
        <v>9.977592503494392</v>
      </c>
      <c r="AN72" s="26">
        <v>0.2400782860732488</v>
      </c>
      <c r="AO72" s="27">
        <v>4163801696.021287</v>
      </c>
      <c r="AP72" s="78">
        <v>1.3643839949657968</v>
      </c>
      <c r="AQ72" s="138">
        <v>51.561002884565326</v>
      </c>
      <c r="AR72" s="138">
        <v>3.893245602958081</v>
      </c>
      <c r="AS72" s="138">
        <v>267471053.83441386</v>
      </c>
      <c r="AT72" s="138">
        <v>4.825109262181307</v>
      </c>
      <c r="AU72" s="134">
        <v>0.37827186300988047</v>
      </c>
      <c r="AV72" s="132" t="s">
        <v>66</v>
      </c>
    </row>
    <row r="73" spans="2:48" ht="12.75">
      <c r="B73" s="89" t="s">
        <v>51</v>
      </c>
      <c r="C73" s="77">
        <v>0.125</v>
      </c>
      <c r="D73" s="26">
        <v>0.024378193774923174</v>
      </c>
      <c r="E73" s="28">
        <v>1.0341924590998175</v>
      </c>
      <c r="F73" s="78">
        <v>15.058958029460683</v>
      </c>
      <c r="G73" s="77">
        <v>0.20833333333333331</v>
      </c>
      <c r="H73" s="26">
        <v>0.02461053695783526</v>
      </c>
      <c r="I73" s="27">
        <v>1.357455154645018</v>
      </c>
      <c r="J73" s="78">
        <v>6.9657706213261195</v>
      </c>
      <c r="K73" s="77">
        <v>0.20833333333333331</v>
      </c>
      <c r="L73" s="26">
        <v>0.02461053695783526</v>
      </c>
      <c r="M73" s="27">
        <v>1.4141359892896948</v>
      </c>
      <c r="N73" s="78">
        <v>5.4295476621891</v>
      </c>
      <c r="O73" s="77">
        <v>1.5</v>
      </c>
      <c r="P73" s="26">
        <v>0.02583947933807973</v>
      </c>
      <c r="Q73" s="27">
        <v>1.7177417359116884</v>
      </c>
      <c r="R73" s="78">
        <v>4</v>
      </c>
      <c r="S73" s="77">
        <v>1.5</v>
      </c>
      <c r="T73" s="26">
        <v>0.02583947933807973</v>
      </c>
      <c r="U73" s="27">
        <v>1.7177417359116884</v>
      </c>
      <c r="V73" s="78">
        <v>4</v>
      </c>
      <c r="W73" s="77">
        <v>2.3333333333333335</v>
      </c>
      <c r="X73" s="26">
        <v>0.026508041852237603</v>
      </c>
      <c r="Y73" s="27">
        <v>1.8556065463895388</v>
      </c>
      <c r="Z73" s="78">
        <v>4</v>
      </c>
      <c r="AA73" s="77">
        <v>2.875</v>
      </c>
      <c r="AB73" s="26">
        <v>0.026948839410758853</v>
      </c>
      <c r="AC73" s="27">
        <v>1.9396864712632222</v>
      </c>
      <c r="AD73" s="78">
        <v>5.337543319419611</v>
      </c>
      <c r="AE73" s="77">
        <v>7.333333333333351</v>
      </c>
      <c r="AF73" s="26">
        <v>0.030209746855220626</v>
      </c>
      <c r="AG73" s="27">
        <v>1.9923586053049382</v>
      </c>
      <c r="AH73" s="78">
        <v>4</v>
      </c>
      <c r="AI73" s="77">
        <v>7.375000000000018</v>
      </c>
      <c r="AJ73" s="26">
        <v>0.030351167672515472</v>
      </c>
      <c r="AK73" s="27">
        <v>2.027512870326196</v>
      </c>
      <c r="AL73" s="78">
        <v>4.019503235873722</v>
      </c>
      <c r="AM73" s="77">
        <v>12.333333333333293</v>
      </c>
      <c r="AN73" s="26">
        <v>0.03396646954298582</v>
      </c>
      <c r="AO73" s="27">
        <v>2.0574040665448994</v>
      </c>
      <c r="AP73" s="78">
        <v>4</v>
      </c>
      <c r="AQ73" s="138">
        <v>1</v>
      </c>
      <c r="AR73" s="138">
        <v>0.94</v>
      </c>
      <c r="AS73" s="138">
        <v>0.0001</v>
      </c>
      <c r="AT73" s="138">
        <v>1</v>
      </c>
      <c r="AU73" s="134">
        <v>0.0001</v>
      </c>
      <c r="AV73" s="132" t="s">
        <v>51</v>
      </c>
    </row>
    <row r="74" spans="2:48" ht="13.5" thickBot="1">
      <c r="B74" s="90" t="s">
        <v>52</v>
      </c>
      <c r="C74" s="79">
        <v>0.6666666666666665</v>
      </c>
      <c r="D74" s="80">
        <v>0.047253182501122315</v>
      </c>
      <c r="E74" s="83">
        <v>129.2301430508079</v>
      </c>
      <c r="F74" s="82">
        <v>35.75255334598934</v>
      </c>
      <c r="G74" s="79">
        <v>5.583333333333338</v>
      </c>
      <c r="H74" s="80">
        <v>0.06282059538653421</v>
      </c>
      <c r="I74" s="81">
        <v>6346.036996911443</v>
      </c>
      <c r="J74" s="82">
        <v>26.64085318618327</v>
      </c>
      <c r="K74" s="79">
        <v>5.916666666666674</v>
      </c>
      <c r="L74" s="80">
        <v>0.06583704198617163</v>
      </c>
      <c r="M74" s="81">
        <v>9925.227960332566</v>
      </c>
      <c r="N74" s="82">
        <v>26.25870069785588</v>
      </c>
      <c r="O74" s="79">
        <v>11.791666666666634</v>
      </c>
      <c r="P74" s="80">
        <v>1</v>
      </c>
      <c r="Q74" s="81">
        <v>416898.4936886783</v>
      </c>
      <c r="R74" s="82">
        <v>17.64990175547375</v>
      </c>
      <c r="S74" s="79">
        <v>11.791666666666634</v>
      </c>
      <c r="T74" s="80">
        <v>1</v>
      </c>
      <c r="U74" s="81">
        <v>416898.4936886783</v>
      </c>
      <c r="V74" s="82">
        <v>17.64990175547375</v>
      </c>
      <c r="W74" s="79">
        <v>15.833333333333243</v>
      </c>
      <c r="X74" s="80">
        <v>1</v>
      </c>
      <c r="Y74" s="81">
        <v>3752551.914174358</v>
      </c>
      <c r="Z74" s="82">
        <v>15.944992045979058</v>
      </c>
      <c r="AA74" s="79">
        <v>16.416666666666586</v>
      </c>
      <c r="AB74" s="80">
        <v>1</v>
      </c>
      <c r="AC74" s="81">
        <v>7182856.856344769</v>
      </c>
      <c r="AD74" s="82">
        <v>16.801237520936148</v>
      </c>
      <c r="AE74" s="79">
        <v>34.250000000000234</v>
      </c>
      <c r="AF74" s="80">
        <v>1</v>
      </c>
      <c r="AG74" s="81">
        <v>11934693.631388878</v>
      </c>
      <c r="AH74" s="82">
        <v>7.783857489452009</v>
      </c>
      <c r="AI74" s="79">
        <v>34.2916666666669</v>
      </c>
      <c r="AJ74" s="80">
        <v>1</v>
      </c>
      <c r="AK74" s="81">
        <v>13062417.059944091</v>
      </c>
      <c r="AL74" s="82">
        <v>28.34175776450182</v>
      </c>
      <c r="AM74" s="79">
        <v>42.99999999999974</v>
      </c>
      <c r="AN74" s="80">
        <v>1</v>
      </c>
      <c r="AO74" s="81">
        <v>14351285.761544636</v>
      </c>
      <c r="AP74" s="82">
        <v>7.818914017393357</v>
      </c>
      <c r="AQ74" s="138">
        <v>97.87174422512129</v>
      </c>
      <c r="AR74" s="138">
        <v>12</v>
      </c>
      <c r="AS74" s="138">
        <v>6.12067574514127</v>
      </c>
      <c r="AT74" s="138">
        <v>11</v>
      </c>
      <c r="AU74" s="134">
        <v>0.015149982729486531</v>
      </c>
      <c r="AV74" s="132" t="s">
        <v>52</v>
      </c>
    </row>
    <row r="75" spans="41:47" ht="13.5" thickBot="1">
      <c r="AO75" s="6"/>
      <c r="AQ75" s="5"/>
      <c r="AR75" s="5"/>
      <c r="AS75" s="5"/>
      <c r="AT75" s="5"/>
      <c r="AU75" s="19"/>
    </row>
    <row r="76" spans="2:48" ht="12.75">
      <c r="B76" s="97" t="s">
        <v>96</v>
      </c>
      <c r="C76" s="91" t="s">
        <v>13</v>
      </c>
      <c r="D76" s="92"/>
      <c r="E76" s="92"/>
      <c r="F76" s="93"/>
      <c r="G76" s="91" t="s">
        <v>58</v>
      </c>
      <c r="H76" s="92"/>
      <c r="I76" s="92"/>
      <c r="J76" s="93"/>
      <c r="K76" s="91" t="s">
        <v>16</v>
      </c>
      <c r="L76" s="92"/>
      <c r="M76" s="92"/>
      <c r="N76" s="93"/>
      <c r="O76" s="91" t="s">
        <v>57</v>
      </c>
      <c r="P76" s="92"/>
      <c r="Q76" s="92"/>
      <c r="R76" s="93"/>
      <c r="S76" s="91" t="s">
        <v>56</v>
      </c>
      <c r="T76" s="92"/>
      <c r="U76" s="92"/>
      <c r="V76" s="93"/>
      <c r="W76" s="91" t="s">
        <v>55</v>
      </c>
      <c r="X76" s="92"/>
      <c r="Y76" s="92"/>
      <c r="Z76" s="93"/>
      <c r="AA76" s="91" t="s">
        <v>54</v>
      </c>
      <c r="AB76" s="92"/>
      <c r="AC76" s="92"/>
      <c r="AD76" s="93"/>
      <c r="AE76" s="91" t="s">
        <v>53</v>
      </c>
      <c r="AF76" s="92"/>
      <c r="AG76" s="92"/>
      <c r="AH76" s="93"/>
      <c r="AI76" s="91" t="s">
        <v>59</v>
      </c>
      <c r="AJ76" s="92"/>
      <c r="AK76" s="92"/>
      <c r="AL76" s="93"/>
      <c r="AM76" s="91" t="s">
        <v>46</v>
      </c>
      <c r="AN76" s="92"/>
      <c r="AO76" s="92"/>
      <c r="AP76" s="93"/>
      <c r="AQ76" s="137"/>
      <c r="AR76" s="137"/>
      <c r="AS76" s="139"/>
      <c r="AT76" s="139"/>
      <c r="AU76" s="135"/>
      <c r="AV76" s="130"/>
    </row>
    <row r="77" spans="2:49" ht="12.75">
      <c r="B77" s="98"/>
      <c r="C77" s="75" t="s">
        <v>48</v>
      </c>
      <c r="D77" s="23" t="s">
        <v>10</v>
      </c>
      <c r="E77" s="29" t="s">
        <v>50</v>
      </c>
      <c r="F77" s="76" t="s">
        <v>49</v>
      </c>
      <c r="G77" s="75" t="s">
        <v>48</v>
      </c>
      <c r="H77" s="23" t="s">
        <v>10</v>
      </c>
      <c r="I77" s="24" t="s">
        <v>50</v>
      </c>
      <c r="J77" s="76" t="s">
        <v>49</v>
      </c>
      <c r="K77" s="75" t="s">
        <v>48</v>
      </c>
      <c r="L77" s="23" t="s">
        <v>10</v>
      </c>
      <c r="M77" s="24" t="s">
        <v>50</v>
      </c>
      <c r="N77" s="76" t="s">
        <v>49</v>
      </c>
      <c r="O77" s="75" t="s">
        <v>48</v>
      </c>
      <c r="P77" s="23" t="s">
        <v>10</v>
      </c>
      <c r="Q77" s="24" t="s">
        <v>50</v>
      </c>
      <c r="R77" s="76" t="s">
        <v>49</v>
      </c>
      <c r="S77" s="75" t="s">
        <v>48</v>
      </c>
      <c r="T77" s="23" t="s">
        <v>10</v>
      </c>
      <c r="U77" s="24" t="s">
        <v>50</v>
      </c>
      <c r="V77" s="76" t="s">
        <v>49</v>
      </c>
      <c r="W77" s="75" t="s">
        <v>48</v>
      </c>
      <c r="X77" s="23" t="s">
        <v>10</v>
      </c>
      <c r="Y77" s="24" t="s">
        <v>50</v>
      </c>
      <c r="Z77" s="76" t="s">
        <v>49</v>
      </c>
      <c r="AA77" s="75" t="s">
        <v>48</v>
      </c>
      <c r="AB77" s="23" t="s">
        <v>10</v>
      </c>
      <c r="AC77" s="24" t="s">
        <v>50</v>
      </c>
      <c r="AD77" s="76" t="s">
        <v>49</v>
      </c>
      <c r="AE77" s="75" t="s">
        <v>48</v>
      </c>
      <c r="AF77" s="23" t="s">
        <v>10</v>
      </c>
      <c r="AG77" s="24" t="s">
        <v>50</v>
      </c>
      <c r="AH77" s="76" t="s">
        <v>49</v>
      </c>
      <c r="AI77" s="75" t="s">
        <v>48</v>
      </c>
      <c r="AJ77" s="23" t="s">
        <v>10</v>
      </c>
      <c r="AK77" s="24" t="s">
        <v>50</v>
      </c>
      <c r="AL77" s="76" t="s">
        <v>49</v>
      </c>
      <c r="AM77" s="75" t="s">
        <v>48</v>
      </c>
      <c r="AN77" s="23" t="s">
        <v>10</v>
      </c>
      <c r="AO77" s="24" t="s">
        <v>50</v>
      </c>
      <c r="AP77" s="76" t="s">
        <v>49</v>
      </c>
      <c r="AQ77" s="131" t="s">
        <v>135</v>
      </c>
      <c r="AR77" s="131" t="s">
        <v>134</v>
      </c>
      <c r="AS77" s="131" t="s">
        <v>50</v>
      </c>
      <c r="AT77" s="131" t="s">
        <v>140</v>
      </c>
      <c r="AU77" s="136" t="s">
        <v>141</v>
      </c>
      <c r="AV77" s="131">
        <v>1.033030696610664E-05</v>
      </c>
      <c r="AW77">
        <v>9</v>
      </c>
    </row>
    <row r="78" spans="2:48" ht="12.75">
      <c r="B78" s="89" t="s">
        <v>65</v>
      </c>
      <c r="C78" s="77">
        <v>0.32070833333333376</v>
      </c>
      <c r="D78" s="26">
        <v>0.0691467148598461</v>
      </c>
      <c r="E78" s="27">
        <v>4777514.571272998</v>
      </c>
      <c r="F78" s="78">
        <v>24.516631893878895</v>
      </c>
      <c r="G78" s="77">
        <v>2.449240833333325</v>
      </c>
      <c r="H78" s="26">
        <v>0.07362194556003736</v>
      </c>
      <c r="I78" s="27">
        <v>132716160.19048561</v>
      </c>
      <c r="J78" s="78">
        <v>14.676678620678317</v>
      </c>
      <c r="K78" s="77">
        <v>2.7074191666666674</v>
      </c>
      <c r="L78" s="26">
        <v>0.07397780456465676</v>
      </c>
      <c r="M78" s="27">
        <v>141353378.61956298</v>
      </c>
      <c r="N78" s="78">
        <v>12.661834809480105</v>
      </c>
      <c r="O78" s="77">
        <v>5.057585000000035</v>
      </c>
      <c r="P78" s="26">
        <v>0.07856922211210916</v>
      </c>
      <c r="Q78" s="27">
        <v>265583923.64005992</v>
      </c>
      <c r="R78" s="78">
        <v>9.789053369074164</v>
      </c>
      <c r="S78" s="77">
        <v>5.057585000000035</v>
      </c>
      <c r="T78" s="26">
        <v>0.07856922211210916</v>
      </c>
      <c r="U78" s="27">
        <v>265583923.64005992</v>
      </c>
      <c r="V78" s="78">
        <v>9.789053369074164</v>
      </c>
      <c r="W78" s="77">
        <v>7.0474200000000256</v>
      </c>
      <c r="X78" s="26">
        <v>0.08226767278666</v>
      </c>
      <c r="Y78" s="27">
        <v>362868522.0960652</v>
      </c>
      <c r="Z78" s="78">
        <v>9.41568953714591</v>
      </c>
      <c r="AA78" s="77">
        <v>7.643216666666615</v>
      </c>
      <c r="AB78" s="26">
        <v>0.083203832319564</v>
      </c>
      <c r="AC78" s="27">
        <v>393033873.53947705</v>
      </c>
      <c r="AD78" s="78">
        <v>10.485872146125775</v>
      </c>
      <c r="AE78" s="77">
        <v>17.26516583333338</v>
      </c>
      <c r="AF78" s="26">
        <v>0.09803937975528548</v>
      </c>
      <c r="AG78" s="27">
        <v>427873834.53750366</v>
      </c>
      <c r="AH78" s="78">
        <v>4.906157563031466</v>
      </c>
      <c r="AI78" s="77">
        <v>17.312438333333297</v>
      </c>
      <c r="AJ78" s="26">
        <v>0.09859611496933197</v>
      </c>
      <c r="AK78" s="27">
        <v>441011204.6950345</v>
      </c>
      <c r="AL78" s="78">
        <v>16.17055319106591</v>
      </c>
      <c r="AM78" s="77">
        <v>24.333159999999943</v>
      </c>
      <c r="AN78" s="26">
        <v>0.11076382827975036</v>
      </c>
      <c r="AO78" s="27">
        <v>461245386.1710319</v>
      </c>
      <c r="AP78" s="78">
        <v>4.857490290547891</v>
      </c>
      <c r="AQ78" s="138">
        <v>24.71860417217414</v>
      </c>
      <c r="AR78" s="138">
        <v>8.687454711112622</v>
      </c>
      <c r="AS78" s="138">
        <v>3919161.6939109014</v>
      </c>
      <c r="AT78" s="138">
        <v>3.27276</v>
      </c>
      <c r="AU78" s="134">
        <v>0.03469836807669053</v>
      </c>
      <c r="AV78" s="132" t="s">
        <v>65</v>
      </c>
    </row>
    <row r="79" spans="2:48" ht="12.75">
      <c r="B79" s="89" t="s">
        <v>64</v>
      </c>
      <c r="C79" s="77">
        <v>0.29166666666666663</v>
      </c>
      <c r="D79" s="26">
        <v>0.024887085614276716</v>
      </c>
      <c r="E79" s="27">
        <v>10.260852145929384</v>
      </c>
      <c r="F79" s="78">
        <v>24.09035727247981</v>
      </c>
      <c r="G79" s="77">
        <v>2.1666666666666674</v>
      </c>
      <c r="H79" s="26">
        <v>0.02704885716248434</v>
      </c>
      <c r="I79" s="27">
        <v>14.185846854620216</v>
      </c>
      <c r="J79" s="78">
        <v>13.631335078006195</v>
      </c>
      <c r="K79" s="77">
        <v>2.458333333333333</v>
      </c>
      <c r="L79" s="26">
        <v>0.027307859593349804</v>
      </c>
      <c r="M79" s="27">
        <v>14.551078031356754</v>
      </c>
      <c r="N79" s="78">
        <v>11.287922746458381</v>
      </c>
      <c r="O79" s="77">
        <v>3.9583333333333277</v>
      </c>
      <c r="P79" s="26">
        <v>0.02891441363674807</v>
      </c>
      <c r="Q79" s="27">
        <v>17.143380909984426</v>
      </c>
      <c r="R79" s="78">
        <v>9.235029636950156</v>
      </c>
      <c r="S79" s="77">
        <v>3.9583333333333277</v>
      </c>
      <c r="T79" s="26">
        <v>0.02891441363674807</v>
      </c>
      <c r="U79" s="27">
        <v>17.143380909984426</v>
      </c>
      <c r="V79" s="78">
        <v>9.235029636950156</v>
      </c>
      <c r="W79" s="77">
        <v>5.750000000000006</v>
      </c>
      <c r="X79" s="26">
        <v>0.030593005340746715</v>
      </c>
      <c r="Y79" s="27">
        <v>18.861219516250394</v>
      </c>
      <c r="Z79" s="78">
        <v>9.0887661812299</v>
      </c>
      <c r="AA79" s="77">
        <v>6.333333333333344</v>
      </c>
      <c r="AB79" s="26">
        <v>0.031177198714780474</v>
      </c>
      <c r="AC79" s="27">
        <v>19.700702000811006</v>
      </c>
      <c r="AD79" s="78">
        <v>10.133947954697241</v>
      </c>
      <c r="AE79" s="77">
        <v>15.208333333333252</v>
      </c>
      <c r="AF79" s="26">
        <v>0.03821082896905181</v>
      </c>
      <c r="AG79" s="27">
        <v>20.472187106266595</v>
      </c>
      <c r="AH79" s="78">
        <v>4</v>
      </c>
      <c r="AI79" s="77">
        <v>15.249999999999918</v>
      </c>
      <c r="AJ79" s="26">
        <v>0.038560099382119795</v>
      </c>
      <c r="AK79" s="27">
        <v>20.869634003662235</v>
      </c>
      <c r="AL79" s="78">
        <v>16.197498302306442</v>
      </c>
      <c r="AM79" s="77">
        <v>22.37500000000009</v>
      </c>
      <c r="AN79" s="26">
        <v>0.044868732573188255</v>
      </c>
      <c r="AO79" s="27">
        <v>21.38897190205826</v>
      </c>
      <c r="AP79" s="78">
        <v>4</v>
      </c>
      <c r="AQ79" s="138">
        <v>8.952398203303291</v>
      </c>
      <c r="AR79" s="138">
        <v>12</v>
      </c>
      <c r="AS79" s="138">
        <v>0.0001</v>
      </c>
      <c r="AT79" s="138">
        <v>2</v>
      </c>
      <c r="AU79" s="134">
        <v>0.0001</v>
      </c>
      <c r="AV79" s="132" t="s">
        <v>64</v>
      </c>
    </row>
    <row r="80" spans="2:48" ht="12.75">
      <c r="B80" s="89" t="s">
        <v>66</v>
      </c>
      <c r="C80" s="77">
        <v>0.19118150580038484</v>
      </c>
      <c r="D80" s="26">
        <v>0.20217052690830034</v>
      </c>
      <c r="E80" s="27">
        <v>378278303.47520936</v>
      </c>
      <c r="F80" s="78">
        <v>6.246946748791156</v>
      </c>
      <c r="G80" s="77">
        <v>1.7035554080173376</v>
      </c>
      <c r="H80" s="26">
        <v>0.20657989697948714</v>
      </c>
      <c r="I80" s="27">
        <v>2151881633.851326</v>
      </c>
      <c r="J80" s="78">
        <v>5.981107356478986</v>
      </c>
      <c r="K80" s="77">
        <v>1.7647746240583488</v>
      </c>
      <c r="L80" s="26">
        <v>0.20682146851213404</v>
      </c>
      <c r="M80" s="27">
        <v>2222982491.923522</v>
      </c>
      <c r="N80" s="78">
        <v>6.185720981741421</v>
      </c>
      <c r="O80" s="77">
        <v>4.4567557690656</v>
      </c>
      <c r="P80" s="26">
        <v>0.21112305471651457</v>
      </c>
      <c r="Q80" s="27">
        <v>3076283741.6885486</v>
      </c>
      <c r="R80" s="78">
        <v>4.302019588495414</v>
      </c>
      <c r="S80" s="77">
        <v>4.4567557690656</v>
      </c>
      <c r="T80" s="26">
        <v>0.21112305471651457</v>
      </c>
      <c r="U80" s="27">
        <v>3076283741.6885486</v>
      </c>
      <c r="V80" s="78">
        <v>4.302019588495414</v>
      </c>
      <c r="W80" s="77">
        <v>5.1700340597190575</v>
      </c>
      <c r="X80" s="26">
        <v>0.21466966092771544</v>
      </c>
      <c r="Y80" s="27">
        <v>3592954667.4819884</v>
      </c>
      <c r="Z80" s="78">
        <v>3.564874829091184</v>
      </c>
      <c r="AA80" s="77">
        <v>5.180487171354703</v>
      </c>
      <c r="AB80" s="26">
        <v>0.21528381500054797</v>
      </c>
      <c r="AC80" s="27">
        <v>3740459957.8103266</v>
      </c>
      <c r="AD80" s="78">
        <v>3.514097675038021</v>
      </c>
      <c r="AE80" s="77">
        <v>8.940985293761694</v>
      </c>
      <c r="AF80" s="26">
        <v>0.22811452722455466</v>
      </c>
      <c r="AG80" s="27">
        <v>3897781170.117196</v>
      </c>
      <c r="AH80" s="78">
        <v>1.381066437412195</v>
      </c>
      <c r="AI80" s="77">
        <v>8.940930175992634</v>
      </c>
      <c r="AJ80" s="26">
        <v>0.22854148634823643</v>
      </c>
      <c r="AK80" s="27">
        <v>3965855508.7952113</v>
      </c>
      <c r="AL80" s="78">
        <v>7.223740989081922</v>
      </c>
      <c r="AM80" s="77">
        <v>9.955961319528694</v>
      </c>
      <c r="AN80" s="26">
        <v>0.23762745210038888</v>
      </c>
      <c r="AO80" s="27">
        <v>4061750688.9444685</v>
      </c>
      <c r="AP80" s="78">
        <v>1.3843068066391142</v>
      </c>
      <c r="AQ80" s="138">
        <v>51.693184906521026</v>
      </c>
      <c r="AR80" s="138">
        <v>3.8865148539595373</v>
      </c>
      <c r="AS80" s="138">
        <v>195124902.17838043</v>
      </c>
      <c r="AT80" s="138">
        <v>4.773767669205864</v>
      </c>
      <c r="AU80" s="134">
        <v>0.4083822471508184</v>
      </c>
      <c r="AV80" s="132" t="s">
        <v>66</v>
      </c>
    </row>
    <row r="81" spans="2:48" ht="12.75">
      <c r="B81" s="89" t="s">
        <v>51</v>
      </c>
      <c r="C81" s="77">
        <v>0.125</v>
      </c>
      <c r="D81" s="26">
        <v>0.024382036859185253</v>
      </c>
      <c r="E81" s="28">
        <v>1.0349865525951507</v>
      </c>
      <c r="F81" s="78">
        <v>14.973722606738042</v>
      </c>
      <c r="G81" s="77">
        <v>0.20833333333333331</v>
      </c>
      <c r="H81" s="26">
        <v>0.024616407687262344</v>
      </c>
      <c r="I81" s="27">
        <v>1.3403696601304305</v>
      </c>
      <c r="J81" s="78">
        <v>6.940433452148764</v>
      </c>
      <c r="K81" s="77">
        <v>0.20833333333333331</v>
      </c>
      <c r="L81" s="26">
        <v>0.024616742810120495</v>
      </c>
      <c r="M81" s="27">
        <v>1.4007727515537711</v>
      </c>
      <c r="N81" s="78">
        <v>5.45057222840019</v>
      </c>
      <c r="O81" s="77">
        <v>1.5</v>
      </c>
      <c r="P81" s="26">
        <v>0.02586415689319066</v>
      </c>
      <c r="Q81" s="27">
        <v>1.6930661443873294</v>
      </c>
      <c r="R81" s="78">
        <v>4</v>
      </c>
      <c r="S81" s="77">
        <v>1.5</v>
      </c>
      <c r="T81" s="26">
        <v>0.02586415689319066</v>
      </c>
      <c r="U81" s="27">
        <v>1.6930661443873294</v>
      </c>
      <c r="V81" s="78">
        <v>4</v>
      </c>
      <c r="W81" s="77">
        <v>2.3333333333333335</v>
      </c>
      <c r="X81" s="26">
        <v>0.026505592075399893</v>
      </c>
      <c r="Y81" s="27">
        <v>1.838316303045218</v>
      </c>
      <c r="Z81" s="78">
        <v>4</v>
      </c>
      <c r="AA81" s="77">
        <v>2.875</v>
      </c>
      <c r="AB81" s="26">
        <v>0.026960307074022787</v>
      </c>
      <c r="AC81" s="27">
        <v>1.9040816841137975</v>
      </c>
      <c r="AD81" s="78">
        <v>5.323866288239001</v>
      </c>
      <c r="AE81" s="77">
        <v>7.333333333333351</v>
      </c>
      <c r="AF81" s="26">
        <v>0.030193871592257608</v>
      </c>
      <c r="AG81" s="27">
        <v>1.9513188958137526</v>
      </c>
      <c r="AH81" s="78">
        <v>4</v>
      </c>
      <c r="AI81" s="77">
        <v>7.375000000000018</v>
      </c>
      <c r="AJ81" s="26">
        <v>0.030336082987525277</v>
      </c>
      <c r="AK81" s="27">
        <v>1.987871428926459</v>
      </c>
      <c r="AL81" s="78">
        <v>4</v>
      </c>
      <c r="AM81" s="77">
        <v>12.291666666666627</v>
      </c>
      <c r="AN81" s="26">
        <v>0.03398517902424846</v>
      </c>
      <c r="AO81" s="27">
        <v>2.0206495596698133</v>
      </c>
      <c r="AP81" s="78">
        <v>4</v>
      </c>
      <c r="AQ81" s="138">
        <v>1</v>
      </c>
      <c r="AR81" s="138">
        <v>0.94</v>
      </c>
      <c r="AS81" s="138">
        <v>0.0001</v>
      </c>
      <c r="AT81" s="138">
        <v>1</v>
      </c>
      <c r="AU81" s="134">
        <v>0.0001</v>
      </c>
      <c r="AV81" s="132" t="s">
        <v>51</v>
      </c>
    </row>
    <row r="82" spans="2:48" ht="13.5" thickBot="1">
      <c r="B82" s="90" t="s">
        <v>52</v>
      </c>
      <c r="C82" s="79">
        <v>0.6666666666666665</v>
      </c>
      <c r="D82" s="80">
        <v>0.04401657757302024</v>
      </c>
      <c r="E82" s="83">
        <v>125.42346259284962</v>
      </c>
      <c r="F82" s="82">
        <v>35.516494921746336</v>
      </c>
      <c r="G82" s="79">
        <v>5.583333333333338</v>
      </c>
      <c r="H82" s="80">
        <v>0.05734080485112426</v>
      </c>
      <c r="I82" s="81">
        <v>4330.701319550584</v>
      </c>
      <c r="J82" s="82">
        <v>26.546236112720717</v>
      </c>
      <c r="K82" s="79">
        <v>5.916666666666674</v>
      </c>
      <c r="L82" s="80">
        <v>0.05857748217755934</v>
      </c>
      <c r="M82" s="81">
        <v>6960.8553672775215</v>
      </c>
      <c r="N82" s="82">
        <v>26.201458698964448</v>
      </c>
      <c r="O82" s="79">
        <v>11.875</v>
      </c>
      <c r="P82" s="80">
        <v>0.22943530545381532</v>
      </c>
      <c r="Q82" s="81">
        <v>325602.6103876811</v>
      </c>
      <c r="R82" s="82">
        <v>17.69788152416369</v>
      </c>
      <c r="S82" s="79">
        <v>11.875</v>
      </c>
      <c r="T82" s="80">
        <v>0.22943530545381532</v>
      </c>
      <c r="U82" s="81">
        <v>325602.6103876811</v>
      </c>
      <c r="V82" s="82">
        <v>17.69788152416369</v>
      </c>
      <c r="W82" s="79">
        <v>15.749999999999911</v>
      </c>
      <c r="X82" s="80">
        <v>1</v>
      </c>
      <c r="Y82" s="81">
        <v>3534016.3274740227</v>
      </c>
      <c r="Z82" s="82">
        <v>15.806109396129793</v>
      </c>
      <c r="AA82" s="79">
        <v>16.33333333333325</v>
      </c>
      <c r="AB82" s="80">
        <v>1</v>
      </c>
      <c r="AC82" s="81">
        <v>7224727.490622759</v>
      </c>
      <c r="AD82" s="82">
        <v>16.827699973610667</v>
      </c>
      <c r="AE82" s="79">
        <v>34.12500000000024</v>
      </c>
      <c r="AF82" s="80">
        <v>1</v>
      </c>
      <c r="AG82" s="81">
        <v>10873369.674440246</v>
      </c>
      <c r="AH82" s="82">
        <v>7.821240248547108</v>
      </c>
      <c r="AI82" s="79">
        <v>34.16875000000006</v>
      </c>
      <c r="AJ82" s="80">
        <v>1</v>
      </c>
      <c r="AK82" s="81">
        <v>12283069.559656803</v>
      </c>
      <c r="AL82" s="82">
        <v>28.230301246126004</v>
      </c>
      <c r="AM82" s="79">
        <v>42.99999999999974</v>
      </c>
      <c r="AN82" s="80">
        <v>1</v>
      </c>
      <c r="AO82" s="81">
        <v>14189134.620266411</v>
      </c>
      <c r="AP82" s="82">
        <v>7.877308921379496</v>
      </c>
      <c r="AQ82" s="138">
        <v>96.53935695465202</v>
      </c>
      <c r="AR82" s="138">
        <v>12</v>
      </c>
      <c r="AS82" s="138">
        <v>5.850182856298425</v>
      </c>
      <c r="AT82" s="138">
        <v>11</v>
      </c>
      <c r="AU82" s="134">
        <v>0.014451449765848827</v>
      </c>
      <c r="AV82" s="132" t="s">
        <v>52</v>
      </c>
    </row>
    <row r="83" spans="41:47" ht="13.5" thickBot="1">
      <c r="AO83" s="6"/>
      <c r="AQ83" s="5"/>
      <c r="AR83" s="5"/>
      <c r="AS83" s="5"/>
      <c r="AT83" s="5"/>
      <c r="AU83" s="19"/>
    </row>
    <row r="84" spans="2:48" ht="12.75">
      <c r="B84" s="97" t="s">
        <v>96</v>
      </c>
      <c r="C84" s="91" t="s">
        <v>13</v>
      </c>
      <c r="D84" s="92"/>
      <c r="E84" s="92"/>
      <c r="F84" s="93"/>
      <c r="G84" s="91" t="s">
        <v>58</v>
      </c>
      <c r="H84" s="92"/>
      <c r="I84" s="92"/>
      <c r="J84" s="93"/>
      <c r="K84" s="91" t="s">
        <v>16</v>
      </c>
      <c r="L84" s="92"/>
      <c r="M84" s="92"/>
      <c r="N84" s="93"/>
      <c r="O84" s="91" t="s">
        <v>57</v>
      </c>
      <c r="P84" s="92"/>
      <c r="Q84" s="92"/>
      <c r="R84" s="93"/>
      <c r="S84" s="91" t="s">
        <v>56</v>
      </c>
      <c r="T84" s="92"/>
      <c r="U84" s="92"/>
      <c r="V84" s="93"/>
      <c r="W84" s="91" t="s">
        <v>55</v>
      </c>
      <c r="X84" s="92"/>
      <c r="Y84" s="92"/>
      <c r="Z84" s="93"/>
      <c r="AA84" s="91" t="s">
        <v>54</v>
      </c>
      <c r="AB84" s="92"/>
      <c r="AC84" s="92"/>
      <c r="AD84" s="93"/>
      <c r="AE84" s="91" t="s">
        <v>53</v>
      </c>
      <c r="AF84" s="92"/>
      <c r="AG84" s="92"/>
      <c r="AH84" s="93"/>
      <c r="AI84" s="91" t="s">
        <v>59</v>
      </c>
      <c r="AJ84" s="92"/>
      <c r="AK84" s="92"/>
      <c r="AL84" s="93"/>
      <c r="AM84" s="91" t="s">
        <v>46</v>
      </c>
      <c r="AN84" s="92"/>
      <c r="AO84" s="92"/>
      <c r="AP84" s="93"/>
      <c r="AQ84" s="137"/>
      <c r="AR84" s="137"/>
      <c r="AS84" s="139"/>
      <c r="AT84" s="139"/>
      <c r="AU84" s="135"/>
      <c r="AV84" s="130"/>
    </row>
    <row r="85" spans="2:49" ht="12.75">
      <c r="B85" s="98"/>
      <c r="C85" s="75" t="s">
        <v>48</v>
      </c>
      <c r="D85" s="23" t="s">
        <v>10</v>
      </c>
      <c r="E85" s="29" t="s">
        <v>50</v>
      </c>
      <c r="F85" s="76" t="s">
        <v>49</v>
      </c>
      <c r="G85" s="75" t="s">
        <v>48</v>
      </c>
      <c r="H85" s="23" t="s">
        <v>10</v>
      </c>
      <c r="I85" s="24" t="s">
        <v>50</v>
      </c>
      <c r="J85" s="76" t="s">
        <v>49</v>
      </c>
      <c r="K85" s="75" t="s">
        <v>48</v>
      </c>
      <c r="L85" s="23" t="s">
        <v>10</v>
      </c>
      <c r="M85" s="24" t="s">
        <v>50</v>
      </c>
      <c r="N85" s="76" t="s">
        <v>49</v>
      </c>
      <c r="O85" s="75" t="s">
        <v>48</v>
      </c>
      <c r="P85" s="23" t="s">
        <v>10</v>
      </c>
      <c r="Q85" s="24" t="s">
        <v>50</v>
      </c>
      <c r="R85" s="76" t="s">
        <v>49</v>
      </c>
      <c r="S85" s="75" t="s">
        <v>48</v>
      </c>
      <c r="T85" s="23" t="s">
        <v>10</v>
      </c>
      <c r="U85" s="24" t="s">
        <v>50</v>
      </c>
      <c r="V85" s="76" t="s">
        <v>49</v>
      </c>
      <c r="W85" s="75" t="s">
        <v>48</v>
      </c>
      <c r="X85" s="23" t="s">
        <v>10</v>
      </c>
      <c r="Y85" s="24" t="s">
        <v>50</v>
      </c>
      <c r="Z85" s="76" t="s">
        <v>49</v>
      </c>
      <c r="AA85" s="75" t="s">
        <v>48</v>
      </c>
      <c r="AB85" s="23" t="s">
        <v>10</v>
      </c>
      <c r="AC85" s="24" t="s">
        <v>50</v>
      </c>
      <c r="AD85" s="76" t="s">
        <v>49</v>
      </c>
      <c r="AE85" s="75" t="s">
        <v>48</v>
      </c>
      <c r="AF85" s="23" t="s">
        <v>10</v>
      </c>
      <c r="AG85" s="24" t="s">
        <v>50</v>
      </c>
      <c r="AH85" s="76" t="s">
        <v>49</v>
      </c>
      <c r="AI85" s="75" t="s">
        <v>48</v>
      </c>
      <c r="AJ85" s="23" t="s">
        <v>10</v>
      </c>
      <c r="AK85" s="24" t="s">
        <v>50</v>
      </c>
      <c r="AL85" s="76" t="s">
        <v>49</v>
      </c>
      <c r="AM85" s="75" t="s">
        <v>48</v>
      </c>
      <c r="AN85" s="23" t="s">
        <v>10</v>
      </c>
      <c r="AO85" s="24" t="s">
        <v>50</v>
      </c>
      <c r="AP85" s="76" t="s">
        <v>49</v>
      </c>
      <c r="AQ85" s="131" t="s">
        <v>135</v>
      </c>
      <c r="AR85" s="131" t="s">
        <v>134</v>
      </c>
      <c r="AS85" s="131" t="s">
        <v>50</v>
      </c>
      <c r="AT85" s="131" t="s">
        <v>140</v>
      </c>
      <c r="AU85" s="136" t="s">
        <v>141</v>
      </c>
      <c r="AV85" s="131">
        <v>1.0406946938503647E-05</v>
      </c>
      <c r="AW85">
        <v>10</v>
      </c>
    </row>
    <row r="86" spans="2:48" ht="12.75">
      <c r="B86" s="89" t="s">
        <v>65</v>
      </c>
      <c r="C86" s="77">
        <v>0.3204449999999984</v>
      </c>
      <c r="D86" s="26">
        <v>0.06931117882649813</v>
      </c>
      <c r="E86" s="27">
        <v>4958718.09470381</v>
      </c>
      <c r="F86" s="78">
        <v>24.560247813235332</v>
      </c>
      <c r="G86" s="77">
        <v>2.4380600000000077</v>
      </c>
      <c r="H86" s="26">
        <v>0.07378677195308839</v>
      </c>
      <c r="I86" s="27">
        <v>116181466.37372233</v>
      </c>
      <c r="J86" s="78">
        <v>14.631221220950929</v>
      </c>
      <c r="K86" s="77">
        <v>2.696974166666691</v>
      </c>
      <c r="L86" s="26">
        <v>0.07429856071423231</v>
      </c>
      <c r="M86" s="27">
        <v>123935208.59175351</v>
      </c>
      <c r="N86" s="78">
        <v>12.668422711353305</v>
      </c>
      <c r="O86" s="77">
        <v>5.044664166666718</v>
      </c>
      <c r="P86" s="26">
        <v>0.07895923674951875</v>
      </c>
      <c r="Q86" s="27">
        <v>262120209.70111495</v>
      </c>
      <c r="R86" s="78">
        <v>9.771781017123823</v>
      </c>
      <c r="S86" s="77">
        <v>5.044664166666718</v>
      </c>
      <c r="T86" s="26">
        <v>0.07895923674951875</v>
      </c>
      <c r="U86" s="27">
        <v>262120209.70111495</v>
      </c>
      <c r="V86" s="78">
        <v>9.771781017123823</v>
      </c>
      <c r="W86" s="77">
        <v>7.027134999999953</v>
      </c>
      <c r="X86" s="26">
        <v>0.08249842578470969</v>
      </c>
      <c r="Y86" s="27">
        <v>372472881.2980196</v>
      </c>
      <c r="Z86" s="78">
        <v>9.428476175899903</v>
      </c>
      <c r="AA86" s="77">
        <v>7.623687499999936</v>
      </c>
      <c r="AB86" s="26">
        <v>0.0835749729306905</v>
      </c>
      <c r="AC86" s="27">
        <v>412758193.2643299</v>
      </c>
      <c r="AD86" s="78">
        <v>10.495594251419986</v>
      </c>
      <c r="AE86" s="77">
        <v>17.21698583333347</v>
      </c>
      <c r="AF86" s="26">
        <v>0.09812895665145462</v>
      </c>
      <c r="AG86" s="27">
        <v>444474783.7623883</v>
      </c>
      <c r="AH86" s="78">
        <v>4.897759192823921</v>
      </c>
      <c r="AI86" s="77">
        <v>17.264349166666655</v>
      </c>
      <c r="AJ86" s="26">
        <v>0.09876810498683727</v>
      </c>
      <c r="AK86" s="27">
        <v>456700453.29641634</v>
      </c>
      <c r="AL86" s="78">
        <v>16.25168273422538</v>
      </c>
      <c r="AM86" s="77">
        <v>24.287519166666716</v>
      </c>
      <c r="AN86" s="26">
        <v>0.11135844467796513</v>
      </c>
      <c r="AO86" s="27">
        <v>478716660.45838296</v>
      </c>
      <c r="AP86" s="78">
        <v>4.85034619368956</v>
      </c>
      <c r="AQ86" s="138">
        <v>25.11533808164385</v>
      </c>
      <c r="AR86" s="138">
        <v>8.650848377779235</v>
      </c>
      <c r="AS86" s="138">
        <v>3727468.0609903294</v>
      </c>
      <c r="AT86" s="138">
        <v>3.29076</v>
      </c>
      <c r="AU86" s="134">
        <v>0.03495579333814149</v>
      </c>
      <c r="AV86" s="132" t="s">
        <v>65</v>
      </c>
    </row>
    <row r="87" spans="2:48" ht="12.75">
      <c r="B87" s="89" t="s">
        <v>64</v>
      </c>
      <c r="C87" s="77">
        <v>0.29166666666666663</v>
      </c>
      <c r="D87" s="26">
        <v>0.02489246123915151</v>
      </c>
      <c r="E87" s="27">
        <v>10.106267362849728</v>
      </c>
      <c r="F87" s="78">
        <v>24.126820653990993</v>
      </c>
      <c r="G87" s="77">
        <v>2.1666666666666674</v>
      </c>
      <c r="H87" s="26">
        <v>0.027042780554653312</v>
      </c>
      <c r="I87" s="27">
        <v>14.263131884568647</v>
      </c>
      <c r="J87" s="78">
        <v>13.608115351804035</v>
      </c>
      <c r="K87" s="77">
        <v>2.458333333333333</v>
      </c>
      <c r="L87" s="26">
        <v>0.02730041682598333</v>
      </c>
      <c r="M87" s="27">
        <v>14.704286115764095</v>
      </c>
      <c r="N87" s="78">
        <v>11.288772278005172</v>
      </c>
      <c r="O87" s="77">
        <v>3.916666666666661</v>
      </c>
      <c r="P87" s="26">
        <v>0.028863858784013097</v>
      </c>
      <c r="Q87" s="27">
        <v>17.194072757482346</v>
      </c>
      <c r="R87" s="78">
        <v>9.219384551215436</v>
      </c>
      <c r="S87" s="77">
        <v>3.916666666666661</v>
      </c>
      <c r="T87" s="26">
        <v>0.028863858784013097</v>
      </c>
      <c r="U87" s="27">
        <v>17.194072757482346</v>
      </c>
      <c r="V87" s="78">
        <v>9.219384551215436</v>
      </c>
      <c r="W87" s="77">
        <v>5.708333333333339</v>
      </c>
      <c r="X87" s="26">
        <v>0.03053257604905385</v>
      </c>
      <c r="Y87" s="27">
        <v>18.999346772223284</v>
      </c>
      <c r="Z87" s="78">
        <v>9.04558280576466</v>
      </c>
      <c r="AA87" s="77">
        <v>6.333333333333344</v>
      </c>
      <c r="AB87" s="26">
        <v>0.031111952792519437</v>
      </c>
      <c r="AC87" s="27">
        <v>19.83194192159708</v>
      </c>
      <c r="AD87" s="78">
        <v>10.134956279191417</v>
      </c>
      <c r="AE87" s="77">
        <v>15.166666666666586</v>
      </c>
      <c r="AF87" s="26">
        <v>0.03813707737785188</v>
      </c>
      <c r="AG87" s="27">
        <v>20.554302802235135</v>
      </c>
      <c r="AH87" s="78">
        <v>4</v>
      </c>
      <c r="AI87" s="77">
        <v>15.249999999999918</v>
      </c>
      <c r="AJ87" s="26">
        <v>0.03850676287512517</v>
      </c>
      <c r="AK87" s="27">
        <v>20.95307350230506</v>
      </c>
      <c r="AL87" s="78">
        <v>16.31985771911856</v>
      </c>
      <c r="AM87" s="77">
        <v>22.33333333333342</v>
      </c>
      <c r="AN87" s="26">
        <v>0.04482110242607784</v>
      </c>
      <c r="AO87" s="27">
        <v>21.518804342858754</v>
      </c>
      <c r="AP87" s="78">
        <v>4</v>
      </c>
      <c r="AQ87" s="138">
        <v>8.718301900784798</v>
      </c>
      <c r="AR87" s="138">
        <v>12</v>
      </c>
      <c r="AS87" s="138">
        <v>0.0001</v>
      </c>
      <c r="AT87" s="138">
        <v>2</v>
      </c>
      <c r="AU87" s="134">
        <v>0.0001</v>
      </c>
      <c r="AV87" s="132" t="s">
        <v>64</v>
      </c>
    </row>
    <row r="88" spans="2:48" ht="12.75">
      <c r="B88" s="89" t="s">
        <v>66</v>
      </c>
      <c r="C88" s="77">
        <v>0.19339524873074976</v>
      </c>
      <c r="D88" s="26">
        <v>0.20250827730076537</v>
      </c>
      <c r="E88" s="27">
        <v>395512722.07302046</v>
      </c>
      <c r="F88" s="78">
        <v>6.249580285882751</v>
      </c>
      <c r="G88" s="77">
        <v>1.6992718026007227</v>
      </c>
      <c r="H88" s="26">
        <v>0.20695170471381308</v>
      </c>
      <c r="I88" s="27">
        <v>2021297305.6024296</v>
      </c>
      <c r="J88" s="78">
        <v>5.955230914963325</v>
      </c>
      <c r="K88" s="77">
        <v>1.7604189643365762</v>
      </c>
      <c r="L88" s="26">
        <v>0.20752213394084948</v>
      </c>
      <c r="M88" s="27">
        <v>2081518439.6925163</v>
      </c>
      <c r="N88" s="78">
        <v>6.1728133108191345</v>
      </c>
      <c r="O88" s="77">
        <v>4.4987879538598925</v>
      </c>
      <c r="P88" s="26">
        <v>0.2119730796628926</v>
      </c>
      <c r="Q88" s="27">
        <v>3041333143.9232306</v>
      </c>
      <c r="R88" s="78">
        <v>4.295085791869752</v>
      </c>
      <c r="S88" s="77">
        <v>4.4987879538598925</v>
      </c>
      <c r="T88" s="26">
        <v>0.2119730796628926</v>
      </c>
      <c r="U88" s="27">
        <v>3041333143.9232306</v>
      </c>
      <c r="V88" s="78">
        <v>4.295085791869752</v>
      </c>
      <c r="W88" s="77">
        <v>5.195197096188462</v>
      </c>
      <c r="X88" s="26">
        <v>0.215179351730141</v>
      </c>
      <c r="Y88" s="27">
        <v>3627147298.4297495</v>
      </c>
      <c r="Z88" s="78">
        <v>3.5837136048025666</v>
      </c>
      <c r="AA88" s="77">
        <v>5.208791883611942</v>
      </c>
      <c r="AB88" s="26">
        <v>0.21606295192162506</v>
      </c>
      <c r="AC88" s="27">
        <v>3826713195.4820404</v>
      </c>
      <c r="AD88" s="78">
        <v>3.4977306399492596</v>
      </c>
      <c r="AE88" s="77">
        <v>8.881663464883822</v>
      </c>
      <c r="AF88" s="26">
        <v>0.2283329171410128</v>
      </c>
      <c r="AG88" s="27">
        <v>3975536696.1858916</v>
      </c>
      <c r="AH88" s="78">
        <v>1.3720823296339917</v>
      </c>
      <c r="AI88" s="77">
        <v>8.881671440770477</v>
      </c>
      <c r="AJ88" s="26">
        <v>0.22889874694741516</v>
      </c>
      <c r="AK88" s="27">
        <v>4033057193.5759816</v>
      </c>
      <c r="AL88" s="78">
        <v>7.254739561233219</v>
      </c>
      <c r="AM88" s="77">
        <v>9.89622110864293</v>
      </c>
      <c r="AN88" s="26">
        <v>0.2386938399686453</v>
      </c>
      <c r="AO88" s="27">
        <v>4124365241.4534116</v>
      </c>
      <c r="AP88" s="78">
        <v>1.3782636862971742</v>
      </c>
      <c r="AQ88" s="138">
        <v>52.41779396925691</v>
      </c>
      <c r="AR88" s="138">
        <v>3.8854701468851953</v>
      </c>
      <c r="AS88" s="138">
        <v>114208888.2206381</v>
      </c>
      <c r="AT88" s="138">
        <v>4.845753630650756</v>
      </c>
      <c r="AU88" s="134">
        <v>0.37562637407923066</v>
      </c>
      <c r="AV88" s="132" t="s">
        <v>66</v>
      </c>
    </row>
    <row r="89" spans="2:48" ht="12.75">
      <c r="B89" s="89" t="s">
        <v>51</v>
      </c>
      <c r="C89" s="77">
        <v>0.125</v>
      </c>
      <c r="D89" s="26">
        <v>0.02437975213270365</v>
      </c>
      <c r="E89" s="28">
        <v>1.032016978730958</v>
      </c>
      <c r="F89" s="78">
        <v>15.015757459981323</v>
      </c>
      <c r="G89" s="77">
        <v>0.20833333333333331</v>
      </c>
      <c r="H89" s="26">
        <v>0.0246195391349551</v>
      </c>
      <c r="I89" s="27">
        <v>1.3119707538440408</v>
      </c>
      <c r="J89" s="78">
        <v>6.926798149290585</v>
      </c>
      <c r="K89" s="77">
        <v>0.20833333333333331</v>
      </c>
      <c r="L89" s="26">
        <v>0.024619634485659864</v>
      </c>
      <c r="M89" s="27">
        <v>1.3778468031473328</v>
      </c>
      <c r="N89" s="78">
        <v>5.400342862153139</v>
      </c>
      <c r="O89" s="77">
        <v>1.5</v>
      </c>
      <c r="P89" s="26">
        <v>0.02583338680882688</v>
      </c>
      <c r="Q89" s="27">
        <v>1.6551353796455803</v>
      </c>
      <c r="R89" s="78">
        <v>4</v>
      </c>
      <c r="S89" s="77">
        <v>1.5</v>
      </c>
      <c r="T89" s="26">
        <v>0.02583338680882688</v>
      </c>
      <c r="U89" s="27">
        <v>1.6551353796455803</v>
      </c>
      <c r="V89" s="78">
        <v>4</v>
      </c>
      <c r="W89" s="77">
        <v>2.3333333333333335</v>
      </c>
      <c r="X89" s="26">
        <v>0.02649057593085737</v>
      </c>
      <c r="Y89" s="27">
        <v>1.7994453253561007</v>
      </c>
      <c r="Z89" s="78">
        <v>4</v>
      </c>
      <c r="AA89" s="77">
        <v>2.875</v>
      </c>
      <c r="AB89" s="26">
        <v>0.026925200187580073</v>
      </c>
      <c r="AC89" s="27">
        <v>1.8782520866227612</v>
      </c>
      <c r="AD89" s="78">
        <v>5.394136154423208</v>
      </c>
      <c r="AE89" s="77">
        <v>7.333333333333351</v>
      </c>
      <c r="AF89" s="26">
        <v>0.030184260020810934</v>
      </c>
      <c r="AG89" s="27">
        <v>1.9260086495309041</v>
      </c>
      <c r="AH89" s="78">
        <v>4</v>
      </c>
      <c r="AI89" s="77">
        <v>7.375000000000018</v>
      </c>
      <c r="AJ89" s="26">
        <v>0.0303288579238761</v>
      </c>
      <c r="AK89" s="27">
        <v>1.9661176756473162</v>
      </c>
      <c r="AL89" s="78">
        <v>4</v>
      </c>
      <c r="AM89" s="77">
        <v>12.333333333333293</v>
      </c>
      <c r="AN89" s="26">
        <v>0.033933533810931234</v>
      </c>
      <c r="AO89" s="27">
        <v>1.9984509554399676</v>
      </c>
      <c r="AP89" s="78">
        <v>4</v>
      </c>
      <c r="AQ89" s="138">
        <v>1</v>
      </c>
      <c r="AR89" s="138">
        <v>0.94</v>
      </c>
      <c r="AS89" s="138">
        <v>0.0001</v>
      </c>
      <c r="AT89" s="138">
        <v>1</v>
      </c>
      <c r="AU89" s="134">
        <v>0.0001</v>
      </c>
      <c r="AV89" s="132" t="s">
        <v>51</v>
      </c>
    </row>
    <row r="90" spans="2:48" ht="13.5" thickBot="1">
      <c r="B90" s="90" t="s">
        <v>52</v>
      </c>
      <c r="C90" s="79">
        <v>0.6666666666666665</v>
      </c>
      <c r="D90" s="80">
        <v>0.04511239085410335</v>
      </c>
      <c r="E90" s="83">
        <v>129.9511981060452</v>
      </c>
      <c r="F90" s="82">
        <v>35.604739627249536</v>
      </c>
      <c r="G90" s="79">
        <v>5.541666666666671</v>
      </c>
      <c r="H90" s="80">
        <v>0.059908019165899926</v>
      </c>
      <c r="I90" s="81">
        <v>4900.750385975709</v>
      </c>
      <c r="J90" s="82">
        <v>26.50871631727452</v>
      </c>
      <c r="K90" s="79">
        <v>5.875000000000007</v>
      </c>
      <c r="L90" s="80">
        <v>0.062139321727079734</v>
      </c>
      <c r="M90" s="81">
        <v>7912.114846230513</v>
      </c>
      <c r="N90" s="82">
        <v>26.14065328284432</v>
      </c>
      <c r="O90" s="79">
        <v>11.958333333333298</v>
      </c>
      <c r="P90" s="80">
        <v>1</v>
      </c>
      <c r="Q90" s="81">
        <v>331604.9034387825</v>
      </c>
      <c r="R90" s="82">
        <v>17.732805163465606</v>
      </c>
      <c r="S90" s="79">
        <v>11.958333333333298</v>
      </c>
      <c r="T90" s="80">
        <v>1</v>
      </c>
      <c r="U90" s="81">
        <v>331604.9034387825</v>
      </c>
      <c r="V90" s="82">
        <v>17.732805163465606</v>
      </c>
      <c r="W90" s="79">
        <v>15.833333333333243</v>
      </c>
      <c r="X90" s="80">
        <v>1</v>
      </c>
      <c r="Y90" s="81">
        <v>3513983.4074521963</v>
      </c>
      <c r="Z90" s="82">
        <v>15.908225087144265</v>
      </c>
      <c r="AA90" s="79">
        <v>16.416666666666586</v>
      </c>
      <c r="AB90" s="80">
        <v>1</v>
      </c>
      <c r="AC90" s="81">
        <v>6673977.398585297</v>
      </c>
      <c r="AD90" s="82">
        <v>16.791976240628685</v>
      </c>
      <c r="AE90" s="79">
        <v>34.00000000000025</v>
      </c>
      <c r="AF90" s="80">
        <v>1</v>
      </c>
      <c r="AG90" s="81">
        <v>10038255.426334396</v>
      </c>
      <c r="AH90" s="82">
        <v>7.833072177167026</v>
      </c>
      <c r="AI90" s="79">
        <v>34.04166666666691</v>
      </c>
      <c r="AJ90" s="80">
        <v>1</v>
      </c>
      <c r="AK90" s="81">
        <v>11527623.299758133</v>
      </c>
      <c r="AL90" s="82">
        <v>28.39180502516997</v>
      </c>
      <c r="AM90" s="79">
        <v>42.91666666666641</v>
      </c>
      <c r="AN90" s="80">
        <v>1</v>
      </c>
      <c r="AO90" s="81">
        <v>13838754.4270053</v>
      </c>
      <c r="AP90" s="82">
        <v>7.869580987959932</v>
      </c>
      <c r="AQ90" s="138">
        <v>100.1444293360922</v>
      </c>
      <c r="AR90" s="138">
        <v>12</v>
      </c>
      <c r="AS90" s="138">
        <v>5.978559729292387</v>
      </c>
      <c r="AT90" s="138">
        <v>11</v>
      </c>
      <c r="AU90" s="134">
        <v>0.01486638432683574</v>
      </c>
      <c r="AV90" s="132" t="s">
        <v>52</v>
      </c>
    </row>
    <row r="91" spans="41:47" ht="12.75">
      <c r="AO91" s="6"/>
      <c r="AQ91" s="5"/>
      <c r="AR91" s="5"/>
      <c r="AS91" s="5"/>
      <c r="AT91" s="5"/>
      <c r="AU91" s="19"/>
    </row>
    <row r="92" spans="43:47" ht="12.75">
      <c r="AQ92" s="5"/>
      <c r="AR92" s="5"/>
      <c r="AS92" s="5"/>
      <c r="AT92" s="5"/>
      <c r="AU92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1"/>
  <dimension ref="A2:BC83"/>
  <sheetViews>
    <sheetView workbookViewId="0" topLeftCell="A1">
      <selection activeCell="B11" sqref="B11"/>
    </sheetView>
  </sheetViews>
  <sheetFormatPr defaultColWidth="9.140625" defaultRowHeight="12.75"/>
  <cols>
    <col min="1" max="1" width="14.8515625" style="0" customWidth="1"/>
    <col min="5" max="5" width="12.8515625" style="0" bestFit="1" customWidth="1"/>
    <col min="6" max="6" width="11.28125" style="0" bestFit="1" customWidth="1"/>
    <col min="9" max="9" width="16.421875" style="0" bestFit="1" customWidth="1"/>
    <col min="10" max="10" width="11.28125" style="0" bestFit="1" customWidth="1"/>
    <col min="13" max="13" width="16.421875" style="0" bestFit="1" customWidth="1"/>
    <col min="14" max="14" width="11.28125" style="0" bestFit="1" customWidth="1"/>
    <col min="17" max="17" width="16.421875" style="0" bestFit="1" customWidth="1"/>
    <col min="18" max="18" width="11.28125" style="0" bestFit="1" customWidth="1"/>
    <col min="21" max="21" width="16.421875" style="0" bestFit="1" customWidth="1"/>
    <col min="22" max="22" width="11.28125" style="0" bestFit="1" customWidth="1"/>
    <col min="25" max="25" width="16.421875" style="0" bestFit="1" customWidth="1"/>
    <col min="26" max="26" width="11.28125" style="0" bestFit="1" customWidth="1"/>
    <col min="29" max="29" width="16.421875" style="0" bestFit="1" customWidth="1"/>
    <col min="30" max="30" width="11.28125" style="0" bestFit="1" customWidth="1"/>
    <col min="33" max="33" width="16.421875" style="0" bestFit="1" customWidth="1"/>
    <col min="34" max="34" width="11.28125" style="0" bestFit="1" customWidth="1"/>
    <col min="37" max="37" width="16.421875" style="0" bestFit="1" customWidth="1"/>
    <col min="38" max="38" width="11.28125" style="0" bestFit="1" customWidth="1"/>
    <col min="41" max="41" width="17.421875" style="0" bestFit="1" customWidth="1"/>
    <col min="42" max="42" width="11.28125" style="0" bestFit="1" customWidth="1"/>
    <col min="44" max="44" width="12.28125" style="0" bestFit="1" customWidth="1"/>
    <col min="45" max="55" width="14.00390625" style="0" bestFit="1" customWidth="1"/>
  </cols>
  <sheetData>
    <row r="2" ht="13.5" thickBot="1">
      <c r="B2" t="s">
        <v>119</v>
      </c>
    </row>
    <row r="3" spans="2:42" ht="12.75">
      <c r="B3" s="97" t="s">
        <v>96</v>
      </c>
      <c r="C3" s="92" t="s">
        <v>13</v>
      </c>
      <c r="D3" s="92"/>
      <c r="E3" s="92"/>
      <c r="F3" s="93"/>
      <c r="G3" s="91" t="s">
        <v>58</v>
      </c>
      <c r="H3" s="92"/>
      <c r="I3" s="92"/>
      <c r="J3" s="93"/>
      <c r="K3" s="91" t="s">
        <v>16</v>
      </c>
      <c r="L3" s="92"/>
      <c r="M3" s="92"/>
      <c r="N3" s="93"/>
      <c r="O3" s="91" t="s">
        <v>57</v>
      </c>
      <c r="P3" s="92"/>
      <c r="Q3" s="92"/>
      <c r="R3" s="93"/>
      <c r="S3" s="91" t="s">
        <v>56</v>
      </c>
      <c r="T3" s="92"/>
      <c r="U3" s="92"/>
      <c r="V3" s="93"/>
      <c r="W3" s="91" t="s">
        <v>55</v>
      </c>
      <c r="X3" s="92"/>
      <c r="Y3" s="92"/>
      <c r="Z3" s="93"/>
      <c r="AA3" s="91" t="s">
        <v>54</v>
      </c>
      <c r="AB3" s="92"/>
      <c r="AC3" s="92"/>
      <c r="AD3" s="93"/>
      <c r="AE3" s="91" t="s">
        <v>53</v>
      </c>
      <c r="AF3" s="92"/>
      <c r="AG3" s="92"/>
      <c r="AH3" s="93"/>
      <c r="AI3" s="91" t="s">
        <v>59</v>
      </c>
      <c r="AJ3" s="92"/>
      <c r="AK3" s="92"/>
      <c r="AL3" s="93"/>
      <c r="AM3" s="91" t="s">
        <v>46</v>
      </c>
      <c r="AN3" s="92"/>
      <c r="AO3" s="92"/>
      <c r="AP3" s="93"/>
    </row>
    <row r="4" spans="2:42" ht="12.75">
      <c r="B4" s="98"/>
      <c r="C4" s="94" t="s">
        <v>48</v>
      </c>
      <c r="D4" s="23" t="s">
        <v>10</v>
      </c>
      <c r="E4" s="29" t="s">
        <v>50</v>
      </c>
      <c r="F4" s="76" t="s">
        <v>49</v>
      </c>
      <c r="G4" s="75" t="s">
        <v>48</v>
      </c>
      <c r="H4" s="23" t="s">
        <v>10</v>
      </c>
      <c r="I4" s="24" t="s">
        <v>50</v>
      </c>
      <c r="J4" s="76" t="s">
        <v>49</v>
      </c>
      <c r="K4" s="75" t="s">
        <v>48</v>
      </c>
      <c r="L4" s="23" t="s">
        <v>10</v>
      </c>
      <c r="M4" s="24" t="s">
        <v>50</v>
      </c>
      <c r="N4" s="76" t="s">
        <v>49</v>
      </c>
      <c r="O4" s="75" t="s">
        <v>48</v>
      </c>
      <c r="P4" s="23" t="s">
        <v>10</v>
      </c>
      <c r="Q4" s="24" t="s">
        <v>50</v>
      </c>
      <c r="R4" s="76" t="s">
        <v>49</v>
      </c>
      <c r="S4" s="75" t="s">
        <v>48</v>
      </c>
      <c r="T4" s="23" t="s">
        <v>10</v>
      </c>
      <c r="U4" s="24" t="s">
        <v>50</v>
      </c>
      <c r="V4" s="76" t="s">
        <v>49</v>
      </c>
      <c r="W4" s="75" t="s">
        <v>48</v>
      </c>
      <c r="X4" s="23" t="s">
        <v>10</v>
      </c>
      <c r="Y4" s="24" t="s">
        <v>50</v>
      </c>
      <c r="Z4" s="76" t="s">
        <v>49</v>
      </c>
      <c r="AA4" s="75" t="s">
        <v>48</v>
      </c>
      <c r="AB4" s="23" t="s">
        <v>10</v>
      </c>
      <c r="AC4" s="24" t="s">
        <v>50</v>
      </c>
      <c r="AD4" s="76" t="s">
        <v>49</v>
      </c>
      <c r="AE4" s="75" t="s">
        <v>48</v>
      </c>
      <c r="AF4" s="23" t="s">
        <v>10</v>
      </c>
      <c r="AG4" s="24" t="s">
        <v>50</v>
      </c>
      <c r="AH4" s="76" t="s">
        <v>49</v>
      </c>
      <c r="AI4" s="75" t="s">
        <v>48</v>
      </c>
      <c r="AJ4" s="23" t="s">
        <v>10</v>
      </c>
      <c r="AK4" s="24" t="s">
        <v>50</v>
      </c>
      <c r="AL4" s="76" t="s">
        <v>49</v>
      </c>
      <c r="AM4" s="75" t="s">
        <v>48</v>
      </c>
      <c r="AN4" s="23" t="s">
        <v>10</v>
      </c>
      <c r="AO4" s="24" t="s">
        <v>50</v>
      </c>
      <c r="AP4" s="76" t="s">
        <v>49</v>
      </c>
    </row>
    <row r="5" spans="2:46" ht="12.75">
      <c r="B5" s="89" t="s">
        <v>65</v>
      </c>
      <c r="C5" s="95">
        <f aca="true" t="shared" si="0" ref="C5:AO9">C14*$AT$5+C22*$AT$6+C30*$AT$7+C38*$AT$8+C46*$AT$9+C54*$AT$10+C62*$AT$11+C70*$AT$12+C78*$AT$13</f>
        <v>0.2916666666666667</v>
      </c>
      <c r="D5" s="26">
        <f t="shared" si="0"/>
        <v>0.06485554143504664</v>
      </c>
      <c r="E5" s="27">
        <f t="shared" si="0"/>
        <v>864.6341671108933</v>
      </c>
      <c r="F5" s="78">
        <f t="shared" si="0"/>
        <v>24.00338301546775</v>
      </c>
      <c r="G5" s="77">
        <f t="shared" si="0"/>
        <v>1.541388888888891</v>
      </c>
      <c r="H5" s="26">
        <f t="shared" si="0"/>
        <v>0.0662437021230702</v>
      </c>
      <c r="I5" s="27">
        <f t="shared" si="0"/>
        <v>13733132.322182849</v>
      </c>
      <c r="J5" s="78">
        <f t="shared" si="0"/>
        <v>15.082353921879013</v>
      </c>
      <c r="K5" s="77">
        <f t="shared" si="0"/>
        <v>1.574722222222224</v>
      </c>
      <c r="L5" s="26">
        <f t="shared" si="0"/>
        <v>0.06627740013945388</v>
      </c>
      <c r="M5" s="27">
        <f t="shared" si="0"/>
        <v>13798062.655706827</v>
      </c>
      <c r="N5" s="78">
        <f t="shared" si="0"/>
        <v>14.765937526550719</v>
      </c>
      <c r="O5" s="77">
        <f t="shared" si="0"/>
        <v>3.9456944444444453</v>
      </c>
      <c r="P5" s="26">
        <f t="shared" si="0"/>
        <v>0.073751959083025</v>
      </c>
      <c r="Q5" s="27">
        <f t="shared" si="0"/>
        <v>41024916.743785426</v>
      </c>
      <c r="R5" s="78">
        <f t="shared" si="0"/>
        <v>10.13602659804477</v>
      </c>
      <c r="S5" s="77">
        <f t="shared" si="0"/>
        <v>3.9456944444444453</v>
      </c>
      <c r="T5" s="26">
        <f t="shared" si="0"/>
        <v>0.073751959083025</v>
      </c>
      <c r="U5" s="27">
        <f t="shared" si="0"/>
        <v>41024916.743785426</v>
      </c>
      <c r="V5" s="78">
        <f t="shared" si="0"/>
        <v>10.13602659804477</v>
      </c>
      <c r="W5" s="77">
        <f t="shared" si="0"/>
        <v>5.931111111111119</v>
      </c>
      <c r="X5" s="26">
        <f t="shared" si="0"/>
        <v>0.076619584212655</v>
      </c>
      <c r="Y5" s="27">
        <f t="shared" si="0"/>
        <v>78822794.39672261</v>
      </c>
      <c r="Z5" s="78">
        <f t="shared" si="0"/>
        <v>10.096106121502501</v>
      </c>
      <c r="AA5" s="77">
        <f t="shared" si="0"/>
        <v>6.24930555555556</v>
      </c>
      <c r="AB5" s="26">
        <f t="shared" si="0"/>
        <v>0.07694985740739628</v>
      </c>
      <c r="AC5" s="27">
        <f t="shared" si="0"/>
        <v>86701883.6300575</v>
      </c>
      <c r="AD5" s="78">
        <f t="shared" si="0"/>
        <v>10.579250915495123</v>
      </c>
      <c r="AE5" s="77">
        <f t="shared" si="0"/>
        <v>16.965833333333347</v>
      </c>
      <c r="AF5" s="26">
        <f t="shared" si="0"/>
        <v>0.09389666534057743</v>
      </c>
      <c r="AG5" s="27">
        <f t="shared" si="0"/>
        <v>109873184.06007625</v>
      </c>
      <c r="AH5" s="78">
        <f t="shared" si="0"/>
        <v>5.408269181265393</v>
      </c>
      <c r="AI5" s="77">
        <f t="shared" si="0"/>
        <v>17.016666666666694</v>
      </c>
      <c r="AJ5" s="26">
        <f t="shared" si="0"/>
        <v>0.09431756910257642</v>
      </c>
      <c r="AK5" s="27">
        <f t="shared" si="0"/>
        <v>125659321.63234608</v>
      </c>
      <c r="AL5" s="78">
        <f t="shared" si="0"/>
        <v>17.338837645959504</v>
      </c>
      <c r="AM5" s="77">
        <f t="shared" si="0"/>
        <v>34.39999999999991</v>
      </c>
      <c r="AN5" s="26">
        <f t="shared" si="0"/>
        <v>0.13118438159925125</v>
      </c>
      <c r="AO5" s="27">
        <f t="shared" si="0"/>
        <v>155049034.94075426</v>
      </c>
      <c r="AP5" s="78">
        <f>AP14*$AT$5+AP22*$AT$6+AP30*$AT$7+AP38*$AT$8+AP46*$AT$9+AP54*$AT$10+AP62*$AT$11+AP70*$AT$12+AP78*$AT$13</f>
        <v>5.112222638466367</v>
      </c>
      <c r="AT5">
        <f>Inputs!K31</f>
        <v>0.18518518518518517</v>
      </c>
    </row>
    <row r="6" spans="2:46" ht="12.75">
      <c r="B6" s="89" t="s">
        <v>64</v>
      </c>
      <c r="C6" s="95">
        <f t="shared" si="0"/>
        <v>0.25</v>
      </c>
      <c r="D6" s="26">
        <f t="shared" si="0"/>
        <v>0.045349889299208614</v>
      </c>
      <c r="E6" s="27">
        <f t="shared" si="0"/>
        <v>29.8558625463955</v>
      </c>
      <c r="F6" s="78">
        <f t="shared" si="0"/>
        <v>23.894293564560655</v>
      </c>
      <c r="G6" s="77">
        <f t="shared" si="0"/>
        <v>1.2916666666666667</v>
      </c>
      <c r="H6" s="26">
        <f t="shared" si="0"/>
        <v>0.04678445428761057</v>
      </c>
      <c r="I6" s="27">
        <f t="shared" si="0"/>
        <v>36.07778645436921</v>
      </c>
      <c r="J6" s="78">
        <f t="shared" si="0"/>
        <v>12.77976995019983</v>
      </c>
      <c r="K6" s="77">
        <f t="shared" si="0"/>
        <v>1.2916666666666667</v>
      </c>
      <c r="L6" s="26">
        <f t="shared" si="0"/>
        <v>0.0468157875376499</v>
      </c>
      <c r="M6" s="27">
        <f t="shared" si="0"/>
        <v>36.62926767776892</v>
      </c>
      <c r="N6" s="78">
        <f t="shared" si="0"/>
        <v>12.777778694437504</v>
      </c>
      <c r="O6" s="77">
        <f t="shared" si="0"/>
        <v>2.9583333333333317</v>
      </c>
      <c r="P6" s="26">
        <f t="shared" si="0"/>
        <v>0.048586660434472774</v>
      </c>
      <c r="Q6" s="27">
        <f t="shared" si="0"/>
        <v>118.65335659104738</v>
      </c>
      <c r="R6" s="78">
        <f t="shared" si="0"/>
        <v>11.11111111111111</v>
      </c>
      <c r="S6" s="77">
        <f t="shared" si="0"/>
        <v>2.9583333333333317</v>
      </c>
      <c r="T6" s="26">
        <f t="shared" si="0"/>
        <v>0.048586660434472774</v>
      </c>
      <c r="U6" s="27">
        <f t="shared" si="0"/>
        <v>118.65335659104738</v>
      </c>
      <c r="V6" s="78">
        <f t="shared" si="0"/>
        <v>11.11111111111111</v>
      </c>
      <c r="W6" s="77">
        <f t="shared" si="0"/>
        <v>4.916666666666668</v>
      </c>
      <c r="X6" s="26">
        <f t="shared" si="0"/>
        <v>0.050266500027227476</v>
      </c>
      <c r="Y6" s="27">
        <f t="shared" si="0"/>
        <v>709.826636247821</v>
      </c>
      <c r="Z6" s="78">
        <f t="shared" si="0"/>
        <v>11.111104891647564</v>
      </c>
      <c r="AA6" s="77">
        <f t="shared" si="0"/>
        <v>5.1875</v>
      </c>
      <c r="AB6" s="26">
        <f t="shared" si="0"/>
        <v>0.05061615845830267</v>
      </c>
      <c r="AC6" s="27">
        <f t="shared" si="0"/>
        <v>1048.3382618577566</v>
      </c>
      <c r="AD6" s="78">
        <f t="shared" si="0"/>
        <v>11.110062977880034</v>
      </c>
      <c r="AE6" s="77">
        <f t="shared" si="0"/>
        <v>14.166666666666604</v>
      </c>
      <c r="AF6" s="26">
        <f t="shared" si="0"/>
        <v>0.05847288548939118</v>
      </c>
      <c r="AG6" s="27">
        <f t="shared" si="0"/>
        <v>3336.3605671798687</v>
      </c>
      <c r="AH6" s="78">
        <f t="shared" si="0"/>
        <v>4.444444444444449</v>
      </c>
      <c r="AI6" s="77">
        <f t="shared" si="0"/>
        <v>14.166666666666604</v>
      </c>
      <c r="AJ6" s="26">
        <f t="shared" si="0"/>
        <v>0.05873237938476368</v>
      </c>
      <c r="AK6" s="27">
        <f t="shared" si="0"/>
        <v>4939.320861001854</v>
      </c>
      <c r="AL6" s="78">
        <f t="shared" si="0"/>
        <v>16.736622731921155</v>
      </c>
      <c r="AM6" s="77">
        <f t="shared" si="0"/>
        <v>32.39583333333368</v>
      </c>
      <c r="AN6" s="26">
        <f t="shared" si="0"/>
        <v>0.0803461503544322</v>
      </c>
      <c r="AO6" s="27">
        <f t="shared" si="0"/>
        <v>12467.060468040556</v>
      </c>
      <c r="AP6" s="78">
        <f>AP15*$AT$5+AP23*$AT$6+AP31*$AT$7+AP39*$AT$8+AP47*$AT$9+AP55*$AT$10+AP63*$AT$11+AP71*$AT$12+AP79*$AT$13</f>
        <v>4.4444444444444455</v>
      </c>
      <c r="AT6">
        <f>Inputs!K32</f>
        <v>0.0722975</v>
      </c>
    </row>
    <row r="7" spans="2:46" ht="12.75">
      <c r="B7" s="89" t="s">
        <v>66</v>
      </c>
      <c r="C7" s="95">
        <f t="shared" si="0"/>
        <v>0.1555668361360746</v>
      </c>
      <c r="D7" s="26">
        <f t="shared" si="0"/>
        <v>0.13381982400005754</v>
      </c>
      <c r="E7" s="27">
        <f t="shared" si="0"/>
        <v>4831.387617689108</v>
      </c>
      <c r="F7" s="78">
        <f t="shared" si="0"/>
        <v>5.796069347835712</v>
      </c>
      <c r="G7" s="77">
        <f t="shared" si="0"/>
        <v>0.8521904452996836</v>
      </c>
      <c r="H7" s="26">
        <f t="shared" si="0"/>
        <v>0.13362717410926803</v>
      </c>
      <c r="I7" s="27">
        <f t="shared" si="0"/>
        <v>97661505.65093759</v>
      </c>
      <c r="J7" s="78">
        <f t="shared" si="0"/>
        <v>5.699040184378581</v>
      </c>
      <c r="K7" s="77">
        <f t="shared" si="0"/>
        <v>0.8609525183311562</v>
      </c>
      <c r="L7" s="26">
        <f t="shared" si="0"/>
        <v>0.13362244282650323</v>
      </c>
      <c r="M7" s="27">
        <f t="shared" si="0"/>
        <v>97743834.53068292</v>
      </c>
      <c r="N7" s="78">
        <f t="shared" si="0"/>
        <v>5.882362163132268</v>
      </c>
      <c r="O7" s="77">
        <f t="shared" si="0"/>
        <v>2.868307687523634</v>
      </c>
      <c r="P7" s="26">
        <f t="shared" si="0"/>
        <v>0.1496863252588769</v>
      </c>
      <c r="Q7" s="27">
        <f t="shared" si="0"/>
        <v>176533549.3273291</v>
      </c>
      <c r="R7" s="78">
        <f t="shared" si="0"/>
        <v>3.720048357542118</v>
      </c>
      <c r="S7" s="77">
        <f t="shared" si="0"/>
        <v>2.868307687523634</v>
      </c>
      <c r="T7" s="26">
        <f t="shared" si="0"/>
        <v>0.1496863252588769</v>
      </c>
      <c r="U7" s="27">
        <f t="shared" si="0"/>
        <v>176533549.3273291</v>
      </c>
      <c r="V7" s="78">
        <f t="shared" si="0"/>
        <v>3.720048357542118</v>
      </c>
      <c r="W7" s="77">
        <f t="shared" si="0"/>
        <v>3.712176045253975</v>
      </c>
      <c r="X7" s="26">
        <f t="shared" si="0"/>
        <v>0.15138975651528255</v>
      </c>
      <c r="Y7" s="27">
        <f t="shared" si="0"/>
        <v>242347137.7903437</v>
      </c>
      <c r="Z7" s="78">
        <f t="shared" si="0"/>
        <v>3.2848140160495634</v>
      </c>
      <c r="AA7" s="77">
        <f t="shared" si="0"/>
        <v>3.7122362409907033</v>
      </c>
      <c r="AB7" s="26">
        <f t="shared" si="0"/>
        <v>0.1513465887668575</v>
      </c>
      <c r="AC7" s="27">
        <f t="shared" si="0"/>
        <v>253137400.39760172</v>
      </c>
      <c r="AD7" s="78">
        <f t="shared" si="0"/>
        <v>2.9265099061601205</v>
      </c>
      <c r="AE7" s="77">
        <f t="shared" si="0"/>
        <v>8.738788232866922</v>
      </c>
      <c r="AF7" s="26">
        <f t="shared" si="0"/>
        <v>0.16816384799350179</v>
      </c>
      <c r="AG7" s="27">
        <f t="shared" si="0"/>
        <v>295487049.77311504</v>
      </c>
      <c r="AH7" s="78">
        <f t="shared" si="0"/>
        <v>2.058956872566843</v>
      </c>
      <c r="AI7" s="77">
        <f t="shared" si="0"/>
        <v>8.746684087948674</v>
      </c>
      <c r="AJ7" s="26">
        <f t="shared" si="0"/>
        <v>0.1680964711043666</v>
      </c>
      <c r="AK7" s="27">
        <f t="shared" si="0"/>
        <v>386261005.0556308</v>
      </c>
      <c r="AL7" s="78">
        <f t="shared" si="0"/>
        <v>8.433310163309422</v>
      </c>
      <c r="AM7" s="77">
        <f t="shared" si="0"/>
        <v>13.369581267569684</v>
      </c>
      <c r="AN7" s="26">
        <f t="shared" si="0"/>
        <v>0.195918216492378</v>
      </c>
      <c r="AO7" s="27">
        <f t="shared" si="0"/>
        <v>497385702.4492147</v>
      </c>
      <c r="AP7" s="78">
        <f>AP16*$AT$5+AP24*$AT$6+AP32*$AT$7+AP40*$AT$8+AP48*$AT$9+AP56*$AT$10+AP64*$AT$11+AP72*$AT$12+AP80*$AT$13</f>
        <v>1.4042636155806612</v>
      </c>
      <c r="AT7">
        <f>Inputs!K33</f>
        <v>0.019369166666666673</v>
      </c>
    </row>
    <row r="8" spans="2:46" ht="12.75">
      <c r="B8" s="89" t="s">
        <v>51</v>
      </c>
      <c r="C8" s="95">
        <f t="shared" si="0"/>
        <v>0.08333333333333336</v>
      </c>
      <c r="D8" s="26">
        <f t="shared" si="0"/>
        <v>0.044865917297174325</v>
      </c>
      <c r="E8" s="28">
        <f t="shared" si="0"/>
        <v>3.697386716041264</v>
      </c>
      <c r="F8" s="78">
        <f t="shared" si="0"/>
        <v>15.556665331616419</v>
      </c>
      <c r="G8" s="77">
        <f t="shared" si="0"/>
        <v>0.25</v>
      </c>
      <c r="H8" s="26">
        <f t="shared" si="0"/>
        <v>0.045296477792626084</v>
      </c>
      <c r="I8" s="27">
        <f t="shared" si="0"/>
        <v>3.8470130221272645</v>
      </c>
      <c r="J8" s="78">
        <f t="shared" si="0"/>
        <v>7.222222222222225</v>
      </c>
      <c r="K8" s="77">
        <f t="shared" si="0"/>
        <v>0.25</v>
      </c>
      <c r="L8" s="26">
        <f t="shared" si="0"/>
        <v>0.045296477792626084</v>
      </c>
      <c r="M8" s="27">
        <f t="shared" si="0"/>
        <v>3.8488581184766044</v>
      </c>
      <c r="N8" s="78">
        <f t="shared" si="0"/>
        <v>7.222222222222225</v>
      </c>
      <c r="O8" s="77">
        <f t="shared" si="0"/>
        <v>1.375</v>
      </c>
      <c r="P8" s="26">
        <f t="shared" si="0"/>
        <v>0.046251551893167805</v>
      </c>
      <c r="Q8" s="27">
        <f t="shared" si="0"/>
        <v>4.051828313510253</v>
      </c>
      <c r="R8" s="78">
        <f t="shared" si="0"/>
        <v>5.833333333333334</v>
      </c>
      <c r="S8" s="77">
        <f t="shared" si="0"/>
        <v>1.375</v>
      </c>
      <c r="T8" s="26">
        <f t="shared" si="0"/>
        <v>0.046251551893167805</v>
      </c>
      <c r="U8" s="27">
        <f t="shared" si="0"/>
        <v>4.051828313510253</v>
      </c>
      <c r="V8" s="78">
        <f t="shared" si="0"/>
        <v>5.833333333333334</v>
      </c>
      <c r="W8" s="77">
        <f t="shared" si="0"/>
        <v>1.9166666666666676</v>
      </c>
      <c r="X8" s="26">
        <f t="shared" si="0"/>
        <v>0.0467409649834598</v>
      </c>
      <c r="Y8" s="27">
        <f t="shared" si="0"/>
        <v>4.504496133084005</v>
      </c>
      <c r="Z8" s="78">
        <f t="shared" si="0"/>
        <v>5.833333333333334</v>
      </c>
      <c r="AA8" s="77">
        <f t="shared" si="0"/>
        <v>2.291666666666667</v>
      </c>
      <c r="AB8" s="26">
        <f t="shared" si="0"/>
        <v>0.047050268227292226</v>
      </c>
      <c r="AC8" s="27">
        <f t="shared" si="0"/>
        <v>4.664547840355044</v>
      </c>
      <c r="AD8" s="78">
        <f t="shared" si="0"/>
        <v>5.846165337633814</v>
      </c>
      <c r="AE8" s="77">
        <f t="shared" si="0"/>
        <v>5.027083333333335</v>
      </c>
      <c r="AF8" s="26">
        <f t="shared" si="0"/>
        <v>0.049723090976159366</v>
      </c>
      <c r="AG8" s="27">
        <f t="shared" si="0"/>
        <v>5.222537329307513</v>
      </c>
      <c r="AH8" s="78">
        <f t="shared" si="0"/>
        <v>4.4444444444444455</v>
      </c>
      <c r="AI8" s="77">
        <f t="shared" si="0"/>
        <v>5.10625</v>
      </c>
      <c r="AJ8" s="26">
        <f t="shared" si="0"/>
        <v>0.04994416100260723</v>
      </c>
      <c r="AK8" s="27">
        <f t="shared" si="0"/>
        <v>5.538439413630107</v>
      </c>
      <c r="AL8" s="78">
        <f t="shared" si="0"/>
        <v>4.4444444444444455</v>
      </c>
      <c r="AM8" s="77">
        <f t="shared" si="0"/>
        <v>14.491666666666598</v>
      </c>
      <c r="AN8" s="26">
        <f t="shared" si="0"/>
        <v>0.056973728023498496</v>
      </c>
      <c r="AO8" s="27">
        <f t="shared" si="0"/>
        <v>6.7553730109274985</v>
      </c>
      <c r="AP8" s="78">
        <f>AP17*$AT$5+AP25*$AT$6+AP33*$AT$7+AP41*$AT$8+AP49*$AT$9+AP57*$AT$10+AP65*$AT$11+AP73*$AT$12+AP81*$AT$13</f>
        <v>4.4444444444444455</v>
      </c>
      <c r="AT8">
        <f>Inputs!K34</f>
        <v>0.20484291666666668</v>
      </c>
    </row>
    <row r="9" spans="2:46" ht="13.5" thickBot="1">
      <c r="B9" s="90" t="s">
        <v>52</v>
      </c>
      <c r="C9" s="96">
        <f t="shared" si="0"/>
        <v>0.5416666666666667</v>
      </c>
      <c r="D9" s="80">
        <f t="shared" si="0"/>
        <v>0.049413709969573685</v>
      </c>
      <c r="E9" s="83">
        <f t="shared" si="0"/>
        <v>1289.5069505698486</v>
      </c>
      <c r="F9" s="82">
        <f t="shared" si="0"/>
        <v>32.36467719135682</v>
      </c>
      <c r="G9" s="79">
        <f t="shared" si="0"/>
        <v>2.5416666666666656</v>
      </c>
      <c r="H9" s="80">
        <f t="shared" si="0"/>
        <v>0.05113002004224446</v>
      </c>
      <c r="I9" s="81">
        <f t="shared" si="0"/>
        <v>1671467.5429579834</v>
      </c>
      <c r="J9" s="82">
        <f t="shared" si="0"/>
        <v>24.842798675417608</v>
      </c>
      <c r="K9" s="79">
        <f t="shared" si="0"/>
        <v>2.5416666666666656</v>
      </c>
      <c r="L9" s="80">
        <f t="shared" si="0"/>
        <v>0.051147834624889484</v>
      </c>
      <c r="M9" s="81">
        <f t="shared" si="0"/>
        <v>1681113.8829309784</v>
      </c>
      <c r="N9" s="82">
        <f t="shared" si="0"/>
        <v>26.116742388877203</v>
      </c>
      <c r="O9" s="79">
        <f t="shared" si="0"/>
        <v>9.83541666666667</v>
      </c>
      <c r="P9" s="80">
        <f t="shared" si="0"/>
        <v>0.0596728471282863</v>
      </c>
      <c r="Q9" s="81">
        <f t="shared" si="0"/>
        <v>313991038.5752972</v>
      </c>
      <c r="R9" s="82">
        <f t="shared" si="0"/>
        <v>19.72215574097927</v>
      </c>
      <c r="S9" s="79">
        <f t="shared" si="0"/>
        <v>9.83541666666667</v>
      </c>
      <c r="T9" s="80">
        <f t="shared" si="0"/>
        <v>0.0596728471282863</v>
      </c>
      <c r="U9" s="81">
        <f t="shared" si="0"/>
        <v>313991038.5752972</v>
      </c>
      <c r="V9" s="82">
        <f t="shared" si="0"/>
        <v>19.72215574097927</v>
      </c>
      <c r="W9" s="79">
        <f t="shared" si="0"/>
        <v>12.916666666666618</v>
      </c>
      <c r="X9" s="80">
        <f t="shared" si="0"/>
        <v>0.06548621783514393</v>
      </c>
      <c r="Y9" s="81">
        <f t="shared" si="0"/>
        <v>821928688.243984</v>
      </c>
      <c r="Z9" s="82">
        <f t="shared" si="0"/>
        <v>17.273083829472196</v>
      </c>
      <c r="AA9" s="79">
        <f t="shared" si="0"/>
        <v>13.168749999999948</v>
      </c>
      <c r="AB9" s="80">
        <f t="shared" si="0"/>
        <v>0.06603891980613973</v>
      </c>
      <c r="AC9" s="81">
        <f t="shared" si="0"/>
        <v>822553956.248562</v>
      </c>
      <c r="AD9" s="82">
        <f t="shared" si="0"/>
        <v>16.119020467062494</v>
      </c>
      <c r="AE9" s="79">
        <f t="shared" si="0"/>
        <v>33.88750000000026</v>
      </c>
      <c r="AF9" s="80">
        <f t="shared" si="0"/>
        <v>0.1066228488810423</v>
      </c>
      <c r="AG9" s="81">
        <f t="shared" si="0"/>
        <v>822715193.6132784</v>
      </c>
      <c r="AH9" s="82">
        <f t="shared" si="0"/>
        <v>9.444444444444445</v>
      </c>
      <c r="AI9" s="79">
        <f t="shared" si="0"/>
        <v>34.01041666666692</v>
      </c>
      <c r="AJ9" s="80">
        <f t="shared" si="0"/>
        <v>0.10670590280303854</v>
      </c>
      <c r="AK9" s="81">
        <f t="shared" si="0"/>
        <v>822715486.3219568</v>
      </c>
      <c r="AL9" s="82">
        <f t="shared" si="0"/>
        <v>30.865146998230458</v>
      </c>
      <c r="AM9" s="79">
        <f t="shared" si="0"/>
        <v>56.258333333332324</v>
      </c>
      <c r="AN9" s="80">
        <f t="shared" si="0"/>
        <v>0.4117569275058788</v>
      </c>
      <c r="AO9" s="81">
        <f t="shared" si="0"/>
        <v>822715586.808913</v>
      </c>
      <c r="AP9" s="82">
        <f>AP18*$AT$5+AP26*$AT$6+AP34*$AT$7+AP42*$AT$8+AP50*$AT$9+AP58*$AT$10+AP66*$AT$11+AP74*$AT$12+AP82*$AT$13</f>
        <v>7.777777777777778</v>
      </c>
      <c r="AT9">
        <f>Inputs!K35</f>
        <v>0.31460152777777783</v>
      </c>
    </row>
    <row r="10" spans="41:46" ht="12.75">
      <c r="AO10" s="119"/>
      <c r="AT10">
        <f>Inputs!K36</f>
        <v>0.17035681702864774</v>
      </c>
    </row>
    <row r="11" spans="41:46" ht="13.5" thickBot="1">
      <c r="AO11" s="119"/>
      <c r="AT11">
        <f>Inputs!K37</f>
        <v>0.012274089740190073</v>
      </c>
    </row>
    <row r="12" spans="2:46" ht="12.75">
      <c r="B12" s="97" t="s">
        <v>96</v>
      </c>
      <c r="C12" s="92" t="s">
        <v>13</v>
      </c>
      <c r="D12" s="92"/>
      <c r="E12" s="92"/>
      <c r="F12" s="93"/>
      <c r="G12" s="91" t="s">
        <v>58</v>
      </c>
      <c r="H12" s="92"/>
      <c r="I12" s="92"/>
      <c r="J12" s="93"/>
      <c r="K12" s="91" t="s">
        <v>16</v>
      </c>
      <c r="L12" s="92"/>
      <c r="M12" s="92"/>
      <c r="N12" s="93"/>
      <c r="O12" s="91" t="s">
        <v>57</v>
      </c>
      <c r="P12" s="92"/>
      <c r="Q12" s="92"/>
      <c r="R12" s="93"/>
      <c r="S12" s="91" t="s">
        <v>56</v>
      </c>
      <c r="T12" s="92"/>
      <c r="U12" s="92"/>
      <c r="V12" s="93"/>
      <c r="W12" s="91" t="s">
        <v>55</v>
      </c>
      <c r="X12" s="92"/>
      <c r="Y12" s="92"/>
      <c r="Z12" s="93"/>
      <c r="AA12" s="91" t="s">
        <v>54</v>
      </c>
      <c r="AB12" s="92"/>
      <c r="AC12" s="92"/>
      <c r="AD12" s="93"/>
      <c r="AE12" s="91" t="s">
        <v>53</v>
      </c>
      <c r="AF12" s="92"/>
      <c r="AG12" s="92"/>
      <c r="AH12" s="93"/>
      <c r="AI12" s="91" t="s">
        <v>59</v>
      </c>
      <c r="AJ12" s="92"/>
      <c r="AK12" s="92"/>
      <c r="AL12" s="93"/>
      <c r="AM12" s="91" t="s">
        <v>46</v>
      </c>
      <c r="AN12" s="92"/>
      <c r="AO12" s="92"/>
      <c r="AP12" s="93"/>
      <c r="AT12">
        <f>Inputs!K38</f>
        <v>0.019656555810997817</v>
      </c>
    </row>
    <row r="13" spans="2:55" ht="12.75">
      <c r="B13" s="98"/>
      <c r="C13" s="94" t="s">
        <v>48</v>
      </c>
      <c r="D13" s="23" t="s">
        <v>10</v>
      </c>
      <c r="E13" s="29" t="s">
        <v>50</v>
      </c>
      <c r="F13" s="76" t="s">
        <v>49</v>
      </c>
      <c r="G13" s="75" t="s">
        <v>48</v>
      </c>
      <c r="H13" s="23" t="s">
        <v>10</v>
      </c>
      <c r="I13" s="24" t="s">
        <v>50</v>
      </c>
      <c r="J13" s="76" t="s">
        <v>49</v>
      </c>
      <c r="K13" s="75" t="s">
        <v>48</v>
      </c>
      <c r="L13" s="23" t="s">
        <v>10</v>
      </c>
      <c r="M13" s="24" t="s">
        <v>50</v>
      </c>
      <c r="N13" s="76" t="s">
        <v>49</v>
      </c>
      <c r="O13" s="75" t="s">
        <v>48</v>
      </c>
      <c r="P13" s="23" t="s">
        <v>10</v>
      </c>
      <c r="Q13" s="24" t="s">
        <v>50</v>
      </c>
      <c r="R13" s="76" t="s">
        <v>49</v>
      </c>
      <c r="S13" s="75" t="s">
        <v>48</v>
      </c>
      <c r="T13" s="23" t="s">
        <v>10</v>
      </c>
      <c r="U13" s="24" t="s">
        <v>50</v>
      </c>
      <c r="V13" s="76" t="s">
        <v>49</v>
      </c>
      <c r="W13" s="75" t="s">
        <v>48</v>
      </c>
      <c r="X13" s="23" t="s">
        <v>10</v>
      </c>
      <c r="Y13" s="24" t="s">
        <v>50</v>
      </c>
      <c r="Z13" s="76" t="s">
        <v>49</v>
      </c>
      <c r="AA13" s="75" t="s">
        <v>48</v>
      </c>
      <c r="AB13" s="23" t="s">
        <v>10</v>
      </c>
      <c r="AC13" s="24" t="s">
        <v>50</v>
      </c>
      <c r="AD13" s="76" t="s">
        <v>49</v>
      </c>
      <c r="AE13" s="75" t="s">
        <v>48</v>
      </c>
      <c r="AF13" s="23" t="s">
        <v>10</v>
      </c>
      <c r="AG13" s="24" t="s">
        <v>50</v>
      </c>
      <c r="AH13" s="76" t="s">
        <v>49</v>
      </c>
      <c r="AI13" s="75" t="s">
        <v>48</v>
      </c>
      <c r="AJ13" s="23" t="s">
        <v>10</v>
      </c>
      <c r="AK13" s="24" t="s">
        <v>50</v>
      </c>
      <c r="AL13" s="76" t="s">
        <v>49</v>
      </c>
      <c r="AM13" s="75" t="s">
        <v>48</v>
      </c>
      <c r="AN13" s="23" t="s">
        <v>10</v>
      </c>
      <c r="AO13" s="24" t="s">
        <v>50</v>
      </c>
      <c r="AP13" s="76" t="s">
        <v>49</v>
      </c>
      <c r="AR13" s="119"/>
      <c r="AT13">
        <f>Inputs!K39</f>
        <v>0.0014162411238680852</v>
      </c>
      <c r="AV13" s="43"/>
      <c r="AW13" s="43"/>
      <c r="AX13" s="43"/>
      <c r="AY13" s="43"/>
      <c r="AZ13" s="43"/>
      <c r="BA13" s="43"/>
      <c r="BB13" s="43"/>
      <c r="BC13" s="43"/>
    </row>
    <row r="14" spans="1:55" ht="12.75">
      <c r="A14" s="70"/>
      <c r="B14" s="89" t="s">
        <v>65</v>
      </c>
      <c r="C14" s="95">
        <v>0.29166666666666674</v>
      </c>
      <c r="D14" s="26">
        <v>0.044730374357473186</v>
      </c>
      <c r="E14" s="27">
        <v>123.51560630593795</v>
      </c>
      <c r="F14" s="78">
        <v>24.00338301546775</v>
      </c>
      <c r="G14" s="77">
        <v>1.541388888888891</v>
      </c>
      <c r="H14" s="26">
        <v>0.046177574520776546</v>
      </c>
      <c r="I14" s="27">
        <v>7793.609219468253</v>
      </c>
      <c r="J14" s="78">
        <v>15.082353921879012</v>
      </c>
      <c r="K14" s="77">
        <v>1.574722222222224</v>
      </c>
      <c r="L14" s="26">
        <v>0.04621276530796258</v>
      </c>
      <c r="M14" s="27">
        <v>7905.706457471652</v>
      </c>
      <c r="N14" s="78">
        <v>14.765937526550719</v>
      </c>
      <c r="O14" s="77">
        <v>3.9456944444444444</v>
      </c>
      <c r="P14" s="26">
        <v>0.055132432491300384</v>
      </c>
      <c r="Q14" s="27">
        <v>722052.8851178007</v>
      </c>
      <c r="R14" s="78">
        <v>10.136026598044769</v>
      </c>
      <c r="S14" s="77">
        <v>3.9456944444444444</v>
      </c>
      <c r="T14" s="26">
        <v>0.055132432491300384</v>
      </c>
      <c r="U14" s="27">
        <v>722052.8851178007</v>
      </c>
      <c r="V14" s="78">
        <v>10.136026598044769</v>
      </c>
      <c r="W14" s="77">
        <v>5.931111111111118</v>
      </c>
      <c r="X14" s="26">
        <v>0.057583352595942446</v>
      </c>
      <c r="Y14" s="27">
        <v>1866735.0268679783</v>
      </c>
      <c r="Z14" s="78">
        <v>10.096106121502501</v>
      </c>
      <c r="AA14" s="77">
        <v>6.249305555555559</v>
      </c>
      <c r="AB14" s="26">
        <v>0.05793288266706668</v>
      </c>
      <c r="AC14" s="27">
        <v>2095825.577281926</v>
      </c>
      <c r="AD14" s="78">
        <v>10.579250915495123</v>
      </c>
      <c r="AE14" s="77">
        <v>16.965833333333347</v>
      </c>
      <c r="AF14" s="26">
        <v>0.07584017557948465</v>
      </c>
      <c r="AG14" s="27">
        <v>3644718.7037805</v>
      </c>
      <c r="AH14" s="78">
        <v>5.408269181265392</v>
      </c>
      <c r="AI14" s="77">
        <v>17.016666666666694</v>
      </c>
      <c r="AJ14" s="26">
        <v>0.07627650710496452</v>
      </c>
      <c r="AK14" s="27">
        <v>10956196.224073382</v>
      </c>
      <c r="AL14" s="78">
        <v>17.338837645959504</v>
      </c>
      <c r="AM14" s="77">
        <v>34.399999999999906</v>
      </c>
      <c r="AN14" s="26">
        <v>0.11628177347229904</v>
      </c>
      <c r="AO14" s="27">
        <v>19025575.726376686</v>
      </c>
      <c r="AP14" s="78">
        <v>5.112222638466367</v>
      </c>
      <c r="AQ14">
        <v>1</v>
      </c>
      <c r="AR14" s="120"/>
      <c r="AS14" s="42"/>
      <c r="AT14" s="121">
        <f>SUM(AT5:AT13)</f>
        <v>1</v>
      </c>
      <c r="AU14" s="42"/>
      <c r="AV14" s="42"/>
      <c r="AW14" s="42"/>
      <c r="AX14" s="42"/>
      <c r="AY14" s="42"/>
      <c r="AZ14" s="42"/>
      <c r="BA14" s="42"/>
      <c r="BB14" s="42"/>
      <c r="BC14" s="42"/>
    </row>
    <row r="15" spans="1:55" ht="12.75">
      <c r="A15" s="70"/>
      <c r="B15" s="89" t="s">
        <v>64</v>
      </c>
      <c r="C15" s="95">
        <v>0.25</v>
      </c>
      <c r="D15" s="26">
        <v>0.024803586462575078</v>
      </c>
      <c r="E15" s="27">
        <v>36.67883919216682</v>
      </c>
      <c r="F15" s="78">
        <v>23.894293564560652</v>
      </c>
      <c r="G15" s="77">
        <v>1.2916666666666667</v>
      </c>
      <c r="H15" s="26">
        <v>0.026283614347253792</v>
      </c>
      <c r="I15" s="27">
        <v>36.67883919216682</v>
      </c>
      <c r="J15" s="78">
        <v>12.779769950199826</v>
      </c>
      <c r="K15" s="77">
        <v>1.2916666666666667</v>
      </c>
      <c r="L15" s="26">
        <v>0.026319507712645795</v>
      </c>
      <c r="M15" s="27">
        <v>36.67883919216682</v>
      </c>
      <c r="N15" s="78">
        <v>12.777778694437504</v>
      </c>
      <c r="O15" s="77">
        <v>2.9583333333333313</v>
      </c>
      <c r="P15" s="26">
        <v>0.02818710085439019</v>
      </c>
      <c r="Q15" s="27">
        <v>36.67883919216682</v>
      </c>
      <c r="R15" s="78">
        <v>11.11111111111111</v>
      </c>
      <c r="S15" s="77">
        <v>2.9583333333333313</v>
      </c>
      <c r="T15" s="26">
        <v>0.02818710085439019</v>
      </c>
      <c r="U15" s="27">
        <v>36.67883919216682</v>
      </c>
      <c r="V15" s="78">
        <v>11.11111111111111</v>
      </c>
      <c r="W15" s="77">
        <v>4.916666666666667</v>
      </c>
      <c r="X15" s="26">
        <v>0.029921554313281196</v>
      </c>
      <c r="Y15" s="27">
        <v>36.67883919216682</v>
      </c>
      <c r="Z15" s="78">
        <v>11.111104891647564</v>
      </c>
      <c r="AA15" s="77">
        <v>5.1875</v>
      </c>
      <c r="AB15" s="26">
        <v>0.030297305891162862</v>
      </c>
      <c r="AC15" s="27">
        <v>36.67883919216682</v>
      </c>
      <c r="AD15" s="78">
        <v>11.110062977880032</v>
      </c>
      <c r="AE15" s="77">
        <v>14.1666666666666</v>
      </c>
      <c r="AF15" s="26">
        <v>0.03848871332997916</v>
      </c>
      <c r="AG15" s="27">
        <v>36.67883919216682</v>
      </c>
      <c r="AH15" s="78">
        <v>4.444444444444447</v>
      </c>
      <c r="AI15" s="77">
        <v>14.1666666666666</v>
      </c>
      <c r="AJ15" s="26">
        <v>0.03873737020764256</v>
      </c>
      <c r="AK15" s="27">
        <v>36.67883919216682</v>
      </c>
      <c r="AL15" s="78">
        <v>16.736622731921152</v>
      </c>
      <c r="AM15" s="77">
        <v>32.39583333333367</v>
      </c>
      <c r="AN15" s="26">
        <v>0.061562735262370494</v>
      </c>
      <c r="AO15" s="27">
        <v>36.67883919216682</v>
      </c>
      <c r="AP15" s="78">
        <v>4.444444444444445</v>
      </c>
      <c r="AR15" s="119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</row>
    <row r="16" spans="1:55" ht="12.75">
      <c r="A16" s="71"/>
      <c r="B16" s="89" t="s">
        <v>66</v>
      </c>
      <c r="C16" s="95">
        <v>0.15556683613607464</v>
      </c>
      <c r="D16" s="26">
        <v>0.13669976154769778</v>
      </c>
      <c r="E16" s="27">
        <v>289.931078714101</v>
      </c>
      <c r="F16" s="78">
        <v>5.796069347835712</v>
      </c>
      <c r="G16" s="77">
        <v>0.8521904452996837</v>
      </c>
      <c r="H16" s="26">
        <v>0.13649912884214804</v>
      </c>
      <c r="I16" s="27">
        <v>128645.37428010289</v>
      </c>
      <c r="J16" s="78">
        <v>5.699040184378581</v>
      </c>
      <c r="K16" s="77">
        <v>0.8609525183311562</v>
      </c>
      <c r="L16" s="26">
        <v>0.13649419948384112</v>
      </c>
      <c r="M16" s="27">
        <v>128714.54354594222</v>
      </c>
      <c r="N16" s="78">
        <v>5.882362163132268</v>
      </c>
      <c r="O16" s="77">
        <v>2.868307687523634</v>
      </c>
      <c r="P16" s="26">
        <v>0.15672776588096235</v>
      </c>
      <c r="Q16" s="27">
        <v>12343854.653546294</v>
      </c>
      <c r="R16" s="78">
        <v>3.7200483575421175</v>
      </c>
      <c r="S16" s="77">
        <v>2.868307687523634</v>
      </c>
      <c r="T16" s="26">
        <v>0.15672776588096235</v>
      </c>
      <c r="U16" s="27">
        <v>12343854.653546294</v>
      </c>
      <c r="V16" s="78">
        <v>3.7200483575421175</v>
      </c>
      <c r="W16" s="77">
        <v>3.7121760452539747</v>
      </c>
      <c r="X16" s="26">
        <v>0.15647999556684877</v>
      </c>
      <c r="Y16" s="27">
        <v>25164525.61047178</v>
      </c>
      <c r="Z16" s="78">
        <v>3.2848140160495634</v>
      </c>
      <c r="AA16" s="77">
        <v>3.7122362409907024</v>
      </c>
      <c r="AB16" s="26">
        <v>0.15643549456627115</v>
      </c>
      <c r="AC16" s="27">
        <v>28221279.998402655</v>
      </c>
      <c r="AD16" s="78">
        <v>2.9265099061601205</v>
      </c>
      <c r="AE16" s="77">
        <v>8.73878823286692</v>
      </c>
      <c r="AF16" s="26">
        <v>0.1734737930187338</v>
      </c>
      <c r="AG16" s="27">
        <v>47174509.42893145</v>
      </c>
      <c r="AH16" s="78">
        <v>2.058956872566843</v>
      </c>
      <c r="AI16" s="77">
        <v>8.746684087948672</v>
      </c>
      <c r="AJ16" s="26">
        <v>0.17340388463524578</v>
      </c>
      <c r="AK16" s="27">
        <v>143339699.88499716</v>
      </c>
      <c r="AL16" s="78">
        <v>8.43331016330942</v>
      </c>
      <c r="AM16" s="77">
        <v>13.369581267569682</v>
      </c>
      <c r="AN16" s="26">
        <v>0.20344399294635301</v>
      </c>
      <c r="AO16" s="27">
        <v>251142979.27687156</v>
      </c>
      <c r="AP16" s="78">
        <v>1.404263615580661</v>
      </c>
      <c r="AR16" s="120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</row>
    <row r="17" spans="2:55" ht="12.75">
      <c r="B17" s="89" t="s">
        <v>51</v>
      </c>
      <c r="C17" s="95">
        <v>0.08333333333333333</v>
      </c>
      <c r="D17" s="26">
        <v>0.02430608487043351</v>
      </c>
      <c r="E17" s="28">
        <v>4.35629492607822</v>
      </c>
      <c r="F17" s="78">
        <v>15.556665331616417</v>
      </c>
      <c r="G17" s="77">
        <v>0.25</v>
      </c>
      <c r="H17" s="26">
        <v>0.02475961227217991</v>
      </c>
      <c r="I17" s="27">
        <v>4.35629492607822</v>
      </c>
      <c r="J17" s="78">
        <v>7.222222222222222</v>
      </c>
      <c r="K17" s="77">
        <v>0.25</v>
      </c>
      <c r="L17" s="26">
        <v>0.02475961227217991</v>
      </c>
      <c r="M17" s="27">
        <v>4.35629492607822</v>
      </c>
      <c r="N17" s="78">
        <v>7.222222222222222</v>
      </c>
      <c r="O17" s="77">
        <v>1.375</v>
      </c>
      <c r="P17" s="26">
        <v>0.025748849634092918</v>
      </c>
      <c r="Q17" s="27">
        <v>4.35629492607822</v>
      </c>
      <c r="R17" s="78">
        <v>5.833333333333333</v>
      </c>
      <c r="S17" s="77">
        <v>1.375</v>
      </c>
      <c r="T17" s="26">
        <v>0.025748849634092918</v>
      </c>
      <c r="U17" s="27">
        <v>4.35629492607822</v>
      </c>
      <c r="V17" s="78">
        <v>5.833333333333333</v>
      </c>
      <c r="W17" s="77">
        <v>1.9166666666666679</v>
      </c>
      <c r="X17" s="26">
        <v>0.026260617794742574</v>
      </c>
      <c r="Y17" s="27">
        <v>4.35629492607822</v>
      </c>
      <c r="Z17" s="78">
        <v>5.833333333333333</v>
      </c>
      <c r="AA17" s="77">
        <v>2.291666666666667</v>
      </c>
      <c r="AB17" s="26">
        <v>0.02657108979881469</v>
      </c>
      <c r="AC17" s="27">
        <v>4.35629492607822</v>
      </c>
      <c r="AD17" s="78">
        <v>5.846165337633814</v>
      </c>
      <c r="AE17" s="77">
        <v>5.0270833333333345</v>
      </c>
      <c r="AF17" s="26">
        <v>0.029323861225957048</v>
      </c>
      <c r="AG17" s="27">
        <v>4.35629492607822</v>
      </c>
      <c r="AH17" s="78">
        <v>4.444444444444445</v>
      </c>
      <c r="AI17" s="77">
        <v>5.10625</v>
      </c>
      <c r="AJ17" s="26">
        <v>0.02955452209005749</v>
      </c>
      <c r="AK17" s="27">
        <v>4.35629492607822</v>
      </c>
      <c r="AL17" s="78">
        <v>4.444444444444445</v>
      </c>
      <c r="AM17" s="77">
        <v>14.491666666666596</v>
      </c>
      <c r="AN17" s="26">
        <v>0.03686968457752853</v>
      </c>
      <c r="AO17" s="27">
        <v>4.35629492607822</v>
      </c>
      <c r="AP17" s="78">
        <v>4.444444444444445</v>
      </c>
      <c r="AR17" s="119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2:55" ht="13.5" thickBot="1">
      <c r="B18" s="90" t="s">
        <v>52</v>
      </c>
      <c r="C18" s="96">
        <v>0.5416666666666666</v>
      </c>
      <c r="D18" s="80">
        <v>0.028952892780258283</v>
      </c>
      <c r="E18" s="83">
        <v>746.5859139080335</v>
      </c>
      <c r="F18" s="82">
        <v>32.36467719135682</v>
      </c>
      <c r="G18" s="79">
        <v>2.541666666666666</v>
      </c>
      <c r="H18" s="80">
        <v>0.030771534280143575</v>
      </c>
      <c r="I18" s="81">
        <v>746.5859139080335</v>
      </c>
      <c r="J18" s="82">
        <v>24.842798675417608</v>
      </c>
      <c r="K18" s="79">
        <v>2.541666666666666</v>
      </c>
      <c r="L18" s="80">
        <v>0.030771534280143575</v>
      </c>
      <c r="M18" s="81">
        <v>746.5859139080335</v>
      </c>
      <c r="N18" s="82">
        <v>26.1167423888772</v>
      </c>
      <c r="O18" s="79">
        <v>9.835416666666672</v>
      </c>
      <c r="P18" s="80">
        <v>0.040089371522699285</v>
      </c>
      <c r="Q18" s="81">
        <v>746.5859139080335</v>
      </c>
      <c r="R18" s="82">
        <v>19.722155740979268</v>
      </c>
      <c r="S18" s="79">
        <v>9.835416666666672</v>
      </c>
      <c r="T18" s="80">
        <v>0.040089371522699285</v>
      </c>
      <c r="U18" s="81">
        <v>746.5859139080335</v>
      </c>
      <c r="V18" s="82">
        <v>19.722155740979268</v>
      </c>
      <c r="W18" s="79">
        <v>12.916666666666618</v>
      </c>
      <c r="X18" s="80">
        <v>0.04666432456522017</v>
      </c>
      <c r="Y18" s="81">
        <v>746.5859139080335</v>
      </c>
      <c r="Z18" s="82">
        <v>17.273083829472196</v>
      </c>
      <c r="AA18" s="79">
        <v>13.168749999999948</v>
      </c>
      <c r="AB18" s="80">
        <v>0.04724450549031062</v>
      </c>
      <c r="AC18" s="81">
        <v>746.5859139080335</v>
      </c>
      <c r="AD18" s="82">
        <v>16.119020467062494</v>
      </c>
      <c r="AE18" s="79">
        <v>33.88750000000026</v>
      </c>
      <c r="AF18" s="80">
        <v>0.09287324185926062</v>
      </c>
      <c r="AG18" s="81">
        <v>746.5859139080335</v>
      </c>
      <c r="AH18" s="82">
        <v>9.444444444444445</v>
      </c>
      <c r="AI18" s="79">
        <v>34.01041666666692</v>
      </c>
      <c r="AJ18" s="80">
        <v>0.0928990185215226</v>
      </c>
      <c r="AK18" s="81">
        <v>746.5859139080335</v>
      </c>
      <c r="AL18" s="82">
        <v>30.865146998230454</v>
      </c>
      <c r="AM18" s="79">
        <v>56.25833333333232</v>
      </c>
      <c r="AN18" s="80">
        <v>0.4645109163750181</v>
      </c>
      <c r="AO18" s="81">
        <v>746.5859139080335</v>
      </c>
      <c r="AP18" s="82">
        <v>7.777777777777778</v>
      </c>
      <c r="AR18" s="119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</row>
    <row r="19" ht="13.5" thickBot="1">
      <c r="AO19" s="119"/>
    </row>
    <row r="20" spans="2:42" ht="12.75">
      <c r="B20" s="97" t="s">
        <v>96</v>
      </c>
      <c r="C20" s="91" t="s">
        <v>13</v>
      </c>
      <c r="D20" s="92"/>
      <c r="E20" s="92"/>
      <c r="F20" s="93"/>
      <c r="G20" s="91" t="s">
        <v>58</v>
      </c>
      <c r="H20" s="92"/>
      <c r="I20" s="92"/>
      <c r="J20" s="93"/>
      <c r="K20" s="91" t="s">
        <v>16</v>
      </c>
      <c r="L20" s="92"/>
      <c r="M20" s="92"/>
      <c r="N20" s="93"/>
      <c r="O20" s="91" t="s">
        <v>57</v>
      </c>
      <c r="P20" s="92"/>
      <c r="Q20" s="92"/>
      <c r="R20" s="93"/>
      <c r="S20" s="91" t="s">
        <v>56</v>
      </c>
      <c r="T20" s="92"/>
      <c r="U20" s="92"/>
      <c r="V20" s="93"/>
      <c r="W20" s="91" t="s">
        <v>55</v>
      </c>
      <c r="X20" s="92"/>
      <c r="Y20" s="92"/>
      <c r="Z20" s="93"/>
      <c r="AA20" s="91" t="s">
        <v>54</v>
      </c>
      <c r="AB20" s="92"/>
      <c r="AC20" s="92"/>
      <c r="AD20" s="93"/>
      <c r="AE20" s="91" t="s">
        <v>53</v>
      </c>
      <c r="AF20" s="92"/>
      <c r="AG20" s="92"/>
      <c r="AH20" s="93"/>
      <c r="AI20" s="91" t="s">
        <v>59</v>
      </c>
      <c r="AJ20" s="92"/>
      <c r="AK20" s="92"/>
      <c r="AL20" s="93"/>
      <c r="AM20" s="91" t="s">
        <v>46</v>
      </c>
      <c r="AN20" s="92"/>
      <c r="AO20" s="92"/>
      <c r="AP20" s="93"/>
    </row>
    <row r="21" spans="2:42" ht="12.75">
      <c r="B21" s="98"/>
      <c r="C21" s="75" t="s">
        <v>48</v>
      </c>
      <c r="D21" s="23" t="s">
        <v>10</v>
      </c>
      <c r="E21" s="29" t="s">
        <v>50</v>
      </c>
      <c r="F21" s="76" t="s">
        <v>49</v>
      </c>
      <c r="G21" s="75" t="s">
        <v>48</v>
      </c>
      <c r="H21" s="23" t="s">
        <v>10</v>
      </c>
      <c r="I21" s="24" t="s">
        <v>50</v>
      </c>
      <c r="J21" s="76" t="s">
        <v>49</v>
      </c>
      <c r="K21" s="75" t="s">
        <v>48</v>
      </c>
      <c r="L21" s="23" t="s">
        <v>10</v>
      </c>
      <c r="M21" s="24" t="s">
        <v>50</v>
      </c>
      <c r="N21" s="76" t="s">
        <v>49</v>
      </c>
      <c r="O21" s="75" t="s">
        <v>48</v>
      </c>
      <c r="P21" s="23" t="s">
        <v>10</v>
      </c>
      <c r="Q21" s="24" t="s">
        <v>50</v>
      </c>
      <c r="R21" s="76" t="s">
        <v>49</v>
      </c>
      <c r="S21" s="75" t="s">
        <v>48</v>
      </c>
      <c r="T21" s="23" t="s">
        <v>10</v>
      </c>
      <c r="U21" s="24" t="s">
        <v>50</v>
      </c>
      <c r="V21" s="76" t="s">
        <v>49</v>
      </c>
      <c r="W21" s="75" t="s">
        <v>48</v>
      </c>
      <c r="X21" s="23" t="s">
        <v>10</v>
      </c>
      <c r="Y21" s="24" t="s">
        <v>50</v>
      </c>
      <c r="Z21" s="76" t="s">
        <v>49</v>
      </c>
      <c r="AA21" s="75" t="s">
        <v>48</v>
      </c>
      <c r="AB21" s="23" t="s">
        <v>10</v>
      </c>
      <c r="AC21" s="24" t="s">
        <v>50</v>
      </c>
      <c r="AD21" s="76" t="s">
        <v>49</v>
      </c>
      <c r="AE21" s="75" t="s">
        <v>48</v>
      </c>
      <c r="AF21" s="23" t="s">
        <v>10</v>
      </c>
      <c r="AG21" s="24" t="s">
        <v>50</v>
      </c>
      <c r="AH21" s="76" t="s">
        <v>49</v>
      </c>
      <c r="AI21" s="75" t="s">
        <v>48</v>
      </c>
      <c r="AJ21" s="23" t="s">
        <v>10</v>
      </c>
      <c r="AK21" s="24" t="s">
        <v>50</v>
      </c>
      <c r="AL21" s="76" t="s">
        <v>49</v>
      </c>
      <c r="AM21" s="75" t="s">
        <v>48</v>
      </c>
      <c r="AN21" s="23" t="s">
        <v>10</v>
      </c>
      <c r="AO21" s="24" t="s">
        <v>50</v>
      </c>
      <c r="AP21" s="76" t="s">
        <v>49</v>
      </c>
    </row>
    <row r="22" spans="1:43" ht="12.75">
      <c r="A22" s="70"/>
      <c r="B22" s="89" t="s">
        <v>65</v>
      </c>
      <c r="C22" s="77">
        <v>0.29166666666666674</v>
      </c>
      <c r="D22" s="26">
        <v>0.044730374357473186</v>
      </c>
      <c r="E22" s="27">
        <v>123.94845208044867</v>
      </c>
      <c r="F22" s="78">
        <v>24.00338301546775</v>
      </c>
      <c r="G22" s="77">
        <v>1.541388888888891</v>
      </c>
      <c r="H22" s="26">
        <v>0.046177574520776546</v>
      </c>
      <c r="I22" s="27">
        <v>7798.324468362268</v>
      </c>
      <c r="J22" s="78">
        <v>15.082353921879012</v>
      </c>
      <c r="K22" s="77">
        <v>1.574722222222224</v>
      </c>
      <c r="L22" s="26">
        <v>0.04621276530796258</v>
      </c>
      <c r="M22" s="27">
        <v>7910.565144308067</v>
      </c>
      <c r="N22" s="78">
        <v>14.765937526550719</v>
      </c>
      <c r="O22" s="77">
        <v>3.9456944444444444</v>
      </c>
      <c r="P22" s="26">
        <v>0.055132432491300384</v>
      </c>
      <c r="Q22" s="27">
        <v>722084.8521807106</v>
      </c>
      <c r="R22" s="78">
        <v>10.136026598044769</v>
      </c>
      <c r="S22" s="77">
        <v>3.9456944444444444</v>
      </c>
      <c r="T22" s="26">
        <v>0.055132432491300384</v>
      </c>
      <c r="U22" s="27">
        <v>722084.8521807106</v>
      </c>
      <c r="V22" s="78">
        <v>10.136026598044769</v>
      </c>
      <c r="W22" s="77">
        <v>5.931111111111118</v>
      </c>
      <c r="X22" s="26">
        <v>0.057583352595942446</v>
      </c>
      <c r="Y22" s="27">
        <v>1866789.5039951727</v>
      </c>
      <c r="Z22" s="78">
        <v>10.096106121502501</v>
      </c>
      <c r="AA22" s="77">
        <v>6.249305555555559</v>
      </c>
      <c r="AB22" s="26">
        <v>0.05793288266706668</v>
      </c>
      <c r="AC22" s="27">
        <v>2095896.2281599895</v>
      </c>
      <c r="AD22" s="78">
        <v>10.579250915495123</v>
      </c>
      <c r="AE22" s="77">
        <v>16.965833333333347</v>
      </c>
      <c r="AF22" s="26">
        <v>0.07584017557948465</v>
      </c>
      <c r="AG22" s="27">
        <v>3644894.091836331</v>
      </c>
      <c r="AH22" s="78">
        <v>5.408269181265392</v>
      </c>
      <c r="AI22" s="77">
        <v>17.016666666666694</v>
      </c>
      <c r="AJ22" s="26">
        <v>0.07627650710496452</v>
      </c>
      <c r="AK22" s="27">
        <v>10956408.078455402</v>
      </c>
      <c r="AL22" s="78">
        <v>17.338837645959504</v>
      </c>
      <c r="AM22" s="77">
        <v>34.399999999999906</v>
      </c>
      <c r="AN22" s="26">
        <v>0.11628177347229904</v>
      </c>
      <c r="AO22" s="27">
        <v>19025953.684633248</v>
      </c>
      <c r="AP22" s="78">
        <v>5.112222638466367</v>
      </c>
      <c r="AQ22">
        <v>2</v>
      </c>
    </row>
    <row r="23" spans="1:42" ht="12.75">
      <c r="A23" s="70"/>
      <c r="B23" s="89" t="s">
        <v>64</v>
      </c>
      <c r="C23" s="77">
        <v>0.25</v>
      </c>
      <c r="D23" s="26">
        <v>0.024803586462575078</v>
      </c>
      <c r="E23" s="27">
        <v>36.75040968713069</v>
      </c>
      <c r="F23" s="78">
        <v>23.894293564560652</v>
      </c>
      <c r="G23" s="77">
        <v>1.2916666666666667</v>
      </c>
      <c r="H23" s="26">
        <v>0.026283614347253792</v>
      </c>
      <c r="I23" s="27">
        <v>37.14878711714667</v>
      </c>
      <c r="J23" s="78">
        <v>12.779769950199826</v>
      </c>
      <c r="K23" s="77">
        <v>1.2916666666666667</v>
      </c>
      <c r="L23" s="26">
        <v>0.026319507712645795</v>
      </c>
      <c r="M23" s="27">
        <v>37.14878711714667</v>
      </c>
      <c r="N23" s="78">
        <v>12.777778694437504</v>
      </c>
      <c r="O23" s="77">
        <v>2.9583333333333313</v>
      </c>
      <c r="P23" s="26">
        <v>0.02818710085439019</v>
      </c>
      <c r="Q23" s="27">
        <v>40.291664055916684</v>
      </c>
      <c r="R23" s="78">
        <v>11.11111111111111</v>
      </c>
      <c r="S23" s="77">
        <v>2.9583333333333313</v>
      </c>
      <c r="T23" s="26">
        <v>0.02818710085439019</v>
      </c>
      <c r="U23" s="27">
        <v>40.291664055916684</v>
      </c>
      <c r="V23" s="78">
        <v>11.11111111111111</v>
      </c>
      <c r="W23" s="77">
        <v>4.916666666666667</v>
      </c>
      <c r="X23" s="26">
        <v>0.029921554313281196</v>
      </c>
      <c r="Y23" s="27">
        <v>49.11901504057356</v>
      </c>
      <c r="Z23" s="78">
        <v>11.111104891647564</v>
      </c>
      <c r="AA23" s="77">
        <v>5.1875</v>
      </c>
      <c r="AB23" s="26">
        <v>0.030297305891162862</v>
      </c>
      <c r="AC23" s="27">
        <v>50.82780348788619</v>
      </c>
      <c r="AD23" s="78">
        <v>11.110062977880032</v>
      </c>
      <c r="AE23" s="77">
        <v>14.1666666666666</v>
      </c>
      <c r="AF23" s="26">
        <v>0.03848871332997916</v>
      </c>
      <c r="AG23" s="27">
        <v>53.16515807367021</v>
      </c>
      <c r="AH23" s="78">
        <v>4.444444444444447</v>
      </c>
      <c r="AI23" s="77">
        <v>14.1666666666666</v>
      </c>
      <c r="AJ23" s="26">
        <v>0.03873737020764256</v>
      </c>
      <c r="AK23" s="27">
        <v>53.46305540648657</v>
      </c>
      <c r="AL23" s="78">
        <v>16.736622731921152</v>
      </c>
      <c r="AM23" s="77">
        <v>32.39583333333367</v>
      </c>
      <c r="AN23" s="26">
        <v>0.061562735262370494</v>
      </c>
      <c r="AO23" s="27">
        <v>55.90055833410019</v>
      </c>
      <c r="AP23" s="78">
        <v>4.444444444444445</v>
      </c>
    </row>
    <row r="24" spans="1:42" ht="12.75">
      <c r="A24" s="71"/>
      <c r="B24" s="89" t="s">
        <v>66</v>
      </c>
      <c r="C24" s="77">
        <v>0.15556683613607464</v>
      </c>
      <c r="D24" s="26">
        <v>0.13669976154769778</v>
      </c>
      <c r="E24" s="27">
        <v>290.7145452260111</v>
      </c>
      <c r="F24" s="78">
        <v>5.796069347835712</v>
      </c>
      <c r="G24" s="77">
        <v>0.8521904452996837</v>
      </c>
      <c r="H24" s="26">
        <v>0.13649912884214804</v>
      </c>
      <c r="I24" s="27">
        <v>128645.11233261475</v>
      </c>
      <c r="J24" s="78">
        <v>5.699040184378581</v>
      </c>
      <c r="K24" s="77">
        <v>0.8609525183311562</v>
      </c>
      <c r="L24" s="26">
        <v>0.13649419948384112</v>
      </c>
      <c r="M24" s="27">
        <v>128714.26976423505</v>
      </c>
      <c r="N24" s="78">
        <v>5.882362163132268</v>
      </c>
      <c r="O24" s="77">
        <v>2.868307687523634</v>
      </c>
      <c r="P24" s="26">
        <v>0.15672776588096235</v>
      </c>
      <c r="Q24" s="27">
        <v>12343852.780655297</v>
      </c>
      <c r="R24" s="78">
        <v>3.7200483575421175</v>
      </c>
      <c r="S24" s="77">
        <v>2.868307687523634</v>
      </c>
      <c r="T24" s="26">
        <v>0.15672776588096235</v>
      </c>
      <c r="U24" s="27">
        <v>12343852.780655297</v>
      </c>
      <c r="V24" s="78">
        <v>3.7200483575421175</v>
      </c>
      <c r="W24" s="77">
        <v>3.7121760452539747</v>
      </c>
      <c r="X24" s="26">
        <v>0.15647999556684877</v>
      </c>
      <c r="Y24" s="27">
        <v>25164521.558892727</v>
      </c>
      <c r="Z24" s="78">
        <v>3.2848140160495634</v>
      </c>
      <c r="AA24" s="77">
        <v>3.7122362409907024</v>
      </c>
      <c r="AB24" s="26">
        <v>0.15643549456627115</v>
      </c>
      <c r="AC24" s="27">
        <v>28221274.742913425</v>
      </c>
      <c r="AD24" s="78">
        <v>2.9265099061601205</v>
      </c>
      <c r="AE24" s="77">
        <v>8.73878823286692</v>
      </c>
      <c r="AF24" s="26">
        <v>0.1734737930187338</v>
      </c>
      <c r="AG24" s="27">
        <v>47174495.87252311</v>
      </c>
      <c r="AH24" s="78">
        <v>2.058956872566843</v>
      </c>
      <c r="AI24" s="77">
        <v>8.746684087948672</v>
      </c>
      <c r="AJ24" s="26">
        <v>0.17340388463524578</v>
      </c>
      <c r="AK24" s="27">
        <v>143339683.66279826</v>
      </c>
      <c r="AL24" s="78">
        <v>8.43331016330942</v>
      </c>
      <c r="AM24" s="77">
        <v>13.369581267569682</v>
      </c>
      <c r="AN24" s="26">
        <v>0.20344399294635301</v>
      </c>
      <c r="AO24" s="27">
        <v>251142950.61940044</v>
      </c>
      <c r="AP24" s="78">
        <v>1.404263615580661</v>
      </c>
    </row>
    <row r="25" spans="2:42" ht="12.75">
      <c r="B25" s="89" t="s">
        <v>51</v>
      </c>
      <c r="C25" s="77">
        <v>0.08333333333333333</v>
      </c>
      <c r="D25" s="26">
        <v>0.02430608487043351</v>
      </c>
      <c r="E25" s="28">
        <v>4.402056942933647</v>
      </c>
      <c r="F25" s="78">
        <v>15.556665331616417</v>
      </c>
      <c r="G25" s="77">
        <v>0.25</v>
      </c>
      <c r="H25" s="26">
        <v>0.02475961227217991</v>
      </c>
      <c r="I25" s="27">
        <v>4.845510273598489</v>
      </c>
      <c r="J25" s="78">
        <v>7.222222222222222</v>
      </c>
      <c r="K25" s="77">
        <v>0.25</v>
      </c>
      <c r="L25" s="26">
        <v>0.02475961227217991</v>
      </c>
      <c r="M25" s="27">
        <v>4.845510273598489</v>
      </c>
      <c r="N25" s="78">
        <v>7.222222222222222</v>
      </c>
      <c r="O25" s="77">
        <v>1.375</v>
      </c>
      <c r="P25" s="26">
        <v>0.025748849634092918</v>
      </c>
      <c r="Q25" s="27">
        <v>5.179770612417411</v>
      </c>
      <c r="R25" s="78">
        <v>5.833333333333333</v>
      </c>
      <c r="S25" s="77">
        <v>1.375</v>
      </c>
      <c r="T25" s="26">
        <v>0.025748849634092918</v>
      </c>
      <c r="U25" s="27">
        <v>5.179770612417411</v>
      </c>
      <c r="V25" s="78">
        <v>5.833333333333333</v>
      </c>
      <c r="W25" s="77">
        <v>1.9166666666666679</v>
      </c>
      <c r="X25" s="26">
        <v>0.026260617794742574</v>
      </c>
      <c r="Y25" s="27">
        <v>6.077183853943065</v>
      </c>
      <c r="Z25" s="78">
        <v>5.833333333333333</v>
      </c>
      <c r="AA25" s="77">
        <v>2.291666666666667</v>
      </c>
      <c r="AB25" s="26">
        <v>0.02657108979881469</v>
      </c>
      <c r="AC25" s="27">
        <v>6.236749403032382</v>
      </c>
      <c r="AD25" s="78">
        <v>5.846165337633814</v>
      </c>
      <c r="AE25" s="77">
        <v>5.0270833333333345</v>
      </c>
      <c r="AF25" s="26">
        <v>0.029323861225957048</v>
      </c>
      <c r="AG25" s="27">
        <v>6.672204136054971</v>
      </c>
      <c r="AH25" s="78">
        <v>4.444444444444445</v>
      </c>
      <c r="AI25" s="77">
        <v>5.10625</v>
      </c>
      <c r="AJ25" s="26">
        <v>0.02955452209005749</v>
      </c>
      <c r="AK25" s="27">
        <v>7.1074563848519805</v>
      </c>
      <c r="AL25" s="78">
        <v>4.444444444444445</v>
      </c>
      <c r="AM25" s="77">
        <v>14.491666666666596</v>
      </c>
      <c r="AN25" s="26">
        <v>0.03686968457752853</v>
      </c>
      <c r="AO25" s="27">
        <v>7.296408828103001</v>
      </c>
      <c r="AP25" s="78">
        <v>4.444444444444445</v>
      </c>
    </row>
    <row r="26" spans="2:42" ht="13.5" thickBot="1">
      <c r="B26" s="90" t="s">
        <v>52</v>
      </c>
      <c r="C26" s="79">
        <v>0.5416666666666666</v>
      </c>
      <c r="D26" s="80">
        <v>0.028952892780258283</v>
      </c>
      <c r="E26" s="83">
        <v>746.7277790714212</v>
      </c>
      <c r="F26" s="82">
        <v>32.36467719135682</v>
      </c>
      <c r="G26" s="79">
        <v>2.541666666666666</v>
      </c>
      <c r="H26" s="80">
        <v>0.030771534280143575</v>
      </c>
      <c r="I26" s="81">
        <v>760.801900443112</v>
      </c>
      <c r="J26" s="82">
        <v>24.842798675417608</v>
      </c>
      <c r="K26" s="79">
        <v>2.541666666666666</v>
      </c>
      <c r="L26" s="80">
        <v>0.030771534280143575</v>
      </c>
      <c r="M26" s="81">
        <v>760.9011506054177</v>
      </c>
      <c r="N26" s="82">
        <v>26.1167423888772</v>
      </c>
      <c r="O26" s="79">
        <v>9.835416666666672</v>
      </c>
      <c r="P26" s="80">
        <v>0.040089371522699285</v>
      </c>
      <c r="Q26" s="81">
        <v>806.4270228232276</v>
      </c>
      <c r="R26" s="82">
        <v>19.722155740979268</v>
      </c>
      <c r="S26" s="79">
        <v>9.835416666666672</v>
      </c>
      <c r="T26" s="80">
        <v>0.040089371522699285</v>
      </c>
      <c r="U26" s="81">
        <v>806.4270228232276</v>
      </c>
      <c r="V26" s="82">
        <v>19.722155740979268</v>
      </c>
      <c r="W26" s="79">
        <v>12.916666666666618</v>
      </c>
      <c r="X26" s="80">
        <v>0.04666432456522017</v>
      </c>
      <c r="Y26" s="81">
        <v>880.704677261713</v>
      </c>
      <c r="Z26" s="82">
        <v>17.273083829472196</v>
      </c>
      <c r="AA26" s="79">
        <v>13.168749999999948</v>
      </c>
      <c r="AB26" s="80">
        <v>0.04724450549031062</v>
      </c>
      <c r="AC26" s="81">
        <v>961.6725710620734</v>
      </c>
      <c r="AD26" s="82">
        <v>16.119020467062494</v>
      </c>
      <c r="AE26" s="79">
        <v>33.88750000000026</v>
      </c>
      <c r="AF26" s="80">
        <v>0.09287324185926062</v>
      </c>
      <c r="AG26" s="81">
        <v>1472.720661765179</v>
      </c>
      <c r="AH26" s="82">
        <v>9.444444444444445</v>
      </c>
      <c r="AI26" s="79">
        <v>34.01041666666692</v>
      </c>
      <c r="AJ26" s="80">
        <v>0.0928990185215226</v>
      </c>
      <c r="AK26" s="81">
        <v>1872.3591558859355</v>
      </c>
      <c r="AL26" s="82">
        <v>30.865146998230454</v>
      </c>
      <c r="AM26" s="79">
        <v>56.25833333333232</v>
      </c>
      <c r="AN26" s="80">
        <v>0.4645109163750181</v>
      </c>
      <c r="AO26" s="81">
        <v>2226.8495772503857</v>
      </c>
      <c r="AP26" s="82">
        <v>7.777777777777778</v>
      </c>
    </row>
    <row r="27" ht="13.5" thickBot="1">
      <c r="AO27" s="119"/>
    </row>
    <row r="28" spans="2:42" ht="12.75">
      <c r="B28" s="97" t="s">
        <v>96</v>
      </c>
      <c r="C28" s="91" t="s">
        <v>13</v>
      </c>
      <c r="D28" s="92"/>
      <c r="E28" s="92"/>
      <c r="F28" s="93"/>
      <c r="G28" s="91" t="s">
        <v>58</v>
      </c>
      <c r="H28" s="92"/>
      <c r="I28" s="92"/>
      <c r="J28" s="93"/>
      <c r="K28" s="91" t="s">
        <v>16</v>
      </c>
      <c r="L28" s="92"/>
      <c r="M28" s="92"/>
      <c r="N28" s="93"/>
      <c r="O28" s="91" t="s">
        <v>57</v>
      </c>
      <c r="P28" s="92"/>
      <c r="Q28" s="92"/>
      <c r="R28" s="93"/>
      <c r="S28" s="91" t="s">
        <v>56</v>
      </c>
      <c r="T28" s="92"/>
      <c r="U28" s="92"/>
      <c r="V28" s="93"/>
      <c r="W28" s="91" t="s">
        <v>55</v>
      </c>
      <c r="X28" s="92"/>
      <c r="Y28" s="92"/>
      <c r="Z28" s="93"/>
      <c r="AA28" s="91" t="s">
        <v>54</v>
      </c>
      <c r="AB28" s="92"/>
      <c r="AC28" s="92"/>
      <c r="AD28" s="93"/>
      <c r="AE28" s="91" t="s">
        <v>53</v>
      </c>
      <c r="AF28" s="92"/>
      <c r="AG28" s="92"/>
      <c r="AH28" s="93"/>
      <c r="AI28" s="91" t="s">
        <v>59</v>
      </c>
      <c r="AJ28" s="92"/>
      <c r="AK28" s="92"/>
      <c r="AL28" s="93"/>
      <c r="AM28" s="91" t="s">
        <v>46</v>
      </c>
      <c r="AN28" s="92"/>
      <c r="AO28" s="92"/>
      <c r="AP28" s="93"/>
    </row>
    <row r="29" spans="2:42" ht="12.75">
      <c r="B29" s="98"/>
      <c r="C29" s="75" t="s">
        <v>48</v>
      </c>
      <c r="D29" s="23" t="s">
        <v>10</v>
      </c>
      <c r="E29" s="29" t="s">
        <v>50</v>
      </c>
      <c r="F29" s="76" t="s">
        <v>49</v>
      </c>
      <c r="G29" s="75" t="s">
        <v>48</v>
      </c>
      <c r="H29" s="23" t="s">
        <v>10</v>
      </c>
      <c r="I29" s="24" t="s">
        <v>50</v>
      </c>
      <c r="J29" s="76" t="s">
        <v>49</v>
      </c>
      <c r="K29" s="75" t="s">
        <v>48</v>
      </c>
      <c r="L29" s="23" t="s">
        <v>10</v>
      </c>
      <c r="M29" s="24" t="s">
        <v>50</v>
      </c>
      <c r="N29" s="76" t="s">
        <v>49</v>
      </c>
      <c r="O29" s="75" t="s">
        <v>48</v>
      </c>
      <c r="P29" s="23" t="s">
        <v>10</v>
      </c>
      <c r="Q29" s="24" t="s">
        <v>50</v>
      </c>
      <c r="R29" s="76" t="s">
        <v>49</v>
      </c>
      <c r="S29" s="75" t="s">
        <v>48</v>
      </c>
      <c r="T29" s="23" t="s">
        <v>10</v>
      </c>
      <c r="U29" s="24" t="s">
        <v>50</v>
      </c>
      <c r="V29" s="76" t="s">
        <v>49</v>
      </c>
      <c r="W29" s="75" t="s">
        <v>48</v>
      </c>
      <c r="X29" s="23" t="s">
        <v>10</v>
      </c>
      <c r="Y29" s="24" t="s">
        <v>50</v>
      </c>
      <c r="Z29" s="76" t="s">
        <v>49</v>
      </c>
      <c r="AA29" s="75" t="s">
        <v>48</v>
      </c>
      <c r="AB29" s="23" t="s">
        <v>10</v>
      </c>
      <c r="AC29" s="24" t="s">
        <v>50</v>
      </c>
      <c r="AD29" s="76" t="s">
        <v>49</v>
      </c>
      <c r="AE29" s="75" t="s">
        <v>48</v>
      </c>
      <c r="AF29" s="23" t="s">
        <v>10</v>
      </c>
      <c r="AG29" s="24" t="s">
        <v>50</v>
      </c>
      <c r="AH29" s="76" t="s">
        <v>49</v>
      </c>
      <c r="AI29" s="75" t="s">
        <v>48</v>
      </c>
      <c r="AJ29" s="23" t="s">
        <v>10</v>
      </c>
      <c r="AK29" s="24" t="s">
        <v>50</v>
      </c>
      <c r="AL29" s="76" t="s">
        <v>49</v>
      </c>
      <c r="AM29" s="75" t="s">
        <v>48</v>
      </c>
      <c r="AN29" s="23" t="s">
        <v>10</v>
      </c>
      <c r="AO29" s="24" t="s">
        <v>50</v>
      </c>
      <c r="AP29" s="76" t="s">
        <v>49</v>
      </c>
    </row>
    <row r="30" spans="2:43" ht="12.75">
      <c r="B30" s="89" t="s">
        <v>65</v>
      </c>
      <c r="C30" s="77">
        <v>0.29166666666666674</v>
      </c>
      <c r="D30" s="26">
        <v>0.044730374357473186</v>
      </c>
      <c r="E30" s="27">
        <v>123.51560630593795</v>
      </c>
      <c r="F30" s="78">
        <v>24.00338301546775</v>
      </c>
      <c r="G30" s="77">
        <v>1.541388888888891</v>
      </c>
      <c r="H30" s="26">
        <v>0.046177574520776546</v>
      </c>
      <c r="I30" s="27">
        <v>7793.609219468253</v>
      </c>
      <c r="J30" s="78">
        <v>15.082353921879012</v>
      </c>
      <c r="K30" s="77">
        <v>1.574722222222224</v>
      </c>
      <c r="L30" s="26">
        <v>0.04621276530796258</v>
      </c>
      <c r="M30" s="27">
        <v>7905.706457471652</v>
      </c>
      <c r="N30" s="78">
        <v>14.765937526550719</v>
      </c>
      <c r="O30" s="77">
        <v>3.9456944444444444</v>
      </c>
      <c r="P30" s="26">
        <v>0.055132432491300384</v>
      </c>
      <c r="Q30" s="27">
        <v>722052.8851178007</v>
      </c>
      <c r="R30" s="78">
        <v>10.136026598044769</v>
      </c>
      <c r="S30" s="77">
        <v>3.9456944444444444</v>
      </c>
      <c r="T30" s="26">
        <v>0.055132432491300384</v>
      </c>
      <c r="U30" s="27">
        <v>722052.8851178007</v>
      </c>
      <c r="V30" s="78">
        <v>10.136026598044769</v>
      </c>
      <c r="W30" s="77">
        <v>5.931111111111118</v>
      </c>
      <c r="X30" s="26">
        <v>0.057583352595942446</v>
      </c>
      <c r="Y30" s="27">
        <v>1866735.0268679783</v>
      </c>
      <c r="Z30" s="78">
        <v>10.096106121502501</v>
      </c>
      <c r="AA30" s="77">
        <v>6.249305555555559</v>
      </c>
      <c r="AB30" s="26">
        <v>0.05793288266706668</v>
      </c>
      <c r="AC30" s="27">
        <v>2095825.577281926</v>
      </c>
      <c r="AD30" s="78">
        <v>10.579250915495123</v>
      </c>
      <c r="AE30" s="77">
        <v>16.965833333333347</v>
      </c>
      <c r="AF30" s="26">
        <v>0.07584017557948465</v>
      </c>
      <c r="AG30" s="27">
        <v>3644718.7037805</v>
      </c>
      <c r="AH30" s="78">
        <v>5.408269181265392</v>
      </c>
      <c r="AI30" s="77">
        <v>17.016666666666694</v>
      </c>
      <c r="AJ30" s="26">
        <v>0.07627650710496452</v>
      </c>
      <c r="AK30" s="27">
        <v>10956196.224073382</v>
      </c>
      <c r="AL30" s="78">
        <v>17.338837645959504</v>
      </c>
      <c r="AM30" s="77">
        <v>34.399999999999906</v>
      </c>
      <c r="AN30" s="26">
        <v>0.11628177347229904</v>
      </c>
      <c r="AO30" s="27">
        <v>19025575.726376686</v>
      </c>
      <c r="AP30" s="78">
        <v>5.112222638466367</v>
      </c>
      <c r="AQ30">
        <v>3</v>
      </c>
    </row>
    <row r="31" spans="2:42" ht="12.75">
      <c r="B31" s="89" t="s">
        <v>64</v>
      </c>
      <c r="C31" s="77">
        <v>0.25</v>
      </c>
      <c r="D31" s="26">
        <v>0.024803586462575078</v>
      </c>
      <c r="E31" s="27">
        <v>36.67883919216682</v>
      </c>
      <c r="F31" s="78">
        <v>23.894293564560652</v>
      </c>
      <c r="G31" s="77">
        <v>1.2916666666666667</v>
      </c>
      <c r="H31" s="26">
        <v>0.026283614347253792</v>
      </c>
      <c r="I31" s="27">
        <v>36.67883919216682</v>
      </c>
      <c r="J31" s="78">
        <v>12.779769950199826</v>
      </c>
      <c r="K31" s="77">
        <v>1.2916666666666667</v>
      </c>
      <c r="L31" s="26">
        <v>0.026319507712645795</v>
      </c>
      <c r="M31" s="27">
        <v>36.67883919216682</v>
      </c>
      <c r="N31" s="78">
        <v>12.777778694437504</v>
      </c>
      <c r="O31" s="77">
        <v>2.9583333333333313</v>
      </c>
      <c r="P31" s="26">
        <v>0.02818710085439019</v>
      </c>
      <c r="Q31" s="27">
        <v>36.67883919216682</v>
      </c>
      <c r="R31" s="78">
        <v>11.11111111111111</v>
      </c>
      <c r="S31" s="77">
        <v>2.9583333333333313</v>
      </c>
      <c r="T31" s="26">
        <v>0.02818710085439019</v>
      </c>
      <c r="U31" s="27">
        <v>36.67883919216682</v>
      </c>
      <c r="V31" s="78">
        <v>11.11111111111111</v>
      </c>
      <c r="W31" s="77">
        <v>4.916666666666667</v>
      </c>
      <c r="X31" s="26">
        <v>0.029921554313281196</v>
      </c>
      <c r="Y31" s="27">
        <v>36.67883919216682</v>
      </c>
      <c r="Z31" s="78">
        <v>11.111104891647564</v>
      </c>
      <c r="AA31" s="77">
        <v>5.1875</v>
      </c>
      <c r="AB31" s="26">
        <v>0.030297305891162862</v>
      </c>
      <c r="AC31" s="27">
        <v>36.67883919216682</v>
      </c>
      <c r="AD31" s="78">
        <v>11.110062977880032</v>
      </c>
      <c r="AE31" s="77">
        <v>14.1666666666666</v>
      </c>
      <c r="AF31" s="26">
        <v>0.03848871332997916</v>
      </c>
      <c r="AG31" s="27">
        <v>36.67883919216682</v>
      </c>
      <c r="AH31" s="78">
        <v>4.444444444444447</v>
      </c>
      <c r="AI31" s="77">
        <v>14.1666666666666</v>
      </c>
      <c r="AJ31" s="26">
        <v>0.03873737020764256</v>
      </c>
      <c r="AK31" s="27">
        <v>36.67883919216682</v>
      </c>
      <c r="AL31" s="78">
        <v>16.736622731921152</v>
      </c>
      <c r="AM31" s="77">
        <v>32.39583333333367</v>
      </c>
      <c r="AN31" s="26">
        <v>0.061562735262370494</v>
      </c>
      <c r="AO31" s="27">
        <v>36.67883919216682</v>
      </c>
      <c r="AP31" s="78">
        <v>4.444444444444445</v>
      </c>
    </row>
    <row r="32" spans="2:42" ht="12.75">
      <c r="B32" s="89" t="s">
        <v>66</v>
      </c>
      <c r="C32" s="77">
        <v>0.15556683613607464</v>
      </c>
      <c r="D32" s="26">
        <v>0.13669976154769778</v>
      </c>
      <c r="E32" s="27">
        <v>289.931078714101</v>
      </c>
      <c r="F32" s="78">
        <v>5.796069347835712</v>
      </c>
      <c r="G32" s="77">
        <v>0.8521904452996837</v>
      </c>
      <c r="H32" s="26">
        <v>0.13649912884214804</v>
      </c>
      <c r="I32" s="27">
        <v>128645.37428010289</v>
      </c>
      <c r="J32" s="78">
        <v>5.699040184378581</v>
      </c>
      <c r="K32" s="77">
        <v>0.8609525183311562</v>
      </c>
      <c r="L32" s="26">
        <v>0.13649419948384112</v>
      </c>
      <c r="M32" s="27">
        <v>128714.54354594222</v>
      </c>
      <c r="N32" s="78">
        <v>5.882362163132268</v>
      </c>
      <c r="O32" s="77">
        <v>2.868307687523634</v>
      </c>
      <c r="P32" s="26">
        <v>0.15672776588096235</v>
      </c>
      <c r="Q32" s="27">
        <v>12343854.653546294</v>
      </c>
      <c r="R32" s="78">
        <v>3.7200483575421175</v>
      </c>
      <c r="S32" s="77">
        <v>2.868307687523634</v>
      </c>
      <c r="T32" s="26">
        <v>0.15672776588096235</v>
      </c>
      <c r="U32" s="27">
        <v>12343854.653546294</v>
      </c>
      <c r="V32" s="78">
        <v>3.7200483575421175</v>
      </c>
      <c r="W32" s="77">
        <v>3.7121760452539747</v>
      </c>
      <c r="X32" s="26">
        <v>0.15647999556684877</v>
      </c>
      <c r="Y32" s="27">
        <v>25164525.61047178</v>
      </c>
      <c r="Z32" s="78">
        <v>3.2848140160495634</v>
      </c>
      <c r="AA32" s="77">
        <v>3.7122362409907024</v>
      </c>
      <c r="AB32" s="26">
        <v>0.15643549456627115</v>
      </c>
      <c r="AC32" s="27">
        <v>28221279.998402655</v>
      </c>
      <c r="AD32" s="78">
        <v>2.9265099061601205</v>
      </c>
      <c r="AE32" s="77">
        <v>8.73878823286692</v>
      </c>
      <c r="AF32" s="26">
        <v>0.1734737930187338</v>
      </c>
      <c r="AG32" s="27">
        <v>47174509.42893145</v>
      </c>
      <c r="AH32" s="78">
        <v>2.058956872566843</v>
      </c>
      <c r="AI32" s="77">
        <v>8.746684087948672</v>
      </c>
      <c r="AJ32" s="26">
        <v>0.17340388463524578</v>
      </c>
      <c r="AK32" s="27">
        <v>143339699.88499716</v>
      </c>
      <c r="AL32" s="78">
        <v>8.43331016330942</v>
      </c>
      <c r="AM32" s="77">
        <v>13.369581267569682</v>
      </c>
      <c r="AN32" s="26">
        <v>0.20344399294635301</v>
      </c>
      <c r="AO32" s="27">
        <v>251142979.27687156</v>
      </c>
      <c r="AP32" s="78">
        <v>1.404263615580661</v>
      </c>
    </row>
    <row r="33" spans="2:42" ht="12.75">
      <c r="B33" s="89" t="s">
        <v>51</v>
      </c>
      <c r="C33" s="77">
        <v>0.08333333333333333</v>
      </c>
      <c r="D33" s="26">
        <v>0.02430608487043351</v>
      </c>
      <c r="E33" s="28">
        <v>4.35629492607822</v>
      </c>
      <c r="F33" s="78">
        <v>15.556665331616417</v>
      </c>
      <c r="G33" s="77">
        <v>0.25</v>
      </c>
      <c r="H33" s="26">
        <v>0.02475961227217991</v>
      </c>
      <c r="I33" s="27">
        <v>4.35629492607822</v>
      </c>
      <c r="J33" s="78">
        <v>7.222222222222222</v>
      </c>
      <c r="K33" s="77">
        <v>0.25</v>
      </c>
      <c r="L33" s="26">
        <v>0.02475961227217991</v>
      </c>
      <c r="M33" s="27">
        <v>4.35629492607822</v>
      </c>
      <c r="N33" s="78">
        <v>7.222222222222222</v>
      </c>
      <c r="O33" s="77">
        <v>1.375</v>
      </c>
      <c r="P33" s="26">
        <v>0.025748849634092918</v>
      </c>
      <c r="Q33" s="27">
        <v>4.35629492607822</v>
      </c>
      <c r="R33" s="78">
        <v>5.833333333333333</v>
      </c>
      <c r="S33" s="77">
        <v>1.375</v>
      </c>
      <c r="T33" s="26">
        <v>0.025748849634092918</v>
      </c>
      <c r="U33" s="27">
        <v>4.35629492607822</v>
      </c>
      <c r="V33" s="78">
        <v>5.833333333333333</v>
      </c>
      <c r="W33" s="77">
        <v>1.9166666666666679</v>
      </c>
      <c r="X33" s="26">
        <v>0.026260617794742574</v>
      </c>
      <c r="Y33" s="27">
        <v>4.35629492607822</v>
      </c>
      <c r="Z33" s="78">
        <v>5.833333333333333</v>
      </c>
      <c r="AA33" s="77">
        <v>2.291666666666667</v>
      </c>
      <c r="AB33" s="26">
        <v>0.02657108979881469</v>
      </c>
      <c r="AC33" s="27">
        <v>4.35629492607822</v>
      </c>
      <c r="AD33" s="78">
        <v>5.846165337633814</v>
      </c>
      <c r="AE33" s="77">
        <v>5.0270833333333345</v>
      </c>
      <c r="AF33" s="26">
        <v>0.029323861225957048</v>
      </c>
      <c r="AG33" s="27">
        <v>4.35629492607822</v>
      </c>
      <c r="AH33" s="78">
        <v>4.444444444444445</v>
      </c>
      <c r="AI33" s="77">
        <v>5.10625</v>
      </c>
      <c r="AJ33" s="26">
        <v>0.02955452209005749</v>
      </c>
      <c r="AK33" s="27">
        <v>4.35629492607822</v>
      </c>
      <c r="AL33" s="78">
        <v>4.444444444444445</v>
      </c>
      <c r="AM33" s="77">
        <v>14.491666666666596</v>
      </c>
      <c r="AN33" s="26">
        <v>0.03686968457752853</v>
      </c>
      <c r="AO33" s="27">
        <v>4.35629492607822</v>
      </c>
      <c r="AP33" s="78">
        <v>4.444444444444445</v>
      </c>
    </row>
    <row r="34" spans="2:42" ht="13.5" thickBot="1">
      <c r="B34" s="90" t="s">
        <v>52</v>
      </c>
      <c r="C34" s="79">
        <v>0.5416666666666666</v>
      </c>
      <c r="D34" s="80">
        <v>0.028952892780258283</v>
      </c>
      <c r="E34" s="83">
        <v>746.5859139080335</v>
      </c>
      <c r="F34" s="82">
        <v>32.36467719135682</v>
      </c>
      <c r="G34" s="79">
        <v>2.541666666666666</v>
      </c>
      <c r="H34" s="80">
        <v>0.030771534280143575</v>
      </c>
      <c r="I34" s="81">
        <v>746.5859139080335</v>
      </c>
      <c r="J34" s="82">
        <v>24.842798675417608</v>
      </c>
      <c r="K34" s="79">
        <v>2.541666666666666</v>
      </c>
      <c r="L34" s="80">
        <v>0.030771534280143575</v>
      </c>
      <c r="M34" s="81">
        <v>746.5859139080335</v>
      </c>
      <c r="N34" s="82">
        <v>26.1167423888772</v>
      </c>
      <c r="O34" s="79">
        <v>9.835416666666672</v>
      </c>
      <c r="P34" s="80">
        <v>0.040089371522699285</v>
      </c>
      <c r="Q34" s="81">
        <v>746.5859139080335</v>
      </c>
      <c r="R34" s="82">
        <v>19.722155740979268</v>
      </c>
      <c r="S34" s="79">
        <v>9.835416666666672</v>
      </c>
      <c r="T34" s="80">
        <v>0.040089371522699285</v>
      </c>
      <c r="U34" s="81">
        <v>746.5859139080335</v>
      </c>
      <c r="V34" s="82">
        <v>19.722155740979268</v>
      </c>
      <c r="W34" s="79">
        <v>12.916666666666618</v>
      </c>
      <c r="X34" s="80">
        <v>0.04666432456522017</v>
      </c>
      <c r="Y34" s="81">
        <v>746.5859139080335</v>
      </c>
      <c r="Z34" s="82">
        <v>17.273083829472196</v>
      </c>
      <c r="AA34" s="79">
        <v>13.168749999999948</v>
      </c>
      <c r="AB34" s="80">
        <v>0.04724450549031062</v>
      </c>
      <c r="AC34" s="81">
        <v>746.5859139080335</v>
      </c>
      <c r="AD34" s="82">
        <v>16.119020467062494</v>
      </c>
      <c r="AE34" s="79">
        <v>33.88750000000026</v>
      </c>
      <c r="AF34" s="80">
        <v>0.09287324185926062</v>
      </c>
      <c r="AG34" s="81">
        <v>746.5859139080335</v>
      </c>
      <c r="AH34" s="82">
        <v>9.444444444444445</v>
      </c>
      <c r="AI34" s="79">
        <v>34.01041666666692</v>
      </c>
      <c r="AJ34" s="80">
        <v>0.0928990185215226</v>
      </c>
      <c r="AK34" s="81">
        <v>746.5859139080335</v>
      </c>
      <c r="AL34" s="82">
        <v>30.865146998230454</v>
      </c>
      <c r="AM34" s="79">
        <v>56.25833333333232</v>
      </c>
      <c r="AN34" s="80">
        <v>0.4645109163750181</v>
      </c>
      <c r="AO34" s="81">
        <v>746.5859139080335</v>
      </c>
      <c r="AP34" s="82">
        <v>7.777777777777778</v>
      </c>
    </row>
    <row r="35" ht="13.5" thickBot="1">
      <c r="AO35" s="119"/>
    </row>
    <row r="36" spans="2:42" ht="12.75">
      <c r="B36" s="97" t="s">
        <v>96</v>
      </c>
      <c r="C36" s="91" t="s">
        <v>13</v>
      </c>
      <c r="D36" s="92"/>
      <c r="E36" s="92"/>
      <c r="F36" s="93"/>
      <c r="G36" s="91" t="s">
        <v>58</v>
      </c>
      <c r="H36" s="92"/>
      <c r="I36" s="92"/>
      <c r="J36" s="93"/>
      <c r="K36" s="91" t="s">
        <v>16</v>
      </c>
      <c r="L36" s="92"/>
      <c r="M36" s="92"/>
      <c r="N36" s="93"/>
      <c r="O36" s="91" t="s">
        <v>57</v>
      </c>
      <c r="P36" s="92"/>
      <c r="Q36" s="92"/>
      <c r="R36" s="93"/>
      <c r="S36" s="91" t="s">
        <v>56</v>
      </c>
      <c r="T36" s="92"/>
      <c r="U36" s="92"/>
      <c r="V36" s="93"/>
      <c r="W36" s="91" t="s">
        <v>55</v>
      </c>
      <c r="X36" s="92"/>
      <c r="Y36" s="92"/>
      <c r="Z36" s="93"/>
      <c r="AA36" s="91" t="s">
        <v>54</v>
      </c>
      <c r="AB36" s="92"/>
      <c r="AC36" s="92"/>
      <c r="AD36" s="93"/>
      <c r="AE36" s="91" t="s">
        <v>53</v>
      </c>
      <c r="AF36" s="92"/>
      <c r="AG36" s="92"/>
      <c r="AH36" s="93"/>
      <c r="AI36" s="91" t="s">
        <v>59</v>
      </c>
      <c r="AJ36" s="92"/>
      <c r="AK36" s="92"/>
      <c r="AL36" s="93"/>
      <c r="AM36" s="91" t="s">
        <v>46</v>
      </c>
      <c r="AN36" s="92"/>
      <c r="AO36" s="92"/>
      <c r="AP36" s="93"/>
    </row>
    <row r="37" spans="2:42" ht="12.75">
      <c r="B37" s="98"/>
      <c r="C37" s="75" t="s">
        <v>48</v>
      </c>
      <c r="D37" s="23" t="s">
        <v>10</v>
      </c>
      <c r="E37" s="29" t="s">
        <v>50</v>
      </c>
      <c r="F37" s="76" t="s">
        <v>49</v>
      </c>
      <c r="G37" s="75" t="s">
        <v>48</v>
      </c>
      <c r="H37" s="23" t="s">
        <v>10</v>
      </c>
      <c r="I37" s="24" t="s">
        <v>50</v>
      </c>
      <c r="J37" s="76" t="s">
        <v>49</v>
      </c>
      <c r="K37" s="75" t="s">
        <v>48</v>
      </c>
      <c r="L37" s="23" t="s">
        <v>10</v>
      </c>
      <c r="M37" s="24" t="s">
        <v>50</v>
      </c>
      <c r="N37" s="76" t="s">
        <v>49</v>
      </c>
      <c r="O37" s="75" t="s">
        <v>48</v>
      </c>
      <c r="P37" s="23" t="s">
        <v>10</v>
      </c>
      <c r="Q37" s="24" t="s">
        <v>50</v>
      </c>
      <c r="R37" s="76" t="s">
        <v>49</v>
      </c>
      <c r="S37" s="75" t="s">
        <v>48</v>
      </c>
      <c r="T37" s="23" t="s">
        <v>10</v>
      </c>
      <c r="U37" s="24" t="s">
        <v>50</v>
      </c>
      <c r="V37" s="76" t="s">
        <v>49</v>
      </c>
      <c r="W37" s="75" t="s">
        <v>48</v>
      </c>
      <c r="X37" s="23" t="s">
        <v>10</v>
      </c>
      <c r="Y37" s="24" t="s">
        <v>50</v>
      </c>
      <c r="Z37" s="76" t="s">
        <v>49</v>
      </c>
      <c r="AA37" s="75" t="s">
        <v>48</v>
      </c>
      <c r="AB37" s="23" t="s">
        <v>10</v>
      </c>
      <c r="AC37" s="24" t="s">
        <v>50</v>
      </c>
      <c r="AD37" s="76" t="s">
        <v>49</v>
      </c>
      <c r="AE37" s="75" t="s">
        <v>48</v>
      </c>
      <c r="AF37" s="23" t="s">
        <v>10</v>
      </c>
      <c r="AG37" s="24" t="s">
        <v>50</v>
      </c>
      <c r="AH37" s="76" t="s">
        <v>49</v>
      </c>
      <c r="AI37" s="75" t="s">
        <v>48</v>
      </c>
      <c r="AJ37" s="23" t="s">
        <v>10</v>
      </c>
      <c r="AK37" s="24" t="s">
        <v>50</v>
      </c>
      <c r="AL37" s="76" t="s">
        <v>49</v>
      </c>
      <c r="AM37" s="75" t="s">
        <v>48</v>
      </c>
      <c r="AN37" s="23" t="s">
        <v>10</v>
      </c>
      <c r="AO37" s="24" t="s">
        <v>50</v>
      </c>
      <c r="AP37" s="76" t="s">
        <v>49</v>
      </c>
    </row>
    <row r="38" spans="2:43" ht="12.75">
      <c r="B38" s="89" t="s">
        <v>65</v>
      </c>
      <c r="C38" s="77">
        <v>0.29166666666666674</v>
      </c>
      <c r="D38" s="26">
        <v>0.044730374357473186</v>
      </c>
      <c r="E38" s="27">
        <v>123.94845208044867</v>
      </c>
      <c r="F38" s="78">
        <v>24.00338301546775</v>
      </c>
      <c r="G38" s="77">
        <v>1.541388888888891</v>
      </c>
      <c r="H38" s="26">
        <v>0.046177574520776546</v>
      </c>
      <c r="I38" s="27">
        <v>7798.324468362268</v>
      </c>
      <c r="J38" s="78">
        <v>15.082353921879012</v>
      </c>
      <c r="K38" s="77">
        <v>1.574722222222224</v>
      </c>
      <c r="L38" s="26">
        <v>0.04621276530796258</v>
      </c>
      <c r="M38" s="27">
        <v>7910.565144308067</v>
      </c>
      <c r="N38" s="78">
        <v>14.765937526550719</v>
      </c>
      <c r="O38" s="77">
        <v>3.9456944444444444</v>
      </c>
      <c r="P38" s="26">
        <v>0.055132432491300384</v>
      </c>
      <c r="Q38" s="27">
        <v>722084.8521807106</v>
      </c>
      <c r="R38" s="78">
        <v>10.136026598044769</v>
      </c>
      <c r="S38" s="77">
        <v>3.9456944444444444</v>
      </c>
      <c r="T38" s="26">
        <v>0.055132432491300384</v>
      </c>
      <c r="U38" s="27">
        <v>722084.8521807106</v>
      </c>
      <c r="V38" s="78">
        <v>10.136026598044769</v>
      </c>
      <c r="W38" s="77">
        <v>5.931111111111118</v>
      </c>
      <c r="X38" s="26">
        <v>0.057583352595942446</v>
      </c>
      <c r="Y38" s="27">
        <v>1866789.5039951727</v>
      </c>
      <c r="Z38" s="78">
        <v>10.096106121502501</v>
      </c>
      <c r="AA38" s="77">
        <v>6.249305555555559</v>
      </c>
      <c r="AB38" s="26">
        <v>0.05793288266706668</v>
      </c>
      <c r="AC38" s="27">
        <v>2095896.2281599895</v>
      </c>
      <c r="AD38" s="78">
        <v>10.579250915495123</v>
      </c>
      <c r="AE38" s="77">
        <v>16.965833333333347</v>
      </c>
      <c r="AF38" s="26">
        <v>0.07584017557948465</v>
      </c>
      <c r="AG38" s="27">
        <v>3644894.091836331</v>
      </c>
      <c r="AH38" s="78">
        <v>5.408269181265392</v>
      </c>
      <c r="AI38" s="77">
        <v>17.016666666666694</v>
      </c>
      <c r="AJ38" s="26">
        <v>0.07627650710496452</v>
      </c>
      <c r="AK38" s="27">
        <v>10956408.078455402</v>
      </c>
      <c r="AL38" s="78">
        <v>17.338837645959504</v>
      </c>
      <c r="AM38" s="77">
        <v>34.399999999999906</v>
      </c>
      <c r="AN38" s="26">
        <v>0.11628177347229904</v>
      </c>
      <c r="AO38" s="27">
        <v>19025953.684633248</v>
      </c>
      <c r="AP38" s="78">
        <v>5.112222638466367</v>
      </c>
      <c r="AQ38">
        <v>4</v>
      </c>
    </row>
    <row r="39" spans="2:42" ht="12.75">
      <c r="B39" s="89" t="s">
        <v>64</v>
      </c>
      <c r="C39" s="77">
        <v>0.25</v>
      </c>
      <c r="D39" s="26">
        <v>0.024803586462575078</v>
      </c>
      <c r="E39" s="27">
        <v>36.75040968713069</v>
      </c>
      <c r="F39" s="78">
        <v>23.894293564560652</v>
      </c>
      <c r="G39" s="77">
        <v>1.2916666666666667</v>
      </c>
      <c r="H39" s="26">
        <v>0.026283614347253792</v>
      </c>
      <c r="I39" s="27">
        <v>37.14878711714667</v>
      </c>
      <c r="J39" s="78">
        <v>12.779769950199826</v>
      </c>
      <c r="K39" s="77">
        <v>1.2916666666666667</v>
      </c>
      <c r="L39" s="26">
        <v>0.026319507712645795</v>
      </c>
      <c r="M39" s="27">
        <v>37.14878711714667</v>
      </c>
      <c r="N39" s="78">
        <v>12.777778694437504</v>
      </c>
      <c r="O39" s="77">
        <v>2.9583333333333313</v>
      </c>
      <c r="P39" s="26">
        <v>0.02818710085439019</v>
      </c>
      <c r="Q39" s="27">
        <v>40.291664055916684</v>
      </c>
      <c r="R39" s="78">
        <v>11.11111111111111</v>
      </c>
      <c r="S39" s="77">
        <v>2.9583333333333313</v>
      </c>
      <c r="T39" s="26">
        <v>0.02818710085439019</v>
      </c>
      <c r="U39" s="27">
        <v>40.291664055916684</v>
      </c>
      <c r="V39" s="78">
        <v>11.11111111111111</v>
      </c>
      <c r="W39" s="77">
        <v>4.916666666666667</v>
      </c>
      <c r="X39" s="26">
        <v>0.029921554313281196</v>
      </c>
      <c r="Y39" s="27">
        <v>49.11901504057356</v>
      </c>
      <c r="Z39" s="78">
        <v>11.111104891647564</v>
      </c>
      <c r="AA39" s="77">
        <v>5.1875</v>
      </c>
      <c r="AB39" s="26">
        <v>0.030297305891162862</v>
      </c>
      <c r="AC39" s="27">
        <v>50.82780348788619</v>
      </c>
      <c r="AD39" s="78">
        <v>11.110062977880032</v>
      </c>
      <c r="AE39" s="77">
        <v>14.1666666666666</v>
      </c>
      <c r="AF39" s="26">
        <v>0.03848871332997916</v>
      </c>
      <c r="AG39" s="27">
        <v>53.16515807367021</v>
      </c>
      <c r="AH39" s="78">
        <v>4.444444444444447</v>
      </c>
      <c r="AI39" s="77">
        <v>14.1666666666666</v>
      </c>
      <c r="AJ39" s="26">
        <v>0.03873737020764256</v>
      </c>
      <c r="AK39" s="27">
        <v>53.46305540648657</v>
      </c>
      <c r="AL39" s="78">
        <v>16.736622731921152</v>
      </c>
      <c r="AM39" s="77">
        <v>32.39583333333367</v>
      </c>
      <c r="AN39" s="26">
        <v>0.061562735262370494</v>
      </c>
      <c r="AO39" s="27">
        <v>55.90055833410019</v>
      </c>
      <c r="AP39" s="78">
        <v>4.444444444444445</v>
      </c>
    </row>
    <row r="40" spans="2:42" ht="12.75">
      <c r="B40" s="89" t="s">
        <v>66</v>
      </c>
      <c r="C40" s="77">
        <v>0.15556683613607464</v>
      </c>
      <c r="D40" s="26">
        <v>0.13669976154769778</v>
      </c>
      <c r="E40" s="27">
        <v>290.7145452260111</v>
      </c>
      <c r="F40" s="78">
        <v>5.796069347835712</v>
      </c>
      <c r="G40" s="77">
        <v>0.8521904452996837</v>
      </c>
      <c r="H40" s="26">
        <v>0.13649912884214804</v>
      </c>
      <c r="I40" s="27">
        <v>128645.11233261475</v>
      </c>
      <c r="J40" s="78">
        <v>5.699040184378581</v>
      </c>
      <c r="K40" s="77">
        <v>0.8609525183311562</v>
      </c>
      <c r="L40" s="26">
        <v>0.13649419948384112</v>
      </c>
      <c r="M40" s="27">
        <v>128714.26976423505</v>
      </c>
      <c r="N40" s="78">
        <v>5.882362163132268</v>
      </c>
      <c r="O40" s="77">
        <v>2.868307687523634</v>
      </c>
      <c r="P40" s="26">
        <v>0.15672776588096235</v>
      </c>
      <c r="Q40" s="27">
        <v>12343852.780655297</v>
      </c>
      <c r="R40" s="78">
        <v>3.7200483575421175</v>
      </c>
      <c r="S40" s="77">
        <v>2.868307687523634</v>
      </c>
      <c r="T40" s="26">
        <v>0.15672776588096235</v>
      </c>
      <c r="U40" s="27">
        <v>12343852.780655297</v>
      </c>
      <c r="V40" s="78">
        <v>3.7200483575421175</v>
      </c>
      <c r="W40" s="77">
        <v>3.7121760452539747</v>
      </c>
      <c r="X40" s="26">
        <v>0.15647999556684877</v>
      </c>
      <c r="Y40" s="27">
        <v>25164521.558892727</v>
      </c>
      <c r="Z40" s="78">
        <v>3.2848140160495634</v>
      </c>
      <c r="AA40" s="77">
        <v>3.7122362409907024</v>
      </c>
      <c r="AB40" s="26">
        <v>0.15643549456627115</v>
      </c>
      <c r="AC40" s="27">
        <v>28221274.742913425</v>
      </c>
      <c r="AD40" s="78">
        <v>2.9265099061601205</v>
      </c>
      <c r="AE40" s="77">
        <v>8.73878823286692</v>
      </c>
      <c r="AF40" s="26">
        <v>0.1734737930187338</v>
      </c>
      <c r="AG40" s="27">
        <v>47174495.87252311</v>
      </c>
      <c r="AH40" s="78">
        <v>2.058956872566843</v>
      </c>
      <c r="AI40" s="77">
        <v>8.746684087948672</v>
      </c>
      <c r="AJ40" s="26">
        <v>0.17340388463524578</v>
      </c>
      <c r="AK40" s="27">
        <v>143339683.66279826</v>
      </c>
      <c r="AL40" s="78">
        <v>8.43331016330942</v>
      </c>
      <c r="AM40" s="77">
        <v>13.369581267569682</v>
      </c>
      <c r="AN40" s="26">
        <v>0.20344399294635301</v>
      </c>
      <c r="AO40" s="27">
        <v>251142950.61940044</v>
      </c>
      <c r="AP40" s="78">
        <v>1.404263615580661</v>
      </c>
    </row>
    <row r="41" spans="2:42" ht="12.75">
      <c r="B41" s="89" t="s">
        <v>51</v>
      </c>
      <c r="C41" s="77">
        <v>0.08333333333333333</v>
      </c>
      <c r="D41" s="26">
        <v>0.02430608487043351</v>
      </c>
      <c r="E41" s="28">
        <v>4.402056942933647</v>
      </c>
      <c r="F41" s="78">
        <v>15.556665331616417</v>
      </c>
      <c r="G41" s="77">
        <v>0.25</v>
      </c>
      <c r="H41" s="26">
        <v>0.02475961227217991</v>
      </c>
      <c r="I41" s="27">
        <v>4.845510273598489</v>
      </c>
      <c r="J41" s="78">
        <v>7.222222222222222</v>
      </c>
      <c r="K41" s="77">
        <v>0.25</v>
      </c>
      <c r="L41" s="26">
        <v>0.02475961227217991</v>
      </c>
      <c r="M41" s="27">
        <v>4.845510273598489</v>
      </c>
      <c r="N41" s="78">
        <v>7.222222222222222</v>
      </c>
      <c r="O41" s="77">
        <v>1.375</v>
      </c>
      <c r="P41" s="26">
        <v>0.025748849634092918</v>
      </c>
      <c r="Q41" s="27">
        <v>5.179770612417411</v>
      </c>
      <c r="R41" s="78">
        <v>5.833333333333333</v>
      </c>
      <c r="S41" s="77">
        <v>1.375</v>
      </c>
      <c r="T41" s="26">
        <v>0.025748849634092918</v>
      </c>
      <c r="U41" s="27">
        <v>5.179770612417411</v>
      </c>
      <c r="V41" s="78">
        <v>5.833333333333333</v>
      </c>
      <c r="W41" s="77">
        <v>1.9166666666666679</v>
      </c>
      <c r="X41" s="26">
        <v>0.026260617794742574</v>
      </c>
      <c r="Y41" s="27">
        <v>6.077183853943065</v>
      </c>
      <c r="Z41" s="78">
        <v>5.833333333333333</v>
      </c>
      <c r="AA41" s="77">
        <v>2.291666666666667</v>
      </c>
      <c r="AB41" s="26">
        <v>0.02657108979881469</v>
      </c>
      <c r="AC41" s="27">
        <v>6.236749403032382</v>
      </c>
      <c r="AD41" s="78">
        <v>5.846165337633814</v>
      </c>
      <c r="AE41" s="77">
        <v>5.0270833333333345</v>
      </c>
      <c r="AF41" s="26">
        <v>0.029323861225957048</v>
      </c>
      <c r="AG41" s="27">
        <v>6.672204136054971</v>
      </c>
      <c r="AH41" s="78">
        <v>4.444444444444445</v>
      </c>
      <c r="AI41" s="77">
        <v>5.10625</v>
      </c>
      <c r="AJ41" s="26">
        <v>0.02955452209005749</v>
      </c>
      <c r="AK41" s="27">
        <v>7.1074563848519805</v>
      </c>
      <c r="AL41" s="78">
        <v>4.444444444444445</v>
      </c>
      <c r="AM41" s="77">
        <v>14.491666666666596</v>
      </c>
      <c r="AN41" s="26">
        <v>0.03686968457752853</v>
      </c>
      <c r="AO41" s="27">
        <v>7.296408828103001</v>
      </c>
      <c r="AP41" s="78">
        <v>4.444444444444445</v>
      </c>
    </row>
    <row r="42" spans="2:42" ht="13.5" thickBot="1">
      <c r="B42" s="90" t="s">
        <v>52</v>
      </c>
      <c r="C42" s="79">
        <v>0.5416666666666666</v>
      </c>
      <c r="D42" s="80">
        <v>0.028952892780258283</v>
      </c>
      <c r="E42" s="83">
        <v>746.7277790714212</v>
      </c>
      <c r="F42" s="82">
        <v>32.36467719135682</v>
      </c>
      <c r="G42" s="79">
        <v>2.541666666666666</v>
      </c>
      <c r="H42" s="80">
        <v>0.030771534280143575</v>
      </c>
      <c r="I42" s="81">
        <v>760.801900443112</v>
      </c>
      <c r="J42" s="82">
        <v>24.842798675417608</v>
      </c>
      <c r="K42" s="79">
        <v>2.541666666666666</v>
      </c>
      <c r="L42" s="80">
        <v>0.030771534280143575</v>
      </c>
      <c r="M42" s="81">
        <v>760.9011506054177</v>
      </c>
      <c r="N42" s="82">
        <v>26.1167423888772</v>
      </c>
      <c r="O42" s="79">
        <v>9.835416666666672</v>
      </c>
      <c r="P42" s="80">
        <v>0.040089371522699285</v>
      </c>
      <c r="Q42" s="81">
        <v>806.4270228232276</v>
      </c>
      <c r="R42" s="82">
        <v>19.722155740979268</v>
      </c>
      <c r="S42" s="79">
        <v>9.835416666666672</v>
      </c>
      <c r="T42" s="80">
        <v>0.040089371522699285</v>
      </c>
      <c r="U42" s="81">
        <v>806.4270228232276</v>
      </c>
      <c r="V42" s="82">
        <v>19.722155740979268</v>
      </c>
      <c r="W42" s="79">
        <v>12.916666666666618</v>
      </c>
      <c r="X42" s="80">
        <v>0.04666432456522017</v>
      </c>
      <c r="Y42" s="81">
        <v>880.704677261713</v>
      </c>
      <c r="Z42" s="82">
        <v>17.273083829472196</v>
      </c>
      <c r="AA42" s="79">
        <v>13.168749999999948</v>
      </c>
      <c r="AB42" s="80">
        <v>0.04724450549031062</v>
      </c>
      <c r="AC42" s="81">
        <v>961.6725710620734</v>
      </c>
      <c r="AD42" s="82">
        <v>16.119020467062494</v>
      </c>
      <c r="AE42" s="79">
        <v>33.88750000000026</v>
      </c>
      <c r="AF42" s="80">
        <v>0.09287324185926062</v>
      </c>
      <c r="AG42" s="81">
        <v>1472.720661765179</v>
      </c>
      <c r="AH42" s="82">
        <v>9.444444444444445</v>
      </c>
      <c r="AI42" s="79">
        <v>34.01041666666692</v>
      </c>
      <c r="AJ42" s="80">
        <v>0.0928990185215226</v>
      </c>
      <c r="AK42" s="81">
        <v>1872.3591558859355</v>
      </c>
      <c r="AL42" s="82">
        <v>30.865146998230454</v>
      </c>
      <c r="AM42" s="79">
        <v>56.25833333333232</v>
      </c>
      <c r="AN42" s="80">
        <v>0.4645109163750181</v>
      </c>
      <c r="AO42" s="81">
        <v>2226.8495772503857</v>
      </c>
      <c r="AP42" s="82">
        <v>7.777777777777778</v>
      </c>
    </row>
    <row r="43" ht="13.5" thickBot="1">
      <c r="AO43" s="119"/>
    </row>
    <row r="44" spans="2:42" ht="12.75">
      <c r="B44" s="97" t="s">
        <v>96</v>
      </c>
      <c r="C44" s="91" t="s">
        <v>13</v>
      </c>
      <c r="D44" s="92"/>
      <c r="E44" s="92"/>
      <c r="F44" s="93"/>
      <c r="G44" s="91" t="s">
        <v>58</v>
      </c>
      <c r="H44" s="92"/>
      <c r="I44" s="92"/>
      <c r="J44" s="93"/>
      <c r="K44" s="91" t="s">
        <v>16</v>
      </c>
      <c r="L44" s="92"/>
      <c r="M44" s="92"/>
      <c r="N44" s="93"/>
      <c r="O44" s="91" t="s">
        <v>57</v>
      </c>
      <c r="P44" s="92"/>
      <c r="Q44" s="92"/>
      <c r="R44" s="93"/>
      <c r="S44" s="91" t="s">
        <v>56</v>
      </c>
      <c r="T44" s="92"/>
      <c r="U44" s="92"/>
      <c r="V44" s="93"/>
      <c r="W44" s="91" t="s">
        <v>55</v>
      </c>
      <c r="X44" s="92"/>
      <c r="Y44" s="92"/>
      <c r="Z44" s="93"/>
      <c r="AA44" s="91" t="s">
        <v>54</v>
      </c>
      <c r="AB44" s="92"/>
      <c r="AC44" s="92"/>
      <c r="AD44" s="93"/>
      <c r="AE44" s="91" t="s">
        <v>53</v>
      </c>
      <c r="AF44" s="92"/>
      <c r="AG44" s="92"/>
      <c r="AH44" s="93"/>
      <c r="AI44" s="91" t="s">
        <v>59</v>
      </c>
      <c r="AJ44" s="92"/>
      <c r="AK44" s="92"/>
      <c r="AL44" s="93"/>
      <c r="AM44" s="91" t="s">
        <v>46</v>
      </c>
      <c r="AN44" s="92"/>
      <c r="AO44" s="92"/>
      <c r="AP44" s="93"/>
    </row>
    <row r="45" spans="2:42" ht="12.75">
      <c r="B45" s="98"/>
      <c r="C45" s="75" t="s">
        <v>48</v>
      </c>
      <c r="D45" s="23" t="s">
        <v>10</v>
      </c>
      <c r="E45" s="29" t="s">
        <v>50</v>
      </c>
      <c r="F45" s="76" t="s">
        <v>49</v>
      </c>
      <c r="G45" s="75" t="s">
        <v>48</v>
      </c>
      <c r="H45" s="23" t="s">
        <v>10</v>
      </c>
      <c r="I45" s="24" t="s">
        <v>50</v>
      </c>
      <c r="J45" s="76" t="s">
        <v>49</v>
      </c>
      <c r="K45" s="75" t="s">
        <v>48</v>
      </c>
      <c r="L45" s="23" t="s">
        <v>10</v>
      </c>
      <c r="M45" s="24" t="s">
        <v>50</v>
      </c>
      <c r="N45" s="76" t="s">
        <v>49</v>
      </c>
      <c r="O45" s="75" t="s">
        <v>48</v>
      </c>
      <c r="P45" s="23" t="s">
        <v>10</v>
      </c>
      <c r="Q45" s="24" t="s">
        <v>50</v>
      </c>
      <c r="R45" s="76" t="s">
        <v>49</v>
      </c>
      <c r="S45" s="75" t="s">
        <v>48</v>
      </c>
      <c r="T45" s="23" t="s">
        <v>10</v>
      </c>
      <c r="U45" s="24" t="s">
        <v>50</v>
      </c>
      <c r="V45" s="76" t="s">
        <v>49</v>
      </c>
      <c r="W45" s="75" t="s">
        <v>48</v>
      </c>
      <c r="X45" s="23" t="s">
        <v>10</v>
      </c>
      <c r="Y45" s="24" t="s">
        <v>50</v>
      </c>
      <c r="Z45" s="76" t="s">
        <v>49</v>
      </c>
      <c r="AA45" s="75" t="s">
        <v>48</v>
      </c>
      <c r="AB45" s="23" t="s">
        <v>10</v>
      </c>
      <c r="AC45" s="24" t="s">
        <v>50</v>
      </c>
      <c r="AD45" s="76" t="s">
        <v>49</v>
      </c>
      <c r="AE45" s="75" t="s">
        <v>48</v>
      </c>
      <c r="AF45" s="23" t="s">
        <v>10</v>
      </c>
      <c r="AG45" s="24" t="s">
        <v>50</v>
      </c>
      <c r="AH45" s="76" t="s">
        <v>49</v>
      </c>
      <c r="AI45" s="75" t="s">
        <v>48</v>
      </c>
      <c r="AJ45" s="23" t="s">
        <v>10</v>
      </c>
      <c r="AK45" s="24" t="s">
        <v>50</v>
      </c>
      <c r="AL45" s="76" t="s">
        <v>49</v>
      </c>
      <c r="AM45" s="75" t="s">
        <v>48</v>
      </c>
      <c r="AN45" s="23" t="s">
        <v>10</v>
      </c>
      <c r="AO45" s="24" t="s">
        <v>50</v>
      </c>
      <c r="AP45" s="76" t="s">
        <v>49</v>
      </c>
    </row>
    <row r="46" spans="2:43" ht="12.75">
      <c r="B46" s="89" t="s">
        <v>65</v>
      </c>
      <c r="C46" s="77">
        <v>0.29166666666666674</v>
      </c>
      <c r="D46" s="26">
        <v>0.044730374357473186</v>
      </c>
      <c r="E46" s="27">
        <v>123.51560630593795</v>
      </c>
      <c r="F46" s="78">
        <v>24.00338301546775</v>
      </c>
      <c r="G46" s="77">
        <v>1.541388888888891</v>
      </c>
      <c r="H46" s="26">
        <v>0.046177574520776546</v>
      </c>
      <c r="I46" s="27">
        <v>7793.609219468253</v>
      </c>
      <c r="J46" s="78">
        <v>15.082353921879012</v>
      </c>
      <c r="K46" s="77">
        <v>1.574722222222224</v>
      </c>
      <c r="L46" s="26">
        <v>0.04621276530796258</v>
      </c>
      <c r="M46" s="27">
        <v>7905.706457471652</v>
      </c>
      <c r="N46" s="78">
        <v>14.765937526550719</v>
      </c>
      <c r="O46" s="77">
        <v>3.9456944444444444</v>
      </c>
      <c r="P46" s="26">
        <v>0.055132432491300384</v>
      </c>
      <c r="Q46" s="27">
        <v>722052.8851178007</v>
      </c>
      <c r="R46" s="78">
        <v>10.136026598044769</v>
      </c>
      <c r="S46" s="77">
        <v>3.9456944444444444</v>
      </c>
      <c r="T46" s="26">
        <v>0.055132432491300384</v>
      </c>
      <c r="U46" s="27">
        <v>722052.8851178007</v>
      </c>
      <c r="V46" s="78">
        <v>10.136026598044769</v>
      </c>
      <c r="W46" s="77">
        <v>5.931111111111118</v>
      </c>
      <c r="X46" s="26">
        <v>0.057583352595942446</v>
      </c>
      <c r="Y46" s="27">
        <v>1866735.0268679783</v>
      </c>
      <c r="Z46" s="78">
        <v>10.096106121502501</v>
      </c>
      <c r="AA46" s="77">
        <v>6.249305555555559</v>
      </c>
      <c r="AB46" s="26">
        <v>0.05793288266706668</v>
      </c>
      <c r="AC46" s="27">
        <v>2095825.577281926</v>
      </c>
      <c r="AD46" s="78">
        <v>10.579250915495123</v>
      </c>
      <c r="AE46" s="77">
        <v>16.965833333333347</v>
      </c>
      <c r="AF46" s="26">
        <v>0.07584017557948465</v>
      </c>
      <c r="AG46" s="27">
        <v>3644718.7037805</v>
      </c>
      <c r="AH46" s="78">
        <v>5.408269181265392</v>
      </c>
      <c r="AI46" s="77">
        <v>17.016666666666694</v>
      </c>
      <c r="AJ46" s="26">
        <v>0.07627650710496452</v>
      </c>
      <c r="AK46" s="27">
        <v>10956196.224073382</v>
      </c>
      <c r="AL46" s="78">
        <v>17.338837645959504</v>
      </c>
      <c r="AM46" s="77">
        <v>34.399999999999906</v>
      </c>
      <c r="AN46" s="26">
        <v>0.11628177347229904</v>
      </c>
      <c r="AO46" s="27">
        <v>19025575.726376686</v>
      </c>
      <c r="AP46" s="78">
        <v>5.112222638466367</v>
      </c>
      <c r="AQ46">
        <v>5</v>
      </c>
    </row>
    <row r="47" spans="2:42" ht="12.75">
      <c r="B47" s="89" t="s">
        <v>64</v>
      </c>
      <c r="C47" s="77">
        <v>0.25</v>
      </c>
      <c r="D47" s="26">
        <v>0.024803586462575078</v>
      </c>
      <c r="E47" s="27">
        <v>36.67883919216682</v>
      </c>
      <c r="F47" s="78">
        <v>23.894293564560652</v>
      </c>
      <c r="G47" s="77">
        <v>1.2916666666666667</v>
      </c>
      <c r="H47" s="26">
        <v>0.026283614347253792</v>
      </c>
      <c r="I47" s="27">
        <v>36.67883919216682</v>
      </c>
      <c r="J47" s="78">
        <v>12.779769950199826</v>
      </c>
      <c r="K47" s="77">
        <v>1.2916666666666667</v>
      </c>
      <c r="L47" s="26">
        <v>0.026319507712645795</v>
      </c>
      <c r="M47" s="27">
        <v>36.67883919216682</v>
      </c>
      <c r="N47" s="78">
        <v>12.777778694437504</v>
      </c>
      <c r="O47" s="77">
        <v>2.9583333333333313</v>
      </c>
      <c r="P47" s="26">
        <v>0.02818710085439019</v>
      </c>
      <c r="Q47" s="27">
        <v>36.67883919216682</v>
      </c>
      <c r="R47" s="78">
        <v>11.11111111111111</v>
      </c>
      <c r="S47" s="77">
        <v>2.9583333333333313</v>
      </c>
      <c r="T47" s="26">
        <v>0.02818710085439019</v>
      </c>
      <c r="U47" s="27">
        <v>36.67883919216682</v>
      </c>
      <c r="V47" s="78">
        <v>11.11111111111111</v>
      </c>
      <c r="W47" s="77">
        <v>4.916666666666667</v>
      </c>
      <c r="X47" s="26">
        <v>0.029921554313281196</v>
      </c>
      <c r="Y47" s="27">
        <v>36.67883919216682</v>
      </c>
      <c r="Z47" s="78">
        <v>11.111104891647564</v>
      </c>
      <c r="AA47" s="77">
        <v>5.1875</v>
      </c>
      <c r="AB47" s="26">
        <v>0.030297305891162862</v>
      </c>
      <c r="AC47" s="27">
        <v>36.67883919216682</v>
      </c>
      <c r="AD47" s="78">
        <v>11.110062977880032</v>
      </c>
      <c r="AE47" s="77">
        <v>14.1666666666666</v>
      </c>
      <c r="AF47" s="26">
        <v>0.03848871332997916</v>
      </c>
      <c r="AG47" s="27">
        <v>36.67883919216682</v>
      </c>
      <c r="AH47" s="78">
        <v>4.444444444444447</v>
      </c>
      <c r="AI47" s="77">
        <v>14.1666666666666</v>
      </c>
      <c r="AJ47" s="26">
        <v>0.03873737020764256</v>
      </c>
      <c r="AK47" s="27">
        <v>36.67883919216682</v>
      </c>
      <c r="AL47" s="78">
        <v>16.736622731921152</v>
      </c>
      <c r="AM47" s="77">
        <v>32.39583333333367</v>
      </c>
      <c r="AN47" s="26">
        <v>0.061562735262370494</v>
      </c>
      <c r="AO47" s="27">
        <v>36.67883919216682</v>
      </c>
      <c r="AP47" s="78">
        <v>4.444444444444445</v>
      </c>
    </row>
    <row r="48" spans="2:42" ht="12.75">
      <c r="B48" s="89" t="s">
        <v>66</v>
      </c>
      <c r="C48" s="77">
        <v>0.15556683613607464</v>
      </c>
      <c r="D48" s="26">
        <v>0.13669976154769778</v>
      </c>
      <c r="E48" s="27">
        <v>289.931078714101</v>
      </c>
      <c r="F48" s="78">
        <v>5.796069347835712</v>
      </c>
      <c r="G48" s="77">
        <v>0.8521904452996837</v>
      </c>
      <c r="H48" s="26">
        <v>0.13649912884214804</v>
      </c>
      <c r="I48" s="27">
        <v>128645.37428010289</v>
      </c>
      <c r="J48" s="78">
        <v>5.699040184378581</v>
      </c>
      <c r="K48" s="77">
        <v>0.8609525183311562</v>
      </c>
      <c r="L48" s="26">
        <v>0.13649419948384112</v>
      </c>
      <c r="M48" s="27">
        <v>128714.54354594222</v>
      </c>
      <c r="N48" s="78">
        <v>5.882362163132268</v>
      </c>
      <c r="O48" s="77">
        <v>2.868307687523634</v>
      </c>
      <c r="P48" s="26">
        <v>0.15672776588096235</v>
      </c>
      <c r="Q48" s="27">
        <v>12343854.653546294</v>
      </c>
      <c r="R48" s="78">
        <v>3.7200483575421175</v>
      </c>
      <c r="S48" s="77">
        <v>2.868307687523634</v>
      </c>
      <c r="T48" s="26">
        <v>0.15672776588096235</v>
      </c>
      <c r="U48" s="27">
        <v>12343854.653546294</v>
      </c>
      <c r="V48" s="78">
        <v>3.7200483575421175</v>
      </c>
      <c r="W48" s="77">
        <v>3.7121760452539747</v>
      </c>
      <c r="X48" s="26">
        <v>0.15647999556684877</v>
      </c>
      <c r="Y48" s="27">
        <v>25164525.61047178</v>
      </c>
      <c r="Z48" s="78">
        <v>3.2848140160495634</v>
      </c>
      <c r="AA48" s="77">
        <v>3.7122362409907024</v>
      </c>
      <c r="AB48" s="26">
        <v>0.15643549456627115</v>
      </c>
      <c r="AC48" s="27">
        <v>28221279.998402655</v>
      </c>
      <c r="AD48" s="78">
        <v>2.9265099061601205</v>
      </c>
      <c r="AE48" s="77">
        <v>8.73878823286692</v>
      </c>
      <c r="AF48" s="26">
        <v>0.1734737930187338</v>
      </c>
      <c r="AG48" s="27">
        <v>47174509.42893145</v>
      </c>
      <c r="AH48" s="78">
        <v>2.058956872566843</v>
      </c>
      <c r="AI48" s="77">
        <v>8.746684087948672</v>
      </c>
      <c r="AJ48" s="26">
        <v>0.17340388463524578</v>
      </c>
      <c r="AK48" s="27">
        <v>143339699.88499716</v>
      </c>
      <c r="AL48" s="78">
        <v>8.43331016330942</v>
      </c>
      <c r="AM48" s="77">
        <v>13.369581267569682</v>
      </c>
      <c r="AN48" s="26">
        <v>0.20344399294635301</v>
      </c>
      <c r="AO48" s="27">
        <v>251142979.27687156</v>
      </c>
      <c r="AP48" s="78">
        <v>1.404263615580661</v>
      </c>
    </row>
    <row r="49" spans="2:42" ht="12.75">
      <c r="B49" s="89" t="s">
        <v>51</v>
      </c>
      <c r="C49" s="77">
        <v>0.08333333333333333</v>
      </c>
      <c r="D49" s="26">
        <v>0.02430608487043351</v>
      </c>
      <c r="E49" s="28">
        <v>4.35629492607822</v>
      </c>
      <c r="F49" s="78">
        <v>15.556665331616417</v>
      </c>
      <c r="G49" s="77">
        <v>0.25</v>
      </c>
      <c r="H49" s="26">
        <v>0.02475961227217991</v>
      </c>
      <c r="I49" s="27">
        <v>4.35629492607822</v>
      </c>
      <c r="J49" s="78">
        <v>7.222222222222222</v>
      </c>
      <c r="K49" s="77">
        <v>0.25</v>
      </c>
      <c r="L49" s="26">
        <v>0.02475961227217991</v>
      </c>
      <c r="M49" s="27">
        <v>4.35629492607822</v>
      </c>
      <c r="N49" s="78">
        <v>7.222222222222222</v>
      </c>
      <c r="O49" s="77">
        <v>1.375</v>
      </c>
      <c r="P49" s="26">
        <v>0.025748849634092918</v>
      </c>
      <c r="Q49" s="27">
        <v>4.35629492607822</v>
      </c>
      <c r="R49" s="78">
        <v>5.833333333333333</v>
      </c>
      <c r="S49" s="77">
        <v>1.375</v>
      </c>
      <c r="T49" s="26">
        <v>0.025748849634092918</v>
      </c>
      <c r="U49" s="27">
        <v>4.35629492607822</v>
      </c>
      <c r="V49" s="78">
        <v>5.833333333333333</v>
      </c>
      <c r="W49" s="77">
        <v>1.9166666666666679</v>
      </c>
      <c r="X49" s="26">
        <v>0.026260617794742574</v>
      </c>
      <c r="Y49" s="27">
        <v>4.35629492607822</v>
      </c>
      <c r="Z49" s="78">
        <v>5.833333333333333</v>
      </c>
      <c r="AA49" s="77">
        <v>2.291666666666667</v>
      </c>
      <c r="AB49" s="26">
        <v>0.02657108979881469</v>
      </c>
      <c r="AC49" s="27">
        <v>4.35629492607822</v>
      </c>
      <c r="AD49" s="78">
        <v>5.846165337633814</v>
      </c>
      <c r="AE49" s="77">
        <v>5.0270833333333345</v>
      </c>
      <c r="AF49" s="26">
        <v>0.029323861225957048</v>
      </c>
      <c r="AG49" s="27">
        <v>4.35629492607822</v>
      </c>
      <c r="AH49" s="78">
        <v>4.444444444444445</v>
      </c>
      <c r="AI49" s="77">
        <v>5.10625</v>
      </c>
      <c r="AJ49" s="26">
        <v>0.02955452209005749</v>
      </c>
      <c r="AK49" s="27">
        <v>4.35629492607822</v>
      </c>
      <c r="AL49" s="78">
        <v>4.444444444444445</v>
      </c>
      <c r="AM49" s="77">
        <v>14.491666666666596</v>
      </c>
      <c r="AN49" s="26">
        <v>0.03686968457752853</v>
      </c>
      <c r="AO49" s="27">
        <v>4.35629492607822</v>
      </c>
      <c r="AP49" s="78">
        <v>4.444444444444445</v>
      </c>
    </row>
    <row r="50" spans="2:42" ht="13.5" thickBot="1">
      <c r="B50" s="90" t="s">
        <v>52</v>
      </c>
      <c r="C50" s="79">
        <v>0.5416666666666666</v>
      </c>
      <c r="D50" s="80">
        <v>0.028952892780258283</v>
      </c>
      <c r="E50" s="83">
        <v>746.5859139080335</v>
      </c>
      <c r="F50" s="82">
        <v>32.36467719135682</v>
      </c>
      <c r="G50" s="79">
        <v>2.541666666666666</v>
      </c>
      <c r="H50" s="80">
        <v>0.030771534280143575</v>
      </c>
      <c r="I50" s="81">
        <v>746.5859139080335</v>
      </c>
      <c r="J50" s="82">
        <v>24.842798675417608</v>
      </c>
      <c r="K50" s="79">
        <v>2.541666666666666</v>
      </c>
      <c r="L50" s="80">
        <v>0.030771534280143575</v>
      </c>
      <c r="M50" s="81">
        <v>746.5859139080335</v>
      </c>
      <c r="N50" s="82">
        <v>26.1167423888772</v>
      </c>
      <c r="O50" s="79">
        <v>9.835416666666672</v>
      </c>
      <c r="P50" s="80">
        <v>0.040089371522699285</v>
      </c>
      <c r="Q50" s="81">
        <v>746.5859139080335</v>
      </c>
      <c r="R50" s="82">
        <v>19.722155740979268</v>
      </c>
      <c r="S50" s="79">
        <v>9.835416666666672</v>
      </c>
      <c r="T50" s="80">
        <v>0.040089371522699285</v>
      </c>
      <c r="U50" s="81">
        <v>746.5859139080335</v>
      </c>
      <c r="V50" s="82">
        <v>19.722155740979268</v>
      </c>
      <c r="W50" s="79">
        <v>12.916666666666618</v>
      </c>
      <c r="X50" s="80">
        <v>0.04666432456522017</v>
      </c>
      <c r="Y50" s="81">
        <v>746.5859139080335</v>
      </c>
      <c r="Z50" s="82">
        <v>17.273083829472196</v>
      </c>
      <c r="AA50" s="79">
        <v>13.168749999999948</v>
      </c>
      <c r="AB50" s="80">
        <v>0.04724450549031062</v>
      </c>
      <c r="AC50" s="81">
        <v>746.5859139080335</v>
      </c>
      <c r="AD50" s="82">
        <v>16.119020467062494</v>
      </c>
      <c r="AE50" s="79">
        <v>33.88750000000026</v>
      </c>
      <c r="AF50" s="80">
        <v>0.09287324185926062</v>
      </c>
      <c r="AG50" s="81">
        <v>746.5859139080335</v>
      </c>
      <c r="AH50" s="82">
        <v>9.444444444444445</v>
      </c>
      <c r="AI50" s="79">
        <v>34.01041666666692</v>
      </c>
      <c r="AJ50" s="80">
        <v>0.0928990185215226</v>
      </c>
      <c r="AK50" s="81">
        <v>746.5859139080335</v>
      </c>
      <c r="AL50" s="82">
        <v>30.865146998230454</v>
      </c>
      <c r="AM50" s="79">
        <v>56.25833333333232</v>
      </c>
      <c r="AN50" s="80">
        <v>0.4645109163750181</v>
      </c>
      <c r="AO50" s="81">
        <v>746.5859139080335</v>
      </c>
      <c r="AP50" s="82">
        <v>7.777777777777778</v>
      </c>
    </row>
    <row r="51" ht="13.5" thickBot="1">
      <c r="AO51" s="119"/>
    </row>
    <row r="52" spans="2:42" ht="12.75">
      <c r="B52" s="97" t="s">
        <v>96</v>
      </c>
      <c r="C52" s="91" t="s">
        <v>13</v>
      </c>
      <c r="D52" s="92"/>
      <c r="E52" s="92"/>
      <c r="F52" s="93"/>
      <c r="G52" s="91" t="s">
        <v>58</v>
      </c>
      <c r="H52" s="92"/>
      <c r="I52" s="92"/>
      <c r="J52" s="93"/>
      <c r="K52" s="91" t="s">
        <v>16</v>
      </c>
      <c r="L52" s="92"/>
      <c r="M52" s="92"/>
      <c r="N52" s="93"/>
      <c r="O52" s="91" t="s">
        <v>57</v>
      </c>
      <c r="P52" s="92"/>
      <c r="Q52" s="92"/>
      <c r="R52" s="93"/>
      <c r="S52" s="91" t="s">
        <v>56</v>
      </c>
      <c r="T52" s="92"/>
      <c r="U52" s="92"/>
      <c r="V52" s="93"/>
      <c r="W52" s="91" t="s">
        <v>55</v>
      </c>
      <c r="X52" s="92"/>
      <c r="Y52" s="92"/>
      <c r="Z52" s="93"/>
      <c r="AA52" s="91" t="s">
        <v>54</v>
      </c>
      <c r="AB52" s="92"/>
      <c r="AC52" s="92"/>
      <c r="AD52" s="93"/>
      <c r="AE52" s="91" t="s">
        <v>53</v>
      </c>
      <c r="AF52" s="92"/>
      <c r="AG52" s="92"/>
      <c r="AH52" s="93"/>
      <c r="AI52" s="91" t="s">
        <v>59</v>
      </c>
      <c r="AJ52" s="92"/>
      <c r="AK52" s="92"/>
      <c r="AL52" s="93"/>
      <c r="AM52" s="91" t="s">
        <v>46</v>
      </c>
      <c r="AN52" s="92"/>
      <c r="AO52" s="92"/>
      <c r="AP52" s="93"/>
    </row>
    <row r="53" spans="2:42" ht="12.75">
      <c r="B53" s="98"/>
      <c r="C53" s="75" t="s">
        <v>48</v>
      </c>
      <c r="D53" s="23" t="s">
        <v>10</v>
      </c>
      <c r="E53" s="29" t="s">
        <v>50</v>
      </c>
      <c r="F53" s="76" t="s">
        <v>49</v>
      </c>
      <c r="G53" s="75" t="s">
        <v>48</v>
      </c>
      <c r="H53" s="23" t="s">
        <v>10</v>
      </c>
      <c r="I53" s="24" t="s">
        <v>50</v>
      </c>
      <c r="J53" s="76" t="s">
        <v>49</v>
      </c>
      <c r="K53" s="75" t="s">
        <v>48</v>
      </c>
      <c r="L53" s="23" t="s">
        <v>10</v>
      </c>
      <c r="M53" s="24" t="s">
        <v>50</v>
      </c>
      <c r="N53" s="76" t="s">
        <v>49</v>
      </c>
      <c r="O53" s="75" t="s">
        <v>48</v>
      </c>
      <c r="P53" s="23" t="s">
        <v>10</v>
      </c>
      <c r="Q53" s="24" t="s">
        <v>50</v>
      </c>
      <c r="R53" s="76" t="s">
        <v>49</v>
      </c>
      <c r="S53" s="75" t="s">
        <v>48</v>
      </c>
      <c r="T53" s="23" t="s">
        <v>10</v>
      </c>
      <c r="U53" s="24" t="s">
        <v>50</v>
      </c>
      <c r="V53" s="76" t="s">
        <v>49</v>
      </c>
      <c r="W53" s="75" t="s">
        <v>48</v>
      </c>
      <c r="X53" s="23" t="s">
        <v>10</v>
      </c>
      <c r="Y53" s="24" t="s">
        <v>50</v>
      </c>
      <c r="Z53" s="76" t="s">
        <v>49</v>
      </c>
      <c r="AA53" s="75" t="s">
        <v>48</v>
      </c>
      <c r="AB53" s="23" t="s">
        <v>10</v>
      </c>
      <c r="AC53" s="24" t="s">
        <v>50</v>
      </c>
      <c r="AD53" s="76" t="s">
        <v>49</v>
      </c>
      <c r="AE53" s="75" t="s">
        <v>48</v>
      </c>
      <c r="AF53" s="23" t="s">
        <v>10</v>
      </c>
      <c r="AG53" s="24" t="s">
        <v>50</v>
      </c>
      <c r="AH53" s="76" t="s">
        <v>49</v>
      </c>
      <c r="AI53" s="75" t="s">
        <v>48</v>
      </c>
      <c r="AJ53" s="23" t="s">
        <v>10</v>
      </c>
      <c r="AK53" s="24" t="s">
        <v>50</v>
      </c>
      <c r="AL53" s="76" t="s">
        <v>49</v>
      </c>
      <c r="AM53" s="75" t="s">
        <v>48</v>
      </c>
      <c r="AN53" s="23" t="s">
        <v>10</v>
      </c>
      <c r="AO53" s="24" t="s">
        <v>50</v>
      </c>
      <c r="AP53" s="76" t="s">
        <v>49</v>
      </c>
    </row>
    <row r="54" spans="2:43" ht="12.75">
      <c r="B54" s="89" t="s">
        <v>65</v>
      </c>
      <c r="C54" s="77">
        <v>0.29166666666666674</v>
      </c>
      <c r="D54" s="26">
        <v>0.044702814468612594</v>
      </c>
      <c r="E54" s="27">
        <v>232.9033456294097</v>
      </c>
      <c r="F54" s="78">
        <v>24.00338301546775</v>
      </c>
      <c r="G54" s="77">
        <v>1.541388888888891</v>
      </c>
      <c r="H54" s="26">
        <v>0.04599380098101799</v>
      </c>
      <c r="I54" s="27">
        <v>337314.5722255757</v>
      </c>
      <c r="J54" s="78">
        <v>15.082353921879012</v>
      </c>
      <c r="K54" s="77">
        <v>1.574722222222224</v>
      </c>
      <c r="L54" s="26">
        <v>0.04602488051655601</v>
      </c>
      <c r="M54" s="27">
        <v>337542.8751926887</v>
      </c>
      <c r="N54" s="78">
        <v>14.765937526550719</v>
      </c>
      <c r="O54" s="77">
        <v>3.9456944444444444</v>
      </c>
      <c r="P54" s="26">
        <v>0.048061192273421226</v>
      </c>
      <c r="Q54" s="27">
        <v>969643.1909358482</v>
      </c>
      <c r="R54" s="78">
        <v>10.136026598044769</v>
      </c>
      <c r="S54" s="77">
        <v>3.9456944444444444</v>
      </c>
      <c r="T54" s="26">
        <v>0.048061192273421226</v>
      </c>
      <c r="U54" s="27">
        <v>969643.1909358482</v>
      </c>
      <c r="V54" s="78">
        <v>10.136026598044769</v>
      </c>
      <c r="W54" s="77">
        <v>5.931111111111118</v>
      </c>
      <c r="X54" s="26">
        <v>0.05307675245476152</v>
      </c>
      <c r="Y54" s="27">
        <v>1747234.474096418</v>
      </c>
      <c r="Z54" s="78">
        <v>10.096106121502501</v>
      </c>
      <c r="AA54" s="77">
        <v>6.249305555555559</v>
      </c>
      <c r="AB54" s="26">
        <v>0.05336119701675175</v>
      </c>
      <c r="AC54" s="27">
        <v>1849215.2175662788</v>
      </c>
      <c r="AD54" s="78">
        <v>10.579250915495123</v>
      </c>
      <c r="AE54" s="77">
        <v>16.965833333333347</v>
      </c>
      <c r="AF54" s="26">
        <v>0.06807682225033806</v>
      </c>
      <c r="AG54" s="27">
        <v>2345184.7789670145</v>
      </c>
      <c r="AH54" s="78">
        <v>5.408269181265392</v>
      </c>
      <c r="AI54" s="77">
        <v>17.016666666666694</v>
      </c>
      <c r="AJ54" s="26">
        <v>0.06847904299739141</v>
      </c>
      <c r="AK54" s="27">
        <v>3241803.109871425</v>
      </c>
      <c r="AL54" s="78">
        <v>17.338837645959504</v>
      </c>
      <c r="AM54" s="77">
        <v>34.399999999999906</v>
      </c>
      <c r="AN54" s="26">
        <v>0.0959187695607346</v>
      </c>
      <c r="AO54" s="27">
        <v>4388635.543929762</v>
      </c>
      <c r="AP54" s="78">
        <v>5.112222638466367</v>
      </c>
      <c r="AQ54">
        <v>6</v>
      </c>
    </row>
    <row r="55" spans="2:42" ht="12.75">
      <c r="B55" s="89" t="s">
        <v>64</v>
      </c>
      <c r="C55" s="77">
        <v>0.25</v>
      </c>
      <c r="D55" s="26">
        <v>0.024782707425627826</v>
      </c>
      <c r="E55" s="27">
        <v>2.083493799780425</v>
      </c>
      <c r="F55" s="78">
        <v>23.894293564560652</v>
      </c>
      <c r="G55" s="77">
        <v>1.2916666666666667</v>
      </c>
      <c r="H55" s="26">
        <v>0.02618458174917848</v>
      </c>
      <c r="I55" s="27">
        <v>4.500346074855276</v>
      </c>
      <c r="J55" s="78">
        <v>12.779769950199826</v>
      </c>
      <c r="K55" s="77">
        <v>1.2916666666666667</v>
      </c>
      <c r="L55" s="26">
        <v>0.026199709109612113</v>
      </c>
      <c r="M55" s="27">
        <v>4.926735832932347</v>
      </c>
      <c r="N55" s="78">
        <v>12.777778694437504</v>
      </c>
      <c r="O55" s="77">
        <v>2.9583333333333313</v>
      </c>
      <c r="P55" s="26">
        <v>0.027753356941669582</v>
      </c>
      <c r="Q55" s="27">
        <v>22.600079822959543</v>
      </c>
      <c r="R55" s="78">
        <v>11.11111111111111</v>
      </c>
      <c r="S55" s="77">
        <v>2.9583333333333313</v>
      </c>
      <c r="T55" s="26">
        <v>0.027753356941669582</v>
      </c>
      <c r="U55" s="27">
        <v>22.600079822959543</v>
      </c>
      <c r="V55" s="78">
        <v>11.11111111111111</v>
      </c>
      <c r="W55" s="77">
        <v>4.916666666666667</v>
      </c>
      <c r="X55" s="26">
        <v>0.029388912152904845</v>
      </c>
      <c r="Y55" s="27">
        <v>95.24131186002835</v>
      </c>
      <c r="Z55" s="78">
        <v>11.111104891647564</v>
      </c>
      <c r="AA55" s="77">
        <v>5.1875</v>
      </c>
      <c r="AB55" s="26">
        <v>0.02966576403495813</v>
      </c>
      <c r="AC55" s="27">
        <v>133.63002407695993</v>
      </c>
      <c r="AD55" s="78">
        <v>11.110062977880032</v>
      </c>
      <c r="AE55" s="77">
        <v>14.1666666666666</v>
      </c>
      <c r="AF55" s="26">
        <v>0.03696892711154742</v>
      </c>
      <c r="AG55" s="27">
        <v>212.01555017070262</v>
      </c>
      <c r="AH55" s="78">
        <v>4.444444444444447</v>
      </c>
      <c r="AI55" s="77">
        <v>14.1666666666666</v>
      </c>
      <c r="AJ55" s="26">
        <v>0.037306709266994365</v>
      </c>
      <c r="AK55" s="27">
        <v>279.9761804745372</v>
      </c>
      <c r="AL55" s="78">
        <v>16.736622731921152</v>
      </c>
      <c r="AM55" s="77">
        <v>32.39583333333367</v>
      </c>
      <c r="AN55" s="26">
        <v>0.05613760924634287</v>
      </c>
      <c r="AO55" s="27">
        <v>519.3757752888885</v>
      </c>
      <c r="AP55" s="78">
        <v>4.444444444444445</v>
      </c>
    </row>
    <row r="56" spans="2:42" ht="12.75">
      <c r="B56" s="89" t="s">
        <v>66</v>
      </c>
      <c r="C56" s="77">
        <v>0.15556683613607464</v>
      </c>
      <c r="D56" s="26">
        <v>0.13670364053002368</v>
      </c>
      <c r="E56" s="27">
        <v>1773.1671720140578</v>
      </c>
      <c r="F56" s="78">
        <v>5.796069347835712</v>
      </c>
      <c r="G56" s="77">
        <v>0.8521904452996837</v>
      </c>
      <c r="H56" s="26">
        <v>0.13652355783923384</v>
      </c>
      <c r="I56" s="27">
        <v>2074433.0544804102</v>
      </c>
      <c r="J56" s="78">
        <v>5.699040184378581</v>
      </c>
      <c r="K56" s="77">
        <v>0.8609525183311562</v>
      </c>
      <c r="L56" s="26">
        <v>0.1365191439999575</v>
      </c>
      <c r="M56" s="27">
        <v>2074459.9478094708</v>
      </c>
      <c r="N56" s="78">
        <v>5.882362163132268</v>
      </c>
      <c r="O56" s="77">
        <v>2.868307687523634</v>
      </c>
      <c r="P56" s="26">
        <v>0.13625612624166492</v>
      </c>
      <c r="Q56" s="27">
        <v>3541152.934752222</v>
      </c>
      <c r="R56" s="78">
        <v>3.7200483575421175</v>
      </c>
      <c r="S56" s="77">
        <v>2.868307687523634</v>
      </c>
      <c r="T56" s="26">
        <v>0.13625612624166492</v>
      </c>
      <c r="U56" s="27">
        <v>3541152.934752222</v>
      </c>
      <c r="V56" s="78">
        <v>3.7200483575421175</v>
      </c>
      <c r="W56" s="77">
        <v>3.7121760452539747</v>
      </c>
      <c r="X56" s="26">
        <v>0.14666359549976538</v>
      </c>
      <c r="Y56" s="27">
        <v>4602702.835103018</v>
      </c>
      <c r="Z56" s="78">
        <v>3.2848140160495634</v>
      </c>
      <c r="AA56" s="77">
        <v>3.7122362409907024</v>
      </c>
      <c r="AB56" s="26">
        <v>0.14662125642383708</v>
      </c>
      <c r="AC56" s="27">
        <v>4696345.665815525</v>
      </c>
      <c r="AD56" s="78">
        <v>2.9265099061601205</v>
      </c>
      <c r="AE56" s="77">
        <v>8.73878823286692</v>
      </c>
      <c r="AF56" s="26">
        <v>0.1644150687916675</v>
      </c>
      <c r="AG56" s="27">
        <v>5507198.269038968</v>
      </c>
      <c r="AH56" s="78">
        <v>2.058956872566843</v>
      </c>
      <c r="AI56" s="77">
        <v>8.746684087948672</v>
      </c>
      <c r="AJ56" s="26">
        <v>0.16435095312224463</v>
      </c>
      <c r="AK56" s="27">
        <v>16225067.503511343</v>
      </c>
      <c r="AL56" s="78">
        <v>8.43331016330942</v>
      </c>
      <c r="AM56" s="77">
        <v>13.369581267569682</v>
      </c>
      <c r="AN56" s="26">
        <v>0.1857101122830381</v>
      </c>
      <c r="AO56" s="27">
        <v>28981508.516694624</v>
      </c>
      <c r="AP56" s="78">
        <v>1.404263615580661</v>
      </c>
    </row>
    <row r="57" spans="2:42" ht="12.75">
      <c r="B57" s="89" t="s">
        <v>51</v>
      </c>
      <c r="C57" s="77">
        <v>0.08333333333333333</v>
      </c>
      <c r="D57" s="26">
        <v>0.024301886085746127</v>
      </c>
      <c r="E57" s="28">
        <v>1.0060282347683465</v>
      </c>
      <c r="F57" s="78">
        <v>15.556665331616417</v>
      </c>
      <c r="G57" s="77">
        <v>0.25</v>
      </c>
      <c r="H57" s="26">
        <v>0.02468199292744558</v>
      </c>
      <c r="I57" s="27">
        <v>1.058312726203985</v>
      </c>
      <c r="J57" s="78">
        <v>7.222222222222222</v>
      </c>
      <c r="K57" s="77">
        <v>0.25</v>
      </c>
      <c r="L57" s="26">
        <v>0.02468199292744558</v>
      </c>
      <c r="M57" s="27">
        <v>1.0608581396297112</v>
      </c>
      <c r="N57" s="78">
        <v>7.222222222222222</v>
      </c>
      <c r="O57" s="77">
        <v>1.375</v>
      </c>
      <c r="P57" s="26">
        <v>0.025598388327686246</v>
      </c>
      <c r="Q57" s="27">
        <v>1.2720235957012282</v>
      </c>
      <c r="R57" s="78">
        <v>5.833333333333333</v>
      </c>
      <c r="S57" s="77">
        <v>1.375</v>
      </c>
      <c r="T57" s="26">
        <v>0.025598388327686246</v>
      </c>
      <c r="U57" s="27">
        <v>1.2720235957012282</v>
      </c>
      <c r="V57" s="78">
        <v>5.833333333333333</v>
      </c>
      <c r="W57" s="77">
        <v>1.9166666666666679</v>
      </c>
      <c r="X57" s="26">
        <v>0.026046852893693274</v>
      </c>
      <c r="Y57" s="27">
        <v>1.540518149757101</v>
      </c>
      <c r="Z57" s="78">
        <v>5.833333333333333</v>
      </c>
      <c r="AA57" s="77">
        <v>2.291666666666667</v>
      </c>
      <c r="AB57" s="26">
        <v>0.02638693556375128</v>
      </c>
      <c r="AC57" s="27">
        <v>1.6276910840976409</v>
      </c>
      <c r="AD57" s="78">
        <v>5.846165337633814</v>
      </c>
      <c r="AE57" s="77">
        <v>5.0270833333333345</v>
      </c>
      <c r="AF57" s="26">
        <v>0.029019272506239847</v>
      </c>
      <c r="AG57" s="27">
        <v>2.119034407934606</v>
      </c>
      <c r="AH57" s="78">
        <v>4.444444444444445</v>
      </c>
      <c r="AI57" s="77">
        <v>5.10625</v>
      </c>
      <c r="AJ57" s="26">
        <v>0.029224010782451793</v>
      </c>
      <c r="AK57" s="27">
        <v>2.638115066603633</v>
      </c>
      <c r="AL57" s="78">
        <v>4.444444444444445</v>
      </c>
      <c r="AM57" s="77">
        <v>14.491666666666596</v>
      </c>
      <c r="AN57" s="26">
        <v>0.03581944551265933</v>
      </c>
      <c r="AO57" s="27">
        <v>3.8135377913801056</v>
      </c>
      <c r="AP57" s="78">
        <v>4.444444444444445</v>
      </c>
    </row>
    <row r="58" spans="2:42" ht="13.5" thickBot="1">
      <c r="B58" s="90" t="s">
        <v>52</v>
      </c>
      <c r="C58" s="79">
        <v>0.5416666666666666</v>
      </c>
      <c r="D58" s="80">
        <v>0.02894270110269337</v>
      </c>
      <c r="E58" s="83">
        <v>94.3942806756347</v>
      </c>
      <c r="F58" s="82">
        <v>32.36467719135682</v>
      </c>
      <c r="G58" s="79">
        <v>2.541666666666666</v>
      </c>
      <c r="H58" s="80">
        <v>0.03041086761823703</v>
      </c>
      <c r="I58" s="81">
        <v>109947.13373978356</v>
      </c>
      <c r="J58" s="82">
        <v>24.842798675417608</v>
      </c>
      <c r="K58" s="79">
        <v>2.541666666666666</v>
      </c>
      <c r="L58" s="80">
        <v>0.030508411801531073</v>
      </c>
      <c r="M58" s="81">
        <v>116248.7856387205</v>
      </c>
      <c r="N58" s="82">
        <v>26.1167423888772</v>
      </c>
      <c r="O58" s="79">
        <v>9.835416666666672</v>
      </c>
      <c r="P58" s="80">
        <v>0.03656029250443293</v>
      </c>
      <c r="Q58" s="81">
        <v>13463016.744250383</v>
      </c>
      <c r="R58" s="82">
        <v>19.722155740979268</v>
      </c>
      <c r="S58" s="79">
        <v>9.835416666666672</v>
      </c>
      <c r="T58" s="80">
        <v>0.03656029250443293</v>
      </c>
      <c r="U58" s="81">
        <v>13463016.744250383</v>
      </c>
      <c r="V58" s="82">
        <v>19.722155740979268</v>
      </c>
      <c r="W58" s="79">
        <v>12.916666666666618</v>
      </c>
      <c r="X58" s="80">
        <v>0.03972555209514874</v>
      </c>
      <c r="Y58" s="81">
        <v>15802393.498590725</v>
      </c>
      <c r="Z58" s="82">
        <v>17.273083829472196</v>
      </c>
      <c r="AA58" s="79">
        <v>13.168749999999948</v>
      </c>
      <c r="AB58" s="80">
        <v>0.04022281418559438</v>
      </c>
      <c r="AC58" s="81">
        <v>15806836.180657959</v>
      </c>
      <c r="AD58" s="82">
        <v>16.119020467062494</v>
      </c>
      <c r="AE58" s="79">
        <v>33.88750000000026</v>
      </c>
      <c r="AF58" s="80">
        <v>0.06349683403960646</v>
      </c>
      <c r="AG58" s="81">
        <v>15811217.877345</v>
      </c>
      <c r="AH58" s="82">
        <v>9.444444444444445</v>
      </c>
      <c r="AI58" s="79">
        <v>34.01041666666692</v>
      </c>
      <c r="AJ58" s="80">
        <v>0.06383926106535927</v>
      </c>
      <c r="AK58" s="81">
        <v>15811387.680511571</v>
      </c>
      <c r="AL58" s="82">
        <v>30.865146998230454</v>
      </c>
      <c r="AM58" s="79">
        <v>56.25833333333232</v>
      </c>
      <c r="AN58" s="80">
        <v>0.11389334804742411</v>
      </c>
      <c r="AO58" s="81">
        <v>15811388.234495888</v>
      </c>
      <c r="AP58" s="82">
        <v>7.777777777777778</v>
      </c>
    </row>
    <row r="59" ht="13.5" thickBot="1">
      <c r="AO59" s="119"/>
    </row>
    <row r="60" spans="2:42" ht="12.75">
      <c r="B60" s="97" t="s">
        <v>96</v>
      </c>
      <c r="C60" s="91" t="s">
        <v>13</v>
      </c>
      <c r="D60" s="92"/>
      <c r="E60" s="92"/>
      <c r="F60" s="93"/>
      <c r="G60" s="91" t="s">
        <v>58</v>
      </c>
      <c r="H60" s="92"/>
      <c r="I60" s="92"/>
      <c r="J60" s="93"/>
      <c r="K60" s="91" t="s">
        <v>16</v>
      </c>
      <c r="L60" s="92"/>
      <c r="M60" s="92"/>
      <c r="N60" s="93"/>
      <c r="O60" s="91" t="s">
        <v>57</v>
      </c>
      <c r="P60" s="92"/>
      <c r="Q60" s="92"/>
      <c r="R60" s="93"/>
      <c r="S60" s="91" t="s">
        <v>56</v>
      </c>
      <c r="T60" s="92"/>
      <c r="U60" s="92"/>
      <c r="V60" s="93"/>
      <c r="W60" s="91" t="s">
        <v>55</v>
      </c>
      <c r="X60" s="92"/>
      <c r="Y60" s="92"/>
      <c r="Z60" s="93"/>
      <c r="AA60" s="91" t="s">
        <v>54</v>
      </c>
      <c r="AB60" s="92"/>
      <c r="AC60" s="92"/>
      <c r="AD60" s="93"/>
      <c r="AE60" s="91" t="s">
        <v>53</v>
      </c>
      <c r="AF60" s="92"/>
      <c r="AG60" s="92"/>
      <c r="AH60" s="93"/>
      <c r="AI60" s="91" t="s">
        <v>59</v>
      </c>
      <c r="AJ60" s="92"/>
      <c r="AK60" s="92"/>
      <c r="AL60" s="93"/>
      <c r="AM60" s="91" t="s">
        <v>46</v>
      </c>
      <c r="AN60" s="92"/>
      <c r="AO60" s="92"/>
      <c r="AP60" s="93"/>
    </row>
    <row r="61" spans="2:43" ht="12.75">
      <c r="B61" s="98"/>
      <c r="C61" s="75" t="s">
        <v>48</v>
      </c>
      <c r="D61" s="23" t="s">
        <v>10</v>
      </c>
      <c r="E61" s="29" t="s">
        <v>50</v>
      </c>
      <c r="F61" s="76" t="s">
        <v>49</v>
      </c>
      <c r="G61" s="75" t="s">
        <v>48</v>
      </c>
      <c r="H61" s="23" t="s">
        <v>10</v>
      </c>
      <c r="I61" s="24" t="s">
        <v>50</v>
      </c>
      <c r="J61" s="76" t="s">
        <v>49</v>
      </c>
      <c r="K61" s="75" t="s">
        <v>48</v>
      </c>
      <c r="L61" s="23" t="s">
        <v>10</v>
      </c>
      <c r="M61" s="24" t="s">
        <v>50</v>
      </c>
      <c r="N61" s="76" t="s">
        <v>49</v>
      </c>
      <c r="O61" s="75" t="s">
        <v>48</v>
      </c>
      <c r="P61" s="23" t="s">
        <v>10</v>
      </c>
      <c r="Q61" s="24" t="s">
        <v>50</v>
      </c>
      <c r="R61" s="76" t="s">
        <v>49</v>
      </c>
      <c r="S61" s="75" t="s">
        <v>48</v>
      </c>
      <c r="T61" s="23" t="s">
        <v>10</v>
      </c>
      <c r="U61" s="24" t="s">
        <v>50</v>
      </c>
      <c r="V61" s="76" t="s">
        <v>49</v>
      </c>
      <c r="W61" s="75" t="s">
        <v>48</v>
      </c>
      <c r="X61" s="23" t="s">
        <v>10</v>
      </c>
      <c r="Y61" s="24" t="s">
        <v>50</v>
      </c>
      <c r="Z61" s="76" t="s">
        <v>49</v>
      </c>
      <c r="AA61" s="75" t="s">
        <v>48</v>
      </c>
      <c r="AB61" s="23" t="s">
        <v>10</v>
      </c>
      <c r="AC61" s="24" t="s">
        <v>50</v>
      </c>
      <c r="AD61" s="76" t="s">
        <v>49</v>
      </c>
      <c r="AE61" s="75" t="s">
        <v>48</v>
      </c>
      <c r="AF61" s="23" t="s">
        <v>10</v>
      </c>
      <c r="AG61" s="24" t="s">
        <v>50</v>
      </c>
      <c r="AH61" s="76" t="s">
        <v>49</v>
      </c>
      <c r="AI61" s="75" t="s">
        <v>48</v>
      </c>
      <c r="AJ61" s="23" t="s">
        <v>10</v>
      </c>
      <c r="AK61" s="24" t="s">
        <v>50</v>
      </c>
      <c r="AL61" s="76" t="s">
        <v>49</v>
      </c>
      <c r="AM61" s="75" t="s">
        <v>48</v>
      </c>
      <c r="AN61" s="23" t="s">
        <v>10</v>
      </c>
      <c r="AO61" s="24" t="s">
        <v>50</v>
      </c>
      <c r="AP61" s="76" t="s">
        <v>49</v>
      </c>
      <c r="AQ61">
        <v>7</v>
      </c>
    </row>
    <row r="62" spans="2:42" ht="12.75">
      <c r="B62" s="89" t="s">
        <v>65</v>
      </c>
      <c r="C62" s="77">
        <v>0.29166666666666674</v>
      </c>
      <c r="D62" s="26">
        <v>0.044702612894086016</v>
      </c>
      <c r="E62" s="27">
        <v>28264.494321757324</v>
      </c>
      <c r="F62" s="78">
        <v>24.00338301546775</v>
      </c>
      <c r="G62" s="77">
        <v>1.541388888888891</v>
      </c>
      <c r="H62" s="26">
        <v>0.04599250120682577</v>
      </c>
      <c r="I62" s="27">
        <v>789598.5925638176</v>
      </c>
      <c r="J62" s="78">
        <v>15.082353921879012</v>
      </c>
      <c r="K62" s="77">
        <v>1.574722222222224</v>
      </c>
      <c r="L62" s="26">
        <v>0.04602355134111514</v>
      </c>
      <c r="M62" s="27">
        <v>797993.1758112938</v>
      </c>
      <c r="N62" s="78">
        <v>14.765937526550719</v>
      </c>
      <c r="O62" s="77">
        <v>3.9456944444444444</v>
      </c>
      <c r="P62" s="26">
        <v>0.04805721839377696</v>
      </c>
      <c r="Q62" s="27">
        <v>1890104.204770406</v>
      </c>
      <c r="R62" s="78">
        <v>10.136026598044769</v>
      </c>
      <c r="S62" s="77">
        <v>3.9456944444444444</v>
      </c>
      <c r="T62" s="26">
        <v>0.04805721839377696</v>
      </c>
      <c r="U62" s="27">
        <v>1890104.204770406</v>
      </c>
      <c r="V62" s="78">
        <v>10.136026598044769</v>
      </c>
      <c r="W62" s="77">
        <v>5.931111111111118</v>
      </c>
      <c r="X62" s="26">
        <v>0.05307035264479635</v>
      </c>
      <c r="Y62" s="27">
        <v>3081316.494755641</v>
      </c>
      <c r="Z62" s="78">
        <v>10.096106121502501</v>
      </c>
      <c r="AA62" s="77">
        <v>6.249305555555559</v>
      </c>
      <c r="AB62" s="26">
        <v>0.05335441635403366</v>
      </c>
      <c r="AC62" s="27">
        <v>3279582.333850344</v>
      </c>
      <c r="AD62" s="78">
        <v>10.579250915495123</v>
      </c>
      <c r="AE62" s="77">
        <v>16.965833333333347</v>
      </c>
      <c r="AF62" s="26">
        <v>0.06805121577199222</v>
      </c>
      <c r="AG62" s="27">
        <v>3741521.4093158166</v>
      </c>
      <c r="AH62" s="78">
        <v>5.408269181265392</v>
      </c>
      <c r="AI62" s="77">
        <v>17.016666666666694</v>
      </c>
      <c r="AJ62" s="26">
        <v>0.0684531631420702</v>
      </c>
      <c r="AK62" s="27">
        <v>4180886.464547441</v>
      </c>
      <c r="AL62" s="78">
        <v>17.338837645959504</v>
      </c>
      <c r="AM62" s="77">
        <v>34.399999999999906</v>
      </c>
      <c r="AN62" s="26">
        <v>0.0958460359064782</v>
      </c>
      <c r="AO62" s="27">
        <v>4893884.33126592</v>
      </c>
      <c r="AP62" s="78">
        <v>5.112222638466367</v>
      </c>
    </row>
    <row r="63" spans="2:42" ht="12.75">
      <c r="B63" s="89" t="s">
        <v>64</v>
      </c>
      <c r="C63" s="77">
        <v>0.25</v>
      </c>
      <c r="D63" s="26">
        <v>0.024782707425627826</v>
      </c>
      <c r="E63" s="27">
        <v>11.202099231149639</v>
      </c>
      <c r="F63" s="78">
        <v>23.894293564560652</v>
      </c>
      <c r="G63" s="77">
        <v>1.2916666666666667</v>
      </c>
      <c r="H63" s="26">
        <v>0.026184474737661945</v>
      </c>
      <c r="I63" s="27">
        <v>145.94449867236074</v>
      </c>
      <c r="J63" s="78">
        <v>12.779769950199826</v>
      </c>
      <c r="K63" s="77">
        <v>1.2916666666666667</v>
      </c>
      <c r="L63" s="26">
        <v>0.026198687371449814</v>
      </c>
      <c r="M63" s="27">
        <v>158.04698841645342</v>
      </c>
      <c r="N63" s="78">
        <v>12.777778694437504</v>
      </c>
      <c r="O63" s="77">
        <v>2.9583333333333313</v>
      </c>
      <c r="P63" s="26">
        <v>0.027749995534720684</v>
      </c>
      <c r="Q63" s="27">
        <v>1008.6480442628633</v>
      </c>
      <c r="R63" s="78">
        <v>11.11111111111111</v>
      </c>
      <c r="S63" s="77">
        <v>2.9583333333333313</v>
      </c>
      <c r="T63" s="26">
        <v>0.027749995534720684</v>
      </c>
      <c r="U63" s="27">
        <v>1008.6480442628633</v>
      </c>
      <c r="V63" s="78">
        <v>11.11111111111111</v>
      </c>
      <c r="W63" s="77">
        <v>4.916666666666667</v>
      </c>
      <c r="X63" s="26">
        <v>0.029385371184216802</v>
      </c>
      <c r="Y63" s="27">
        <v>3712.2526647751474</v>
      </c>
      <c r="Z63" s="78">
        <v>11.111104891647564</v>
      </c>
      <c r="AA63" s="77">
        <v>5.1875</v>
      </c>
      <c r="AB63" s="26">
        <v>0.029653027355475148</v>
      </c>
      <c r="AC63" s="27">
        <v>4850.708682489696</v>
      </c>
      <c r="AD63" s="78">
        <v>11.110062977880032</v>
      </c>
      <c r="AE63" s="77">
        <v>14.1666666666666</v>
      </c>
      <c r="AF63" s="26">
        <v>0.03696892711154742</v>
      </c>
      <c r="AG63" s="27">
        <v>7936.6687675391695</v>
      </c>
      <c r="AH63" s="78">
        <v>4.444444444444447</v>
      </c>
      <c r="AI63" s="77">
        <v>14.1666666666666</v>
      </c>
      <c r="AJ63" s="26">
        <v>0.03729040527188665</v>
      </c>
      <c r="AK63" s="27">
        <v>12649.102228046975</v>
      </c>
      <c r="AL63" s="78">
        <v>16.736622731921152</v>
      </c>
      <c r="AM63" s="77">
        <v>32.39583333333367</v>
      </c>
      <c r="AN63" s="26">
        <v>0.056032742795936896</v>
      </c>
      <c r="AO63" s="27">
        <v>22614.498064298907</v>
      </c>
      <c r="AP63" s="78">
        <v>4.444444444444445</v>
      </c>
    </row>
    <row r="64" spans="2:42" ht="12.75">
      <c r="B64" s="89" t="s">
        <v>66</v>
      </c>
      <c r="C64" s="77">
        <v>0.15556683613607464</v>
      </c>
      <c r="D64" s="26">
        <v>0.13670366875529136</v>
      </c>
      <c r="E64" s="27">
        <v>216401.02891829485</v>
      </c>
      <c r="F64" s="78">
        <v>5.796069347835712</v>
      </c>
      <c r="G64" s="77">
        <v>0.8521904452996837</v>
      </c>
      <c r="H64" s="26">
        <v>0.13652373716881977</v>
      </c>
      <c r="I64" s="27">
        <v>3068914.8228349932</v>
      </c>
      <c r="J64" s="78">
        <v>5.699040184378581</v>
      </c>
      <c r="K64" s="77">
        <v>0.8609525183311562</v>
      </c>
      <c r="L64" s="26">
        <v>0.13651932744125392</v>
      </c>
      <c r="M64" s="27">
        <v>3078470.620990455</v>
      </c>
      <c r="N64" s="78">
        <v>5.882362163132268</v>
      </c>
      <c r="O64" s="77">
        <v>2.868307687523634</v>
      </c>
      <c r="P64" s="26">
        <v>0.1362566047088386</v>
      </c>
      <c r="Q64" s="27">
        <v>4662372.723496784</v>
      </c>
      <c r="R64" s="78">
        <v>3.7200483575421175</v>
      </c>
      <c r="S64" s="77">
        <v>2.868307687523634</v>
      </c>
      <c r="T64" s="26">
        <v>0.1362566047088386</v>
      </c>
      <c r="U64" s="27">
        <v>4662372.723496784</v>
      </c>
      <c r="V64" s="78">
        <v>3.7200483575421175</v>
      </c>
      <c r="W64" s="77">
        <v>3.7121760452539747</v>
      </c>
      <c r="X64" s="26">
        <v>0.14666442365403537</v>
      </c>
      <c r="Y64" s="27">
        <v>5701466.690037646</v>
      </c>
      <c r="Z64" s="78">
        <v>3.2848140160495634</v>
      </c>
      <c r="AA64" s="77">
        <v>3.7122362409907024</v>
      </c>
      <c r="AB64" s="26">
        <v>0.14662213813359698</v>
      </c>
      <c r="AC64" s="27">
        <v>5870705.997243088</v>
      </c>
      <c r="AD64" s="78">
        <v>2.9265099061601205</v>
      </c>
      <c r="AE64" s="77">
        <v>8.73878823286692</v>
      </c>
      <c r="AF64" s="26">
        <v>0.1644180024781093</v>
      </c>
      <c r="AG64" s="27">
        <v>6165312.489737045</v>
      </c>
      <c r="AH64" s="78">
        <v>2.058956872566843</v>
      </c>
      <c r="AI64" s="77">
        <v>8.746684087948672</v>
      </c>
      <c r="AJ64" s="26">
        <v>0.16435391944338076</v>
      </c>
      <c r="AK64" s="27">
        <v>7982916.971886057</v>
      </c>
      <c r="AL64" s="78">
        <v>8.43331016330942</v>
      </c>
      <c r="AM64" s="77">
        <v>13.369581267569682</v>
      </c>
      <c r="AN64" s="26">
        <v>0.18571925374083156</v>
      </c>
      <c r="AO64" s="27">
        <v>11374120.155367684</v>
      </c>
      <c r="AP64" s="78">
        <v>1.404263615580661</v>
      </c>
    </row>
    <row r="65" spans="2:42" ht="12.75">
      <c r="B65" s="89" t="s">
        <v>51</v>
      </c>
      <c r="C65" s="77">
        <v>0.08333333333333333</v>
      </c>
      <c r="D65" s="26">
        <v>0.024301846203844013</v>
      </c>
      <c r="E65" s="28">
        <v>1.7168991293609495</v>
      </c>
      <c r="F65" s="78">
        <v>15.556665331616417</v>
      </c>
      <c r="G65" s="77">
        <v>0.25</v>
      </c>
      <c r="H65" s="26">
        <v>0.02468187548407741</v>
      </c>
      <c r="I65" s="27">
        <v>2.641843351639875</v>
      </c>
      <c r="J65" s="78">
        <v>7.222222222222222</v>
      </c>
      <c r="K65" s="77">
        <v>0.25</v>
      </c>
      <c r="L65" s="26">
        <v>0.02468187548407741</v>
      </c>
      <c r="M65" s="27">
        <v>2.650011270200294</v>
      </c>
      <c r="N65" s="78">
        <v>7.222222222222222</v>
      </c>
      <c r="O65" s="77">
        <v>1.375</v>
      </c>
      <c r="P65" s="26">
        <v>0.025597124582427955</v>
      </c>
      <c r="Q65" s="27">
        <v>5.295790132581405</v>
      </c>
      <c r="R65" s="78">
        <v>5.833333333333333</v>
      </c>
      <c r="S65" s="77">
        <v>1.375</v>
      </c>
      <c r="T65" s="26">
        <v>0.025597124582427955</v>
      </c>
      <c r="U65" s="27">
        <v>5.295790132581405</v>
      </c>
      <c r="V65" s="78">
        <v>5.833333333333333</v>
      </c>
      <c r="W65" s="77">
        <v>1.9166666666666679</v>
      </c>
      <c r="X65" s="26">
        <v>0.026044815898487006</v>
      </c>
      <c r="Y65" s="27">
        <v>10.172668604899627</v>
      </c>
      <c r="Z65" s="78">
        <v>5.833333333333333</v>
      </c>
      <c r="AA65" s="77">
        <v>2.291666666666667</v>
      </c>
      <c r="AB65" s="26">
        <v>0.026382122841491235</v>
      </c>
      <c r="AC65" s="27">
        <v>11.680772926314958</v>
      </c>
      <c r="AD65" s="78">
        <v>5.846165337633814</v>
      </c>
      <c r="AE65" s="77">
        <v>5.0270833333333345</v>
      </c>
      <c r="AF65" s="26">
        <v>0.02901893866239618</v>
      </c>
      <c r="AG65" s="27">
        <v>16.92145441469373</v>
      </c>
      <c r="AH65" s="78">
        <v>4.444444444444445</v>
      </c>
      <c r="AI65" s="77">
        <v>5.10625</v>
      </c>
      <c r="AJ65" s="26">
        <v>0.029224010782451793</v>
      </c>
      <c r="AK65" s="27">
        <v>18.150789555015002</v>
      </c>
      <c r="AL65" s="78">
        <v>4.444444444444445</v>
      </c>
      <c r="AM65" s="77">
        <v>14.491666666666596</v>
      </c>
      <c r="AN65" s="26">
        <v>0.03581944551265933</v>
      </c>
      <c r="AO65" s="27">
        <v>29.153421531553736</v>
      </c>
      <c r="AP65" s="78">
        <v>4.444444444444445</v>
      </c>
    </row>
    <row r="66" spans="2:42" ht="13.5" thickBot="1">
      <c r="B66" s="90" t="s">
        <v>52</v>
      </c>
      <c r="C66" s="79">
        <v>0.5416666666666666</v>
      </c>
      <c r="D66" s="80">
        <v>0.02894270110269337</v>
      </c>
      <c r="E66" s="83">
        <v>4879.744879354423</v>
      </c>
      <c r="F66" s="82">
        <v>32.36467719135682</v>
      </c>
      <c r="G66" s="79">
        <v>2.541666666666666</v>
      </c>
      <c r="H66" s="80">
        <v>0.03041086761823703</v>
      </c>
      <c r="I66" s="81">
        <v>6639673.280401344</v>
      </c>
      <c r="J66" s="82">
        <v>24.842798675417608</v>
      </c>
      <c r="K66" s="79">
        <v>2.541666666666666</v>
      </c>
      <c r="L66" s="80">
        <v>0.030508411801531073</v>
      </c>
      <c r="M66" s="81">
        <v>6674168.052871651</v>
      </c>
      <c r="N66" s="82">
        <v>26.1167423888772</v>
      </c>
      <c r="O66" s="79">
        <v>9.835416666666672</v>
      </c>
      <c r="P66" s="80">
        <v>0.03655970241832915</v>
      </c>
      <c r="Q66" s="81">
        <v>15785344.363400476</v>
      </c>
      <c r="R66" s="82">
        <v>19.722155740979268</v>
      </c>
      <c r="S66" s="79">
        <v>9.835416666666672</v>
      </c>
      <c r="T66" s="80">
        <v>0.03655970241832915</v>
      </c>
      <c r="U66" s="81">
        <v>15785344.363400476</v>
      </c>
      <c r="V66" s="82">
        <v>19.722155740979268</v>
      </c>
      <c r="W66" s="79">
        <v>12.916666666666618</v>
      </c>
      <c r="X66" s="80">
        <v>0.039699356979128866</v>
      </c>
      <c r="Y66" s="81">
        <v>15811311.689527398</v>
      </c>
      <c r="Z66" s="82">
        <v>17.273083829472196</v>
      </c>
      <c r="AA66" s="79">
        <v>13.168749999999948</v>
      </c>
      <c r="AB66" s="80">
        <v>0.040187707833168475</v>
      </c>
      <c r="AC66" s="81">
        <v>15811325.337127961</v>
      </c>
      <c r="AD66" s="82">
        <v>16.119020467062494</v>
      </c>
      <c r="AE66" s="79">
        <v>33.88750000000026</v>
      </c>
      <c r="AF66" s="80">
        <v>0.06341121066476108</v>
      </c>
      <c r="AG66" s="81">
        <v>15811379.017022993</v>
      </c>
      <c r="AH66" s="82">
        <v>9.444444444444445</v>
      </c>
      <c r="AI66" s="79">
        <v>34.01041666666692</v>
      </c>
      <c r="AJ66" s="80">
        <v>0.06375284765968893</v>
      </c>
      <c r="AK66" s="81">
        <v>15811388.298044225</v>
      </c>
      <c r="AL66" s="82">
        <v>30.865146998230454</v>
      </c>
      <c r="AM66" s="79">
        <v>56.25833333333232</v>
      </c>
      <c r="AN66" s="80">
        <v>0.11351554761165049</v>
      </c>
      <c r="AO66" s="81">
        <v>15811388.30044361</v>
      </c>
      <c r="AP66" s="82">
        <v>7.777777777777778</v>
      </c>
    </row>
    <row r="67" ht="13.5" thickBot="1">
      <c r="AO67" s="119"/>
    </row>
    <row r="68" spans="2:42" ht="12.75">
      <c r="B68" s="97" t="s">
        <v>96</v>
      </c>
      <c r="C68" s="91" t="s">
        <v>13</v>
      </c>
      <c r="D68" s="92"/>
      <c r="E68" s="92"/>
      <c r="F68" s="93"/>
      <c r="G68" s="91" t="s">
        <v>58</v>
      </c>
      <c r="H68" s="92"/>
      <c r="I68" s="92"/>
      <c r="J68" s="93"/>
      <c r="K68" s="91" t="s">
        <v>16</v>
      </c>
      <c r="L68" s="92"/>
      <c r="M68" s="92"/>
      <c r="N68" s="93"/>
      <c r="O68" s="91" t="s">
        <v>57</v>
      </c>
      <c r="P68" s="92"/>
      <c r="Q68" s="92"/>
      <c r="R68" s="93"/>
      <c r="S68" s="91" t="s">
        <v>56</v>
      </c>
      <c r="T68" s="92"/>
      <c r="U68" s="92"/>
      <c r="V68" s="93"/>
      <c r="W68" s="91" t="s">
        <v>55</v>
      </c>
      <c r="X68" s="92"/>
      <c r="Y68" s="92"/>
      <c r="Z68" s="93"/>
      <c r="AA68" s="91" t="s">
        <v>54</v>
      </c>
      <c r="AB68" s="92"/>
      <c r="AC68" s="92"/>
      <c r="AD68" s="93"/>
      <c r="AE68" s="91" t="s">
        <v>53</v>
      </c>
      <c r="AF68" s="92"/>
      <c r="AG68" s="92"/>
      <c r="AH68" s="93"/>
      <c r="AI68" s="91" t="s">
        <v>59</v>
      </c>
      <c r="AJ68" s="92"/>
      <c r="AK68" s="92"/>
      <c r="AL68" s="93"/>
      <c r="AM68" s="91" t="s">
        <v>46</v>
      </c>
      <c r="AN68" s="92"/>
      <c r="AO68" s="92"/>
      <c r="AP68" s="93"/>
    </row>
    <row r="69" spans="2:43" ht="12.75">
      <c r="B69" s="98"/>
      <c r="C69" s="75" t="s">
        <v>48</v>
      </c>
      <c r="D69" s="23" t="s">
        <v>10</v>
      </c>
      <c r="E69" s="29" t="s">
        <v>50</v>
      </c>
      <c r="F69" s="76" t="s">
        <v>49</v>
      </c>
      <c r="G69" s="75" t="s">
        <v>48</v>
      </c>
      <c r="H69" s="23" t="s">
        <v>10</v>
      </c>
      <c r="I69" s="24" t="s">
        <v>50</v>
      </c>
      <c r="J69" s="76" t="s">
        <v>49</v>
      </c>
      <c r="K69" s="75" t="s">
        <v>48</v>
      </c>
      <c r="L69" s="23" t="s">
        <v>10</v>
      </c>
      <c r="M69" s="24" t="s">
        <v>50</v>
      </c>
      <c r="N69" s="76" t="s">
        <v>49</v>
      </c>
      <c r="O69" s="75" t="s">
        <v>48</v>
      </c>
      <c r="P69" s="23" t="s">
        <v>10</v>
      </c>
      <c r="Q69" s="24" t="s">
        <v>50</v>
      </c>
      <c r="R69" s="76" t="s">
        <v>49</v>
      </c>
      <c r="S69" s="75" t="s">
        <v>48</v>
      </c>
      <c r="T69" s="23" t="s">
        <v>10</v>
      </c>
      <c r="U69" s="24" t="s">
        <v>50</v>
      </c>
      <c r="V69" s="76" t="s">
        <v>49</v>
      </c>
      <c r="W69" s="75" t="s">
        <v>48</v>
      </c>
      <c r="X69" s="23" t="s">
        <v>10</v>
      </c>
      <c r="Y69" s="24" t="s">
        <v>50</v>
      </c>
      <c r="Z69" s="76" t="s">
        <v>49</v>
      </c>
      <c r="AA69" s="75" t="s">
        <v>48</v>
      </c>
      <c r="AB69" s="23" t="s">
        <v>10</v>
      </c>
      <c r="AC69" s="24" t="s">
        <v>50</v>
      </c>
      <c r="AD69" s="76" t="s">
        <v>49</v>
      </c>
      <c r="AE69" s="75" t="s">
        <v>48</v>
      </c>
      <c r="AF69" s="23" t="s">
        <v>10</v>
      </c>
      <c r="AG69" s="24" t="s">
        <v>50</v>
      </c>
      <c r="AH69" s="76" t="s">
        <v>49</v>
      </c>
      <c r="AI69" s="75" t="s">
        <v>48</v>
      </c>
      <c r="AJ69" s="23" t="s">
        <v>10</v>
      </c>
      <c r="AK69" s="24" t="s">
        <v>50</v>
      </c>
      <c r="AL69" s="76" t="s">
        <v>49</v>
      </c>
      <c r="AM69" s="75" t="s">
        <v>48</v>
      </c>
      <c r="AN69" s="23" t="s">
        <v>10</v>
      </c>
      <c r="AO69" s="24" t="s">
        <v>50</v>
      </c>
      <c r="AP69" s="76" t="s">
        <v>49</v>
      </c>
      <c r="AQ69">
        <v>8</v>
      </c>
    </row>
    <row r="70" spans="2:42" ht="12.75">
      <c r="B70" s="89" t="s">
        <v>65</v>
      </c>
      <c r="C70" s="77">
        <v>0.29166666666666674</v>
      </c>
      <c r="D70" s="26">
        <v>1</v>
      </c>
      <c r="E70" s="27">
        <v>1731.5168069748913</v>
      </c>
      <c r="F70" s="78">
        <v>24.00338301546775</v>
      </c>
      <c r="G70" s="77">
        <v>1.541388888888891</v>
      </c>
      <c r="H70" s="26">
        <v>1</v>
      </c>
      <c r="I70" s="27">
        <v>622319237.5950916</v>
      </c>
      <c r="J70" s="78">
        <v>15.082353921879012</v>
      </c>
      <c r="K70" s="77">
        <v>1.574722222222224</v>
      </c>
      <c r="L70" s="26">
        <v>1</v>
      </c>
      <c r="M70" s="27">
        <v>624697323.3836646</v>
      </c>
      <c r="N70" s="78">
        <v>14.765937526550719</v>
      </c>
      <c r="O70" s="77">
        <v>3.9456944444444444</v>
      </c>
      <c r="P70" s="26">
        <v>1</v>
      </c>
      <c r="Q70" s="27">
        <v>1814370074.5334475</v>
      </c>
      <c r="R70" s="78">
        <v>10.136026598044769</v>
      </c>
      <c r="S70" s="77">
        <v>3.9456944444444444</v>
      </c>
      <c r="T70" s="26">
        <v>1</v>
      </c>
      <c r="U70" s="27">
        <v>1814370074.5334475</v>
      </c>
      <c r="V70" s="78">
        <v>10.136026598044769</v>
      </c>
      <c r="W70" s="77">
        <v>5.931111111111118</v>
      </c>
      <c r="X70" s="26">
        <v>1</v>
      </c>
      <c r="Y70" s="27">
        <v>3478471867.6580534</v>
      </c>
      <c r="Z70" s="78">
        <v>10.096106121502501</v>
      </c>
      <c r="AA70" s="77">
        <v>6.249305555555559</v>
      </c>
      <c r="AB70" s="26">
        <v>1</v>
      </c>
      <c r="AC70" s="27">
        <v>3836171146.8620753</v>
      </c>
      <c r="AD70" s="78">
        <v>10.579250915495123</v>
      </c>
      <c r="AE70" s="77">
        <v>16.965833333333347</v>
      </c>
      <c r="AF70" s="26">
        <v>1</v>
      </c>
      <c r="AG70" s="27">
        <v>4857801251.417924</v>
      </c>
      <c r="AH70" s="78">
        <v>5.408269181265392</v>
      </c>
      <c r="AI70" s="77">
        <v>17.016666666666694</v>
      </c>
      <c r="AJ70" s="26">
        <v>1</v>
      </c>
      <c r="AK70" s="27">
        <v>5319616371.822728</v>
      </c>
      <c r="AL70" s="78">
        <v>17.338837645959504</v>
      </c>
      <c r="AM70" s="77">
        <v>34.399999999999906</v>
      </c>
      <c r="AN70" s="26">
        <v>1</v>
      </c>
      <c r="AO70" s="27">
        <v>6383049691.555435</v>
      </c>
      <c r="AP70" s="78">
        <v>5.112222638466367</v>
      </c>
    </row>
    <row r="71" spans="2:42" ht="12.75">
      <c r="B71" s="89" t="s">
        <v>64</v>
      </c>
      <c r="C71" s="77">
        <v>0.25</v>
      </c>
      <c r="D71" s="26">
        <v>1</v>
      </c>
      <c r="E71" s="27">
        <v>3.048114143463621</v>
      </c>
      <c r="F71" s="78">
        <v>23.894293564560652</v>
      </c>
      <c r="G71" s="77">
        <v>1.2916666666666667</v>
      </c>
      <c r="H71" s="26">
        <v>1</v>
      </c>
      <c r="I71" s="27">
        <v>30.62765089336753</v>
      </c>
      <c r="J71" s="78">
        <v>12.779769950199826</v>
      </c>
      <c r="K71" s="77">
        <v>1.2916666666666667</v>
      </c>
      <c r="L71" s="26">
        <v>1</v>
      </c>
      <c r="M71" s="27">
        <v>31.856150155890234</v>
      </c>
      <c r="N71" s="78">
        <v>12.777778694437504</v>
      </c>
      <c r="O71" s="77">
        <v>2.9583333333333313</v>
      </c>
      <c r="P71" s="26">
        <v>1</v>
      </c>
      <c r="Q71" s="27">
        <v>535.3814916718538</v>
      </c>
      <c r="R71" s="78">
        <v>11.11111111111111</v>
      </c>
      <c r="S71" s="77">
        <v>2.9583333333333313</v>
      </c>
      <c r="T71" s="26">
        <v>1</v>
      </c>
      <c r="U71" s="27">
        <v>535.3814916718538</v>
      </c>
      <c r="V71" s="78">
        <v>11.11111111111111</v>
      </c>
      <c r="W71" s="77">
        <v>4.916666666666667</v>
      </c>
      <c r="X71" s="26">
        <v>1</v>
      </c>
      <c r="Y71" s="27">
        <v>4724.942035082185</v>
      </c>
      <c r="Z71" s="78">
        <v>11.111104891647564</v>
      </c>
      <c r="AA71" s="77">
        <v>5.1875</v>
      </c>
      <c r="AB71" s="26">
        <v>1</v>
      </c>
      <c r="AC71" s="27">
        <v>7180.273776466377</v>
      </c>
      <c r="AD71" s="78">
        <v>11.110062977880032</v>
      </c>
      <c r="AE71" s="77">
        <v>14.1666666666666</v>
      </c>
      <c r="AF71" s="26">
        <v>1</v>
      </c>
      <c r="AG71" s="27">
        <v>20292.919087313854</v>
      </c>
      <c r="AH71" s="78">
        <v>4.444444444444447</v>
      </c>
      <c r="AI71" s="77">
        <v>14.1666666666666</v>
      </c>
      <c r="AJ71" s="26">
        <v>1</v>
      </c>
      <c r="AK71" s="27">
        <v>36850.301065268446</v>
      </c>
      <c r="AL71" s="78">
        <v>16.736622731921152</v>
      </c>
      <c r="AM71" s="77">
        <v>32.39583333333367</v>
      </c>
      <c r="AN71" s="26">
        <v>1</v>
      </c>
      <c r="AO71" s="27">
        <v>106421.76293555034</v>
      </c>
      <c r="AP71" s="78">
        <v>4.444444444444445</v>
      </c>
    </row>
    <row r="72" spans="2:42" ht="12.75">
      <c r="B72" s="89" t="s">
        <v>66</v>
      </c>
      <c r="C72" s="77">
        <v>0.15556683613607464</v>
      </c>
      <c r="D72" s="26">
        <v>0</v>
      </c>
      <c r="E72" s="27">
        <v>8192.085315958719</v>
      </c>
      <c r="F72" s="78">
        <v>5.796069347835712</v>
      </c>
      <c r="G72" s="77">
        <v>0.8521904452996837</v>
      </c>
      <c r="H72" s="26">
        <v>0</v>
      </c>
      <c r="I72" s="27">
        <v>4526882257.560305</v>
      </c>
      <c r="J72" s="78">
        <v>5.699040184378581</v>
      </c>
      <c r="K72" s="77">
        <v>0.8609525183311562</v>
      </c>
      <c r="L72" s="26">
        <v>0</v>
      </c>
      <c r="M72" s="27">
        <v>4527466426.74526</v>
      </c>
      <c r="N72" s="78">
        <v>5.882362163132268</v>
      </c>
      <c r="O72" s="77">
        <v>2.868307687523634</v>
      </c>
      <c r="P72" s="26">
        <v>0</v>
      </c>
      <c r="Q72" s="27">
        <v>7730470142.510344</v>
      </c>
      <c r="R72" s="78">
        <v>3.7200483575421175</v>
      </c>
      <c r="S72" s="77">
        <v>2.868307687523634</v>
      </c>
      <c r="T72" s="26">
        <v>0</v>
      </c>
      <c r="U72" s="27">
        <v>7730470142.510344</v>
      </c>
      <c r="V72" s="78">
        <v>3.7200483575421175</v>
      </c>
      <c r="W72" s="77">
        <v>3.7121760452539747</v>
      </c>
      <c r="X72" s="26">
        <v>0</v>
      </c>
      <c r="Y72" s="27">
        <v>10330027895.062418</v>
      </c>
      <c r="Z72" s="78">
        <v>3.2848140160495634</v>
      </c>
      <c r="AA72" s="77">
        <v>3.7122362409907024</v>
      </c>
      <c r="AB72" s="26">
        <v>0</v>
      </c>
      <c r="AC72" s="27">
        <v>10717310376.031416</v>
      </c>
      <c r="AD72" s="78">
        <v>2.9265099061601205</v>
      </c>
      <c r="AE72" s="77">
        <v>8.73878823286692</v>
      </c>
      <c r="AF72" s="26">
        <v>0</v>
      </c>
      <c r="AG72" s="27">
        <v>12025925255.708677</v>
      </c>
      <c r="AH72" s="78">
        <v>2.058956872566843</v>
      </c>
      <c r="AI72" s="77">
        <v>8.746684087948672</v>
      </c>
      <c r="AJ72" s="26">
        <v>0</v>
      </c>
      <c r="AK72" s="27">
        <v>12618381295.5457</v>
      </c>
      <c r="AL72" s="78">
        <v>8.43331016330942</v>
      </c>
      <c r="AM72" s="77">
        <v>13.369581267569682</v>
      </c>
      <c r="AN72" s="26">
        <v>0</v>
      </c>
      <c r="AO72" s="27">
        <v>13736485892.47904</v>
      </c>
      <c r="AP72" s="78">
        <v>1.404263615580661</v>
      </c>
    </row>
    <row r="73" spans="2:42" ht="12.75">
      <c r="B73" s="89" t="s">
        <v>51</v>
      </c>
      <c r="C73" s="77">
        <v>0.08333333333333333</v>
      </c>
      <c r="D73" s="26">
        <v>1</v>
      </c>
      <c r="E73" s="28">
        <v>1.0104022805431894</v>
      </c>
      <c r="F73" s="78">
        <v>15.556665331616417</v>
      </c>
      <c r="G73" s="77">
        <v>0.25</v>
      </c>
      <c r="H73" s="26">
        <v>1</v>
      </c>
      <c r="I73" s="27">
        <v>1.1345296891715404</v>
      </c>
      <c r="J73" s="78">
        <v>7.222222222222222</v>
      </c>
      <c r="K73" s="77">
        <v>0.25</v>
      </c>
      <c r="L73" s="26">
        <v>1</v>
      </c>
      <c r="M73" s="27">
        <v>1.14751326891297</v>
      </c>
      <c r="N73" s="78">
        <v>7.222222222222222</v>
      </c>
      <c r="O73" s="77">
        <v>1.375</v>
      </c>
      <c r="P73" s="26">
        <v>1</v>
      </c>
      <c r="Q73" s="27">
        <v>1.9614778135116875</v>
      </c>
      <c r="R73" s="78">
        <v>5.833333333333333</v>
      </c>
      <c r="S73" s="77">
        <v>1.375</v>
      </c>
      <c r="T73" s="26">
        <v>1</v>
      </c>
      <c r="U73" s="27">
        <v>1.9614778135116875</v>
      </c>
      <c r="V73" s="78">
        <v>5.833333333333333</v>
      </c>
      <c r="W73" s="77">
        <v>1.9166666666666679</v>
      </c>
      <c r="X73" s="26">
        <v>1</v>
      </c>
      <c r="Y73" s="27">
        <v>3.009472394672057</v>
      </c>
      <c r="Z73" s="78">
        <v>5.833333333333333</v>
      </c>
      <c r="AA73" s="77">
        <v>2.291666666666667</v>
      </c>
      <c r="AB73" s="26">
        <v>1</v>
      </c>
      <c r="AC73" s="27">
        <v>4.0202825989896755</v>
      </c>
      <c r="AD73" s="78">
        <v>5.846165337633814</v>
      </c>
      <c r="AE73" s="77">
        <v>5.0270833333333345</v>
      </c>
      <c r="AF73" s="26">
        <v>1</v>
      </c>
      <c r="AG73" s="27">
        <v>7.293613285906082</v>
      </c>
      <c r="AH73" s="78">
        <v>4.444444444444445</v>
      </c>
      <c r="AI73" s="77">
        <v>5.10625</v>
      </c>
      <c r="AJ73" s="26">
        <v>1</v>
      </c>
      <c r="AK73" s="27">
        <v>10.495670035042044</v>
      </c>
      <c r="AL73" s="78">
        <v>4.444444444444445</v>
      </c>
      <c r="AM73" s="77">
        <v>14.491666666666596</v>
      </c>
      <c r="AN73" s="26">
        <v>1</v>
      </c>
      <c r="AO73" s="27">
        <v>23.143908004871182</v>
      </c>
      <c r="AP73" s="78">
        <v>4.444444444444445</v>
      </c>
    </row>
    <row r="74" spans="2:42" ht="13.5" thickBot="1">
      <c r="B74" s="90" t="s">
        <v>52</v>
      </c>
      <c r="C74" s="79">
        <v>0.5416666666666666</v>
      </c>
      <c r="D74" s="80">
        <v>1</v>
      </c>
      <c r="E74" s="83">
        <v>4009.115053964218</v>
      </c>
      <c r="F74" s="82">
        <v>32.36467719135682</v>
      </c>
      <c r="G74" s="79">
        <v>2.541666666666666</v>
      </c>
      <c r="H74" s="80">
        <v>1</v>
      </c>
      <c r="I74" s="81">
        <v>8066095.549809577</v>
      </c>
      <c r="J74" s="82">
        <v>24.842798675417608</v>
      </c>
      <c r="K74" s="79">
        <v>2.541666666666666</v>
      </c>
      <c r="L74" s="80">
        <v>1</v>
      </c>
      <c r="M74" s="81">
        <v>8480684.517110284</v>
      </c>
      <c r="N74" s="82">
        <v>26.1167423888772</v>
      </c>
      <c r="O74" s="79">
        <v>9.835416666666672</v>
      </c>
      <c r="P74" s="80">
        <v>1</v>
      </c>
      <c r="Q74" s="81">
        <v>13141144100.785835</v>
      </c>
      <c r="R74" s="82">
        <v>19.722155740979268</v>
      </c>
      <c r="S74" s="79">
        <v>9.835416666666672</v>
      </c>
      <c r="T74" s="80">
        <v>1</v>
      </c>
      <c r="U74" s="81">
        <v>13141144100.785835</v>
      </c>
      <c r="V74" s="82">
        <v>19.722155740979268</v>
      </c>
      <c r="W74" s="79">
        <v>12.916666666666618</v>
      </c>
      <c r="X74" s="80">
        <v>1</v>
      </c>
      <c r="Y74" s="81">
        <v>38864590264.04427</v>
      </c>
      <c r="Z74" s="82">
        <v>17.273083829472196</v>
      </c>
      <c r="AA74" s="79">
        <v>13.168749999999948</v>
      </c>
      <c r="AB74" s="80">
        <v>1</v>
      </c>
      <c r="AC74" s="81">
        <v>38896352789.301994</v>
      </c>
      <c r="AD74" s="82">
        <v>16.119020467062494</v>
      </c>
      <c r="AE74" s="79">
        <v>33.88750000000026</v>
      </c>
      <c r="AF74" s="80">
        <v>1</v>
      </c>
      <c r="AG74" s="81">
        <v>38904506614.583565</v>
      </c>
      <c r="AH74" s="82">
        <v>9.444444444444445</v>
      </c>
      <c r="AI74" s="79">
        <v>34.01041666666692</v>
      </c>
      <c r="AJ74" s="80">
        <v>1</v>
      </c>
      <c r="AK74" s="81">
        <v>38904514389.95592</v>
      </c>
      <c r="AL74" s="82">
        <v>30.865146998230454</v>
      </c>
      <c r="AM74" s="79">
        <v>56.25833333333232</v>
      </c>
      <c r="AN74" s="80">
        <v>1</v>
      </c>
      <c r="AO74" s="81">
        <v>38904514499.27968</v>
      </c>
      <c r="AP74" s="82">
        <v>7.777777777777778</v>
      </c>
    </row>
    <row r="75" ht="13.5" thickBot="1">
      <c r="AO75" s="119"/>
    </row>
    <row r="76" spans="2:42" ht="12.75">
      <c r="B76" s="97" t="s">
        <v>96</v>
      </c>
      <c r="C76" s="91" t="s">
        <v>13</v>
      </c>
      <c r="D76" s="92"/>
      <c r="E76" s="92"/>
      <c r="F76" s="93"/>
      <c r="G76" s="91" t="s">
        <v>58</v>
      </c>
      <c r="H76" s="92"/>
      <c r="I76" s="92"/>
      <c r="J76" s="93"/>
      <c r="K76" s="91" t="s">
        <v>16</v>
      </c>
      <c r="L76" s="92"/>
      <c r="M76" s="92"/>
      <c r="N76" s="93"/>
      <c r="O76" s="91" t="s">
        <v>57</v>
      </c>
      <c r="P76" s="92"/>
      <c r="Q76" s="92"/>
      <c r="R76" s="93"/>
      <c r="S76" s="91" t="s">
        <v>56</v>
      </c>
      <c r="T76" s="92"/>
      <c r="U76" s="92"/>
      <c r="V76" s="93"/>
      <c r="W76" s="91" t="s">
        <v>55</v>
      </c>
      <c r="X76" s="92"/>
      <c r="Y76" s="92"/>
      <c r="Z76" s="93"/>
      <c r="AA76" s="91" t="s">
        <v>54</v>
      </c>
      <c r="AB76" s="92"/>
      <c r="AC76" s="92"/>
      <c r="AD76" s="93"/>
      <c r="AE76" s="91" t="s">
        <v>53</v>
      </c>
      <c r="AF76" s="92"/>
      <c r="AG76" s="92"/>
      <c r="AH76" s="93"/>
      <c r="AI76" s="91" t="s">
        <v>59</v>
      </c>
      <c r="AJ76" s="92"/>
      <c r="AK76" s="92"/>
      <c r="AL76" s="93"/>
      <c r="AM76" s="91" t="s">
        <v>46</v>
      </c>
      <c r="AN76" s="92"/>
      <c r="AO76" s="92"/>
      <c r="AP76" s="93"/>
    </row>
    <row r="77" spans="2:43" ht="12.75">
      <c r="B77" s="98"/>
      <c r="C77" s="75" t="s">
        <v>48</v>
      </c>
      <c r="D77" s="23" t="s">
        <v>10</v>
      </c>
      <c r="E77" s="29" t="s">
        <v>50</v>
      </c>
      <c r="F77" s="76" t="s">
        <v>49</v>
      </c>
      <c r="G77" s="75" t="s">
        <v>48</v>
      </c>
      <c r="H77" s="23" t="s">
        <v>10</v>
      </c>
      <c r="I77" s="24" t="s">
        <v>50</v>
      </c>
      <c r="J77" s="76" t="s">
        <v>49</v>
      </c>
      <c r="K77" s="75" t="s">
        <v>48</v>
      </c>
      <c r="L77" s="23" t="s">
        <v>10</v>
      </c>
      <c r="M77" s="24" t="s">
        <v>50</v>
      </c>
      <c r="N77" s="76" t="s">
        <v>49</v>
      </c>
      <c r="O77" s="75" t="s">
        <v>48</v>
      </c>
      <c r="P77" s="23" t="s">
        <v>10</v>
      </c>
      <c r="Q77" s="24" t="s">
        <v>50</v>
      </c>
      <c r="R77" s="76" t="s">
        <v>49</v>
      </c>
      <c r="S77" s="75" t="s">
        <v>48</v>
      </c>
      <c r="T77" s="23" t="s">
        <v>10</v>
      </c>
      <c r="U77" s="24" t="s">
        <v>50</v>
      </c>
      <c r="V77" s="76" t="s">
        <v>49</v>
      </c>
      <c r="W77" s="75" t="s">
        <v>48</v>
      </c>
      <c r="X77" s="23" t="s">
        <v>10</v>
      </c>
      <c r="Y77" s="24" t="s">
        <v>50</v>
      </c>
      <c r="Z77" s="76" t="s">
        <v>49</v>
      </c>
      <c r="AA77" s="75" t="s">
        <v>48</v>
      </c>
      <c r="AB77" s="23" t="s">
        <v>10</v>
      </c>
      <c r="AC77" s="24" t="s">
        <v>50</v>
      </c>
      <c r="AD77" s="76" t="s">
        <v>49</v>
      </c>
      <c r="AE77" s="75" t="s">
        <v>48</v>
      </c>
      <c r="AF77" s="23" t="s">
        <v>10</v>
      </c>
      <c r="AG77" s="24" t="s">
        <v>50</v>
      </c>
      <c r="AH77" s="76" t="s">
        <v>49</v>
      </c>
      <c r="AI77" s="75" t="s">
        <v>48</v>
      </c>
      <c r="AJ77" s="23" t="s">
        <v>10</v>
      </c>
      <c r="AK77" s="24" t="s">
        <v>50</v>
      </c>
      <c r="AL77" s="76" t="s">
        <v>49</v>
      </c>
      <c r="AM77" s="75" t="s">
        <v>48</v>
      </c>
      <c r="AN77" s="23" t="s">
        <v>10</v>
      </c>
      <c r="AO77" s="24" t="s">
        <v>50</v>
      </c>
      <c r="AP77" s="76" t="s">
        <v>49</v>
      </c>
      <c r="AQ77">
        <v>9</v>
      </c>
    </row>
    <row r="78" spans="2:42" ht="12.75">
      <c r="B78" s="89" t="s">
        <v>65</v>
      </c>
      <c r="C78" s="77">
        <v>0.29166666666666674</v>
      </c>
      <c r="D78" s="26">
        <v>1</v>
      </c>
      <c r="E78" s="27">
        <v>243973.93440715596</v>
      </c>
      <c r="F78" s="78">
        <v>24.00338301546775</v>
      </c>
      <c r="G78" s="77">
        <v>1.541388888888891</v>
      </c>
      <c r="H78" s="26">
        <v>1</v>
      </c>
      <c r="I78" s="27">
        <v>1007679202.5722705</v>
      </c>
      <c r="J78" s="78">
        <v>15.082353921879012</v>
      </c>
      <c r="K78" s="77">
        <v>1.574722222222224</v>
      </c>
      <c r="L78" s="26">
        <v>1</v>
      </c>
      <c r="M78" s="27">
        <v>1020356511.5362353</v>
      </c>
      <c r="N78" s="78">
        <v>14.765937526550719</v>
      </c>
      <c r="O78" s="77">
        <v>3.9456944444444444</v>
      </c>
      <c r="P78" s="26">
        <v>1</v>
      </c>
      <c r="Q78" s="27">
        <v>3246119958.4112396</v>
      </c>
      <c r="R78" s="78">
        <v>10.136026598044769</v>
      </c>
      <c r="S78" s="77">
        <v>3.9456944444444444</v>
      </c>
      <c r="T78" s="26">
        <v>1</v>
      </c>
      <c r="U78" s="27">
        <v>3246119958.4112396</v>
      </c>
      <c r="V78" s="78">
        <v>10.136026598044769</v>
      </c>
      <c r="W78" s="77">
        <v>5.931111111111118</v>
      </c>
      <c r="X78" s="26">
        <v>1</v>
      </c>
      <c r="Y78" s="27">
        <v>6090809610.793457</v>
      </c>
      <c r="Z78" s="78">
        <v>10.096106121502501</v>
      </c>
      <c r="AA78" s="77">
        <v>6.249305555555559</v>
      </c>
      <c r="AB78" s="26">
        <v>1</v>
      </c>
      <c r="AC78" s="27">
        <v>6546747720.806373</v>
      </c>
      <c r="AD78" s="78">
        <v>10.579250915495123</v>
      </c>
      <c r="AE78" s="77">
        <v>16.965833333333347</v>
      </c>
      <c r="AF78" s="26">
        <v>1</v>
      </c>
      <c r="AG78" s="27">
        <v>7793712427.220939</v>
      </c>
      <c r="AH78" s="78">
        <v>5.408269181265392</v>
      </c>
      <c r="AI78" s="77">
        <v>17.016666666666694</v>
      </c>
      <c r="AJ78" s="26">
        <v>1</v>
      </c>
      <c r="AK78" s="27">
        <v>8307885080.579933</v>
      </c>
      <c r="AL78" s="78">
        <v>17.338837645959504</v>
      </c>
      <c r="AM78" s="77">
        <v>34.399999999999906</v>
      </c>
      <c r="AN78" s="26">
        <v>1</v>
      </c>
      <c r="AO78" s="27">
        <v>9618743597.817877</v>
      </c>
      <c r="AP78" s="78">
        <v>5.112222638466367</v>
      </c>
    </row>
    <row r="79" spans="2:42" ht="12.75">
      <c r="B79" s="89" t="s">
        <v>64</v>
      </c>
      <c r="C79" s="77">
        <v>0.25</v>
      </c>
      <c r="D79" s="26">
        <v>1</v>
      </c>
      <c r="E79" s="27">
        <v>53.984662704211175</v>
      </c>
      <c r="F79" s="78">
        <v>23.894293564560652</v>
      </c>
      <c r="G79" s="77">
        <v>1.2916666666666667</v>
      </c>
      <c r="H79" s="26">
        <v>1</v>
      </c>
      <c r="I79" s="27">
        <v>2528.0204008648093</v>
      </c>
      <c r="J79" s="78">
        <v>12.779769950199826</v>
      </c>
      <c r="K79" s="77">
        <v>1.2916666666666667</v>
      </c>
      <c r="L79" s="26">
        <v>1</v>
      </c>
      <c r="M79" s="27">
        <v>2744.1896016628066</v>
      </c>
      <c r="N79" s="78">
        <v>12.777778694437504</v>
      </c>
      <c r="O79" s="77">
        <v>2.9583333333333313</v>
      </c>
      <c r="P79" s="26">
        <v>1</v>
      </c>
      <c r="Q79" s="27">
        <v>43559.5334128533</v>
      </c>
      <c r="R79" s="78">
        <v>11.11111111111111</v>
      </c>
      <c r="S79" s="77">
        <v>2.9583333333333313</v>
      </c>
      <c r="T79" s="26">
        <v>1</v>
      </c>
      <c r="U79" s="27">
        <v>43559.5334128533</v>
      </c>
      <c r="V79" s="78">
        <v>11.11111111111111</v>
      </c>
      <c r="W79" s="77">
        <v>4.916666666666667</v>
      </c>
      <c r="X79" s="26">
        <v>1</v>
      </c>
      <c r="Y79" s="27">
        <v>368938.6730992468</v>
      </c>
      <c r="Z79" s="78">
        <v>11.111104891647564</v>
      </c>
      <c r="AA79" s="77">
        <v>5.1875</v>
      </c>
      <c r="AB79" s="26">
        <v>1</v>
      </c>
      <c r="AC79" s="27">
        <v>559062.6506980688</v>
      </c>
      <c r="AD79" s="78">
        <v>11.110062977880032</v>
      </c>
      <c r="AE79" s="77">
        <v>14.1666666666666</v>
      </c>
      <c r="AF79" s="26">
        <v>1</v>
      </c>
      <c r="AG79" s="27">
        <v>1955995.8370239774</v>
      </c>
      <c r="AH79" s="78">
        <v>4.444444444444447</v>
      </c>
      <c r="AI79" s="77">
        <v>14.1666666666666</v>
      </c>
      <c r="AJ79" s="26">
        <v>1</v>
      </c>
      <c r="AK79" s="27">
        <v>2808956.6946689496</v>
      </c>
      <c r="AL79" s="78">
        <v>16.736622731921152</v>
      </c>
      <c r="AM79" s="77">
        <v>32.39583333333367</v>
      </c>
      <c r="AN79" s="26">
        <v>1</v>
      </c>
      <c r="AO79" s="27">
        <v>7043002.110054836</v>
      </c>
      <c r="AP79" s="78">
        <v>4.444444444444445</v>
      </c>
    </row>
    <row r="80" spans="2:42" ht="12.75">
      <c r="B80" s="89" t="s">
        <v>66</v>
      </c>
      <c r="C80" s="77">
        <v>0.15556683613607464</v>
      </c>
      <c r="D80" s="26">
        <v>0</v>
      </c>
      <c r="E80" s="27">
        <v>1045778.4849015994</v>
      </c>
      <c r="F80" s="78">
        <v>5.796069347835712</v>
      </c>
      <c r="G80" s="77">
        <v>0.8521904452996837</v>
      </c>
      <c r="H80" s="26">
        <v>0</v>
      </c>
      <c r="I80" s="27">
        <v>5779446774.086632</v>
      </c>
      <c r="J80" s="78">
        <v>5.699040184378581</v>
      </c>
      <c r="K80" s="77">
        <v>0.8609525183311562</v>
      </c>
      <c r="L80" s="26">
        <v>0</v>
      </c>
      <c r="M80" s="27">
        <v>5829345889.590824</v>
      </c>
      <c r="N80" s="78">
        <v>5.882362163132268</v>
      </c>
      <c r="O80" s="77">
        <v>2.868307687523634</v>
      </c>
      <c r="P80" s="26">
        <v>0</v>
      </c>
      <c r="Q80" s="27">
        <v>9948362705.334934</v>
      </c>
      <c r="R80" s="78">
        <v>3.7200483575421175</v>
      </c>
      <c r="S80" s="77">
        <v>2.868307687523634</v>
      </c>
      <c r="T80" s="26">
        <v>0</v>
      </c>
      <c r="U80" s="27">
        <v>9948362705.334934</v>
      </c>
      <c r="V80" s="78">
        <v>3.7200483575421175</v>
      </c>
      <c r="W80" s="77">
        <v>3.7121760452539747</v>
      </c>
      <c r="X80" s="26">
        <v>0</v>
      </c>
      <c r="Y80" s="27">
        <v>12993457183.539791</v>
      </c>
      <c r="Z80" s="78">
        <v>3.2848140160495634</v>
      </c>
      <c r="AA80" s="77">
        <v>3.7122362409907024</v>
      </c>
      <c r="AB80" s="26">
        <v>0</v>
      </c>
      <c r="AC80" s="27">
        <v>13505736537.722837</v>
      </c>
      <c r="AD80" s="78">
        <v>2.9265099061601205</v>
      </c>
      <c r="AE80" s="77">
        <v>8.73878823286692</v>
      </c>
      <c r="AF80" s="26">
        <v>0</v>
      </c>
      <c r="AG80" s="27">
        <v>14489081493.330423</v>
      </c>
      <c r="AH80" s="78">
        <v>2.058956872566843</v>
      </c>
      <c r="AI80" s="77">
        <v>8.746684087948672</v>
      </c>
      <c r="AJ80" s="26">
        <v>0</v>
      </c>
      <c r="AK80" s="27">
        <v>14986280928.789951</v>
      </c>
      <c r="AL80" s="78">
        <v>8.43331016330942</v>
      </c>
      <c r="AM80" s="77">
        <v>13.369581267569682</v>
      </c>
      <c r="AN80" s="26">
        <v>0</v>
      </c>
      <c r="AO80" s="27">
        <v>15754859584.809095</v>
      </c>
      <c r="AP80" s="78">
        <v>1.404263615580661</v>
      </c>
    </row>
    <row r="81" spans="2:42" ht="12.75">
      <c r="B81" s="89" t="s">
        <v>51</v>
      </c>
      <c r="C81" s="77">
        <v>0.08333333333333333</v>
      </c>
      <c r="D81" s="26">
        <v>1</v>
      </c>
      <c r="E81" s="28">
        <v>2.460404255682342</v>
      </c>
      <c r="F81" s="78">
        <v>15.556665331616417</v>
      </c>
      <c r="G81" s="77">
        <v>0.25</v>
      </c>
      <c r="H81" s="26">
        <v>1</v>
      </c>
      <c r="I81" s="27">
        <v>5.304326748970597</v>
      </c>
      <c r="J81" s="78">
        <v>7.222222222222222</v>
      </c>
      <c r="K81" s="77">
        <v>0.25</v>
      </c>
      <c r="L81" s="26">
        <v>1</v>
      </c>
      <c r="M81" s="27">
        <v>6.049963616237868</v>
      </c>
      <c r="N81" s="78">
        <v>7.222222222222222</v>
      </c>
      <c r="O81" s="77">
        <v>1.375</v>
      </c>
      <c r="P81" s="26">
        <v>1</v>
      </c>
      <c r="Q81" s="27">
        <v>24.327503627322876</v>
      </c>
      <c r="R81" s="78">
        <v>5.833333333333333</v>
      </c>
      <c r="S81" s="77">
        <v>1.375</v>
      </c>
      <c r="T81" s="26">
        <v>1</v>
      </c>
      <c r="U81" s="27">
        <v>24.327503627322876</v>
      </c>
      <c r="V81" s="78">
        <v>5.833333333333333</v>
      </c>
      <c r="W81" s="77">
        <v>1.9166666666666679</v>
      </c>
      <c r="X81" s="26">
        <v>1</v>
      </c>
      <c r="Y81" s="27">
        <v>79.23288165281629</v>
      </c>
      <c r="Z81" s="78">
        <v>5.833333333333333</v>
      </c>
      <c r="AA81" s="77">
        <v>2.291666666666667</v>
      </c>
      <c r="AB81" s="26">
        <v>1</v>
      </c>
      <c r="AC81" s="27">
        <v>123.43403134149997</v>
      </c>
      <c r="AD81" s="78">
        <v>5.846165337633814</v>
      </c>
      <c r="AE81" s="77">
        <v>5.0270833333333345</v>
      </c>
      <c r="AF81" s="26">
        <v>1</v>
      </c>
      <c r="AG81" s="27">
        <v>282.2605843004218</v>
      </c>
      <c r="AH81" s="78">
        <v>4.444444444444445</v>
      </c>
      <c r="AI81" s="77">
        <v>5.10625</v>
      </c>
      <c r="AJ81" s="26">
        <v>1</v>
      </c>
      <c r="AK81" s="27">
        <v>302.60795907001335</v>
      </c>
      <c r="AL81" s="78">
        <v>4.444444444444445</v>
      </c>
      <c r="AM81" s="77">
        <v>14.491666666666596</v>
      </c>
      <c r="AN81" s="26">
        <v>1</v>
      </c>
      <c r="AO81" s="27">
        <v>712.6072641174461</v>
      </c>
      <c r="AP81" s="78">
        <v>4.444444444444445</v>
      </c>
    </row>
    <row r="82" spans="2:42" ht="13.5" thickBot="1">
      <c r="B82" s="90" t="s">
        <v>52</v>
      </c>
      <c r="C82" s="79">
        <v>0.5416666666666666</v>
      </c>
      <c r="D82" s="80">
        <v>1</v>
      </c>
      <c r="E82" s="83">
        <v>381420.57677370554</v>
      </c>
      <c r="F82" s="82">
        <v>32.36467719135682</v>
      </c>
      <c r="G82" s="79">
        <v>2.541666666666666</v>
      </c>
      <c r="H82" s="80">
        <v>1</v>
      </c>
      <c r="I82" s="81">
        <v>997069799.027227</v>
      </c>
      <c r="J82" s="82">
        <v>24.842798675417608</v>
      </c>
      <c r="K82" s="79">
        <v>2.541666666666666</v>
      </c>
      <c r="L82" s="80">
        <v>1</v>
      </c>
      <c r="M82" s="81">
        <v>997069799.027227</v>
      </c>
      <c r="N82" s="82">
        <v>26.1167423888772</v>
      </c>
      <c r="O82" s="79">
        <v>9.835416666666672</v>
      </c>
      <c r="P82" s="80">
        <v>1</v>
      </c>
      <c r="Q82" s="81">
        <v>37559654736.69747</v>
      </c>
      <c r="R82" s="82">
        <v>19.722155740979268</v>
      </c>
      <c r="S82" s="79">
        <v>9.835416666666672</v>
      </c>
      <c r="T82" s="80">
        <v>1</v>
      </c>
      <c r="U82" s="81">
        <v>37559654736.69747</v>
      </c>
      <c r="V82" s="82">
        <v>19.722155740979268</v>
      </c>
      <c r="W82" s="79">
        <v>12.916666666666618</v>
      </c>
      <c r="X82" s="80">
        <v>1</v>
      </c>
      <c r="Y82" s="81">
        <v>38904359666.509605</v>
      </c>
      <c r="Z82" s="82">
        <v>17.273083829472196</v>
      </c>
      <c r="AA82" s="79">
        <v>13.168749999999948</v>
      </c>
      <c r="AB82" s="80">
        <v>1</v>
      </c>
      <c r="AC82" s="81">
        <v>38904463254.79351</v>
      </c>
      <c r="AD82" s="82">
        <v>16.119020467062494</v>
      </c>
      <c r="AE82" s="79">
        <v>33.88750000000026</v>
      </c>
      <c r="AF82" s="80">
        <v>1</v>
      </c>
      <c r="AG82" s="81">
        <v>38904514446.741974</v>
      </c>
      <c r="AH82" s="82">
        <v>9.444444444444445</v>
      </c>
      <c r="AI82" s="79">
        <v>34.01041666666692</v>
      </c>
      <c r="AJ82" s="80">
        <v>1</v>
      </c>
      <c r="AK82" s="81">
        <v>38904514499.427895</v>
      </c>
      <c r="AL82" s="82">
        <v>30.865146998230454</v>
      </c>
      <c r="AM82" s="79">
        <v>56.25833333333232</v>
      </c>
      <c r="AN82" s="80">
        <v>1</v>
      </c>
      <c r="AO82" s="81">
        <v>38904514499.42797</v>
      </c>
      <c r="AP82" s="82">
        <v>7.777777777777778</v>
      </c>
    </row>
    <row r="83" ht="12.75">
      <c r="AO83" s="11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972"/>
  <sheetViews>
    <sheetView workbookViewId="0" topLeftCell="A1">
      <selection activeCell="C29" sqref="C29"/>
    </sheetView>
  </sheetViews>
  <sheetFormatPr defaultColWidth="9.140625" defaultRowHeight="12.75"/>
  <cols>
    <col min="1" max="1" width="9.7109375" style="0" customWidth="1"/>
    <col min="2" max="2" width="8.8515625" style="0" bestFit="1" customWidth="1"/>
    <col min="3" max="3" width="7.00390625" style="0" customWidth="1"/>
    <col min="4" max="4" width="7.28125" style="0" bestFit="1" customWidth="1"/>
    <col min="5" max="5" width="14.8515625" style="0" bestFit="1" customWidth="1"/>
    <col min="6" max="6" width="11.28125" style="0" bestFit="1" customWidth="1"/>
    <col min="7" max="7" width="6.7109375" style="0" bestFit="1" customWidth="1"/>
    <col min="8" max="8" width="7.28125" style="0" bestFit="1" customWidth="1"/>
    <col min="9" max="9" width="15.8515625" style="0" customWidth="1"/>
    <col min="10" max="10" width="11.28125" style="0" bestFit="1" customWidth="1"/>
    <col min="11" max="11" width="6.7109375" style="0" bestFit="1" customWidth="1"/>
    <col min="12" max="12" width="7.28125" style="0" bestFit="1" customWidth="1"/>
    <col min="13" max="13" width="14.8515625" style="0" bestFit="1" customWidth="1"/>
    <col min="14" max="14" width="11.28125" style="0" bestFit="1" customWidth="1"/>
    <col min="15" max="15" width="6.7109375" style="0" bestFit="1" customWidth="1"/>
    <col min="16" max="16" width="7.28125" style="0" bestFit="1" customWidth="1"/>
    <col min="17" max="17" width="14.8515625" style="0" bestFit="1" customWidth="1"/>
    <col min="18" max="18" width="11.28125" style="0" bestFit="1" customWidth="1"/>
    <col min="19" max="19" width="7.28125" style="0" customWidth="1"/>
    <col min="20" max="20" width="7.28125" style="0" bestFit="1" customWidth="1"/>
    <col min="21" max="21" width="16.8515625" style="0" customWidth="1"/>
    <col min="22" max="22" width="11.28125" style="0" bestFit="1" customWidth="1"/>
    <col min="23" max="23" width="6.7109375" style="0" bestFit="1" customWidth="1"/>
    <col min="24" max="24" width="7.28125" style="0" bestFit="1" customWidth="1"/>
    <col min="25" max="25" width="14.8515625" style="0" bestFit="1" customWidth="1"/>
    <col min="26" max="26" width="11.28125" style="0" bestFit="1" customWidth="1"/>
    <col min="27" max="27" width="8.28125" style="0" customWidth="1"/>
    <col min="28" max="28" width="7.28125" style="0" bestFit="1" customWidth="1"/>
    <col min="29" max="29" width="14.8515625" style="0" bestFit="1" customWidth="1"/>
    <col min="30" max="30" width="11.28125" style="0" bestFit="1" customWidth="1"/>
    <col min="31" max="31" width="8.421875" style="0" customWidth="1"/>
    <col min="32" max="32" width="7.28125" style="0" bestFit="1" customWidth="1"/>
    <col min="33" max="33" width="14.8515625" style="0" bestFit="1" customWidth="1"/>
    <col min="34" max="34" width="11.28125" style="0" bestFit="1" customWidth="1"/>
    <col min="35" max="35" width="8.140625" style="0" customWidth="1"/>
    <col min="36" max="36" width="7.28125" style="0" bestFit="1" customWidth="1"/>
    <col min="37" max="37" width="14.8515625" style="0" bestFit="1" customWidth="1"/>
    <col min="38" max="38" width="11.28125" style="0" bestFit="1" customWidth="1"/>
    <col min="39" max="39" width="9.00390625" style="0" customWidth="1"/>
    <col min="40" max="40" width="7.28125" style="0" bestFit="1" customWidth="1"/>
    <col min="41" max="41" width="14.8515625" style="0" bestFit="1" customWidth="1"/>
    <col min="42" max="42" width="11.28125" style="0" bestFit="1" customWidth="1"/>
    <col min="43" max="43" width="17.57421875" style="0" customWidth="1"/>
    <col min="44" max="44" width="9.7109375" style="0" customWidth="1"/>
    <col min="45" max="45" width="24.28125" style="0" customWidth="1"/>
    <col min="46" max="46" width="17.140625" style="0" customWidth="1"/>
    <col min="47" max="47" width="15.7109375" style="0" customWidth="1"/>
    <col min="48" max="48" width="16.28125" style="0" bestFit="1" customWidth="1"/>
    <col min="49" max="49" width="20.7109375" style="0" customWidth="1"/>
    <col min="50" max="52" width="9.7109375" style="0" customWidth="1"/>
    <col min="53" max="53" width="18.28125" style="0" customWidth="1"/>
    <col min="54" max="54" width="16.140625" style="0" bestFit="1" customWidth="1"/>
    <col min="55" max="56" width="9.7109375" style="0" customWidth="1"/>
    <col min="57" max="57" width="12.00390625" style="0" bestFit="1" customWidth="1"/>
    <col min="58" max="60" width="9.7109375" style="0" customWidth="1"/>
    <col min="61" max="61" width="11.57421875" style="0" customWidth="1"/>
    <col min="62" max="67" width="12.00390625" style="0" customWidth="1"/>
    <col min="68" max="68" width="9.00390625" style="0" customWidth="1"/>
    <col min="69" max="69" width="12.00390625" style="0" customWidth="1"/>
    <col min="70" max="70" width="12.140625" style="0" customWidth="1"/>
    <col min="71" max="105" width="12.00390625" style="0" customWidth="1"/>
    <col min="106" max="106" width="11.00390625" style="0" customWidth="1"/>
    <col min="107" max="115" width="12.00390625" style="0" customWidth="1"/>
    <col min="116" max="116" width="11.00390625" style="0" customWidth="1"/>
    <col min="117" max="187" width="12.00390625" style="0" customWidth="1"/>
    <col min="188" max="188" width="12.57421875" style="0" customWidth="1"/>
    <col min="189" max="204" width="12.00390625" style="0" customWidth="1"/>
    <col min="205" max="205" width="12.57421875" style="0" customWidth="1"/>
    <col min="206" max="207" width="12.00390625" style="0" customWidth="1"/>
    <col min="208" max="208" width="12.57421875" style="0" customWidth="1"/>
    <col min="209" max="16384" width="12.00390625" style="0" customWidth="1"/>
  </cols>
  <sheetData>
    <row r="1" spans="3:47" ht="12.75"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</row>
    <row r="2" spans="3:49" ht="12.75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W2" s="6"/>
    </row>
    <row r="3" spans="2:49" ht="12.75">
      <c r="B3" t="s">
        <v>274</v>
      </c>
      <c r="C3" s="214" t="s">
        <v>275</v>
      </c>
      <c r="D3" s="20"/>
      <c r="E3" s="6"/>
      <c r="F3" s="5"/>
      <c r="G3" s="5"/>
      <c r="H3" s="20"/>
      <c r="I3" s="6"/>
      <c r="J3" s="5"/>
      <c r="K3" s="5"/>
      <c r="L3" s="20"/>
      <c r="M3" s="6"/>
      <c r="N3" s="5"/>
      <c r="O3" s="5"/>
      <c r="P3" s="20"/>
      <c r="Q3" s="6"/>
      <c r="R3" s="5"/>
      <c r="S3" s="2"/>
      <c r="T3" s="20"/>
      <c r="U3" s="6"/>
      <c r="V3" s="5"/>
      <c r="W3" s="5"/>
      <c r="X3" s="20"/>
      <c r="Y3" s="6"/>
      <c r="Z3" s="5"/>
      <c r="AA3" s="5"/>
      <c r="AB3" s="20"/>
      <c r="AC3" s="6"/>
      <c r="AD3" s="5"/>
      <c r="AE3" s="5"/>
      <c r="AF3" s="20"/>
      <c r="AG3" s="6"/>
      <c r="AH3" s="5"/>
      <c r="AI3" s="5"/>
      <c r="AJ3" s="20"/>
      <c r="AK3" s="6"/>
      <c r="AL3" s="5"/>
      <c r="AM3" s="5"/>
      <c r="AN3" s="20"/>
      <c r="AO3" s="6"/>
      <c r="AP3" s="5"/>
      <c r="AV3" s="42">
        <f>COLUMN()</f>
        <v>48</v>
      </c>
      <c r="AW3" s="6">
        <f>AV5*PasteurizationSims!AZ38</f>
        <v>0.0635702618551232</v>
      </c>
    </row>
    <row r="4" spans="3:42" ht="12.75">
      <c r="C4" s="116" t="s">
        <v>13</v>
      </c>
      <c r="D4" s="117"/>
      <c r="E4" s="117"/>
      <c r="F4" s="118"/>
      <c r="G4" s="116" t="s">
        <v>58</v>
      </c>
      <c r="H4" s="117"/>
      <c r="I4" s="117"/>
      <c r="J4" s="118"/>
      <c r="K4" s="116" t="s">
        <v>16</v>
      </c>
      <c r="L4" s="117"/>
      <c r="M4" s="117"/>
      <c r="N4" s="118"/>
      <c r="O4" s="116" t="s">
        <v>57</v>
      </c>
      <c r="P4" s="117"/>
      <c r="Q4" s="117"/>
      <c r="R4" s="118"/>
      <c r="S4" s="116" t="s">
        <v>56</v>
      </c>
      <c r="T4" s="117"/>
      <c r="U4" s="117"/>
      <c r="V4" s="118"/>
      <c r="W4" s="116" t="s">
        <v>55</v>
      </c>
      <c r="X4" s="117"/>
      <c r="Y4" s="117"/>
      <c r="Z4" s="118"/>
      <c r="AA4" s="116" t="s">
        <v>54</v>
      </c>
      <c r="AB4" s="117"/>
      <c r="AC4" s="117"/>
      <c r="AD4" s="118"/>
      <c r="AE4" s="116" t="s">
        <v>53</v>
      </c>
      <c r="AF4" s="117"/>
      <c r="AG4" s="117"/>
      <c r="AH4" s="118"/>
      <c r="AI4" s="116" t="s">
        <v>59</v>
      </c>
      <c r="AJ4" s="117"/>
      <c r="AK4" s="117"/>
      <c r="AL4" s="118"/>
      <c r="AM4" s="116" t="s">
        <v>46</v>
      </c>
      <c r="AN4" s="117"/>
      <c r="AO4" s="117"/>
      <c r="AP4" s="118"/>
    </row>
    <row r="5" spans="3:54" ht="12.75">
      <c r="C5" s="22" t="s">
        <v>48</v>
      </c>
      <c r="D5" s="23" t="s">
        <v>10</v>
      </c>
      <c r="E5" s="29" t="s">
        <v>50</v>
      </c>
      <c r="F5" s="22" t="s">
        <v>49</v>
      </c>
      <c r="G5" s="22" t="s">
        <v>48</v>
      </c>
      <c r="H5" s="23" t="s">
        <v>10</v>
      </c>
      <c r="I5" s="24" t="s">
        <v>50</v>
      </c>
      <c r="J5" s="22" t="s">
        <v>49</v>
      </c>
      <c r="K5" s="22" t="s">
        <v>48</v>
      </c>
      <c r="L5" s="23" t="s">
        <v>10</v>
      </c>
      <c r="M5" s="24" t="s">
        <v>50</v>
      </c>
      <c r="N5" s="22" t="s">
        <v>49</v>
      </c>
      <c r="O5" s="22" t="s">
        <v>48</v>
      </c>
      <c r="P5" s="23" t="s">
        <v>10</v>
      </c>
      <c r="Q5" s="24" t="s">
        <v>50</v>
      </c>
      <c r="R5" s="22" t="s">
        <v>49</v>
      </c>
      <c r="S5" s="66" t="s">
        <v>48</v>
      </c>
      <c r="T5" s="23" t="s">
        <v>10</v>
      </c>
      <c r="U5" s="24" t="s">
        <v>50</v>
      </c>
      <c r="V5" s="22" t="s">
        <v>49</v>
      </c>
      <c r="W5" s="22" t="s">
        <v>48</v>
      </c>
      <c r="X5" s="23" t="s">
        <v>10</v>
      </c>
      <c r="Y5" s="24" t="s">
        <v>50</v>
      </c>
      <c r="Z5" s="22" t="s">
        <v>49</v>
      </c>
      <c r="AA5" s="22" t="s">
        <v>48</v>
      </c>
      <c r="AB5" s="23" t="s">
        <v>10</v>
      </c>
      <c r="AC5" s="24" t="s">
        <v>50</v>
      </c>
      <c r="AD5" s="22" t="s">
        <v>49</v>
      </c>
      <c r="AE5" s="22" t="s">
        <v>48</v>
      </c>
      <c r="AF5" s="23" t="s">
        <v>10</v>
      </c>
      <c r="AG5" s="24" t="s">
        <v>50</v>
      </c>
      <c r="AH5" s="22" t="s">
        <v>49</v>
      </c>
      <c r="AI5" s="22" t="s">
        <v>48</v>
      </c>
      <c r="AJ5" s="23" t="s">
        <v>10</v>
      </c>
      <c r="AK5" s="24" t="s">
        <v>50</v>
      </c>
      <c r="AL5" s="22" t="s">
        <v>49</v>
      </c>
      <c r="AM5" s="22" t="s">
        <v>48</v>
      </c>
      <c r="AN5" s="23" t="s">
        <v>10</v>
      </c>
      <c r="AO5" s="24" t="s">
        <v>50</v>
      </c>
      <c r="AP5" s="22" t="s">
        <v>49</v>
      </c>
      <c r="AQ5" s="24" t="s">
        <v>135</v>
      </c>
      <c r="AR5" s="22" t="s">
        <v>134</v>
      </c>
      <c r="AS5" s="24" t="s">
        <v>50</v>
      </c>
      <c r="AT5" s="24" t="s">
        <v>140</v>
      </c>
      <c r="AU5" s="24" t="s">
        <v>141</v>
      </c>
      <c r="AV5" s="216">
        <f>AU6*Inputs!D23</f>
        <v>1.2586176814588423E-12</v>
      </c>
      <c r="AW5" s="32" t="s">
        <v>276</v>
      </c>
      <c r="AY5" s="115" t="s">
        <v>118</v>
      </c>
      <c r="AZ5" s="113"/>
      <c r="BA5" s="113"/>
      <c r="BB5" s="114"/>
    </row>
    <row r="6" spans="2:56" ht="12.75">
      <c r="B6" s="12" t="s">
        <v>65</v>
      </c>
      <c r="C6" s="25">
        <f>AVERAGE(C19:C65536)</f>
        <v>0.29999999999999993</v>
      </c>
      <c r="D6" s="26">
        <f>AVERAGE(D19:D65536)</f>
        <v>0.12314064344214</v>
      </c>
      <c r="E6" s="27">
        <f>AVERAGE(E19:E65536)</f>
        <v>7.248405709404125</v>
      </c>
      <c r="F6" s="72">
        <f>AVERAGE(F19:F65536)</f>
        <v>26.812337504277856</v>
      </c>
      <c r="G6" s="25">
        <f>AVERAGE(G19:G65536)</f>
        <v>3.466666666666664</v>
      </c>
      <c r="H6" s="26">
        <f>AVERAGE(H19:H65536)</f>
        <v>0.12651660104869666</v>
      </c>
      <c r="I6" s="27">
        <f>AVERAGE(I19:I65536)</f>
        <v>7.2772277251892294</v>
      </c>
      <c r="J6" s="72">
        <f>AVERAGE(J19:J65536)</f>
        <v>13.370670433857928</v>
      </c>
      <c r="K6" s="25">
        <f>AVERAGE(K19:K65536)</f>
        <v>3.7541666666666655</v>
      </c>
      <c r="L6" s="26">
        <f>AVERAGE(L19:L65536)</f>
        <v>0.1267646084782207</v>
      </c>
      <c r="M6" s="27">
        <f>AVERAGE(M19:M65536)</f>
        <v>7.2772277251892294</v>
      </c>
      <c r="N6" s="72">
        <f>AVERAGE(N19:N65536)</f>
        <v>10.765335683061895</v>
      </c>
      <c r="O6" s="25">
        <f>AVERAGE(O19:O65536)</f>
        <v>6.066666666666671</v>
      </c>
      <c r="P6" s="26">
        <f>AVERAGE(P19:P65536)</f>
        <v>0.12828441616050995</v>
      </c>
      <c r="Q6" s="27">
        <f>AVERAGE(Q19:Q65536)</f>
        <v>7.2772277251892294</v>
      </c>
      <c r="R6" s="72">
        <f>AVERAGE(R19:R65536)</f>
        <v>8.124244559163802</v>
      </c>
      <c r="S6" s="25">
        <f>IF(ISBLANK(S19),O6,AVERAGE(S19:S65536))</f>
        <v>0.01536458333333331</v>
      </c>
      <c r="T6" s="26">
        <f>IF(ISBLANK(T19),P6,AVERAGE(T19:T65536))</f>
        <v>0.8295726405367227</v>
      </c>
      <c r="U6" s="27">
        <f>IF(ISBLANK(U19),Q6,AVERAGE(U19:U65536))</f>
        <v>0.8</v>
      </c>
      <c r="V6" s="72">
        <f>IF(ISBLANK(V19),R6,AVERAGE(V19:V65536))</f>
        <v>53.63177881510203</v>
      </c>
      <c r="W6" s="25">
        <f>AVERAGE(W19:W65536)</f>
        <v>8.298715277777779</v>
      </c>
      <c r="X6" s="26">
        <f>AVERAGE(X19:X65536)</f>
        <v>0.9829007609161868</v>
      </c>
      <c r="Y6" s="27">
        <f>AVERAGE(Y19:Y65536)</f>
        <v>0.8</v>
      </c>
      <c r="Z6" s="72">
        <f>AVERAGE(Z19:Z65536)</f>
        <v>9.629996317999554</v>
      </c>
      <c r="AA6" s="25">
        <f>AVERAGE(AA19:AA65536)</f>
        <v>8.886215277777774</v>
      </c>
      <c r="AB6" s="26">
        <f>AVERAGE(AB19:AB65536)</f>
        <v>0.9829413887268121</v>
      </c>
      <c r="AC6" s="27">
        <f>AVERAGE(AC19:AC65536)</f>
        <v>1.0625826683140538</v>
      </c>
      <c r="AD6" s="72">
        <f>AVERAGE(AD19:AD65536)</f>
        <v>11.404303788199602</v>
      </c>
      <c r="AE6" s="25">
        <f>AVERAGE(AE19:AE65536)</f>
        <v>15.936215277777766</v>
      </c>
      <c r="AF6" s="26">
        <f>AVERAGE(AF19:AF65536)</f>
        <v>0.985285519016141</v>
      </c>
      <c r="AG6" s="27">
        <f>AVERAGE(AG19:AG65536)</f>
        <v>1.0625826683140538</v>
      </c>
      <c r="AH6" s="72">
        <f>AVERAGE(AH19:AH65536)</f>
        <v>4.4712301439519635</v>
      </c>
      <c r="AI6" s="25">
        <f>AVERAGE(AI19:AI65536)</f>
        <v>15.982048611111097</v>
      </c>
      <c r="AJ6" s="26">
        <f>AVERAGE(AJ19:AJ65536)</f>
        <v>0.9853467329922859</v>
      </c>
      <c r="AK6" s="27">
        <f>AVERAGE(AK19:AK65536)</f>
        <v>2.5128332244541403</v>
      </c>
      <c r="AL6" s="72">
        <f>AVERAGE(AL19:AL65536)</f>
        <v>17.270404363743417</v>
      </c>
      <c r="AM6" s="25">
        <f>AVERAGE(AM19:AM65536)</f>
        <v>25.544548611111146</v>
      </c>
      <c r="AN6" s="26">
        <f>AVERAGE(AN19:AN65536)</f>
        <v>0.9875166559906876</v>
      </c>
      <c r="AO6" s="27">
        <f>AVERAGE(AO19:AO65536)</f>
        <v>2.5128332244541403</v>
      </c>
      <c r="AP6" s="72">
        <f>AVERAGE(AP19:AP65536)</f>
        <v>4.495525976875337</v>
      </c>
      <c r="AQ6" s="27">
        <f>AVERAGE(AQ19:AQ65536)</f>
        <v>7.248405709404125</v>
      </c>
      <c r="AR6" s="25">
        <f>AVERAGE(AR19:AR65536)</f>
        <v>8.744444444444444</v>
      </c>
      <c r="AS6" s="27">
        <f>AVERAGE(AS19:AS65536)</f>
        <v>1.6428089975721791E-06</v>
      </c>
      <c r="AT6" s="128">
        <f>AVERAGE(AT19:AT65536)</f>
        <v>2.3</v>
      </c>
      <c r="AU6" s="199">
        <f>AVERAGE(AU19:AU65536)</f>
        <v>4.227558747516014E-09</v>
      </c>
      <c r="AV6" s="12" t="s">
        <v>65</v>
      </c>
      <c r="AW6" s="112">
        <v>0.012561108326787428</v>
      </c>
      <c r="AY6" s="112" t="s">
        <v>111</v>
      </c>
      <c r="AZ6" s="112" t="s">
        <v>28</v>
      </c>
      <c r="BA6" s="112" t="s">
        <v>116</v>
      </c>
      <c r="BB6" s="112" t="s">
        <v>117</v>
      </c>
      <c r="BD6" s="213"/>
    </row>
    <row r="7" spans="2:54" ht="12.75">
      <c r="B7" s="12" t="s">
        <v>64</v>
      </c>
      <c r="C7" s="25">
        <f>PERCENTILE(C19:C65536,0.5)</f>
        <v>0.29166666666666663</v>
      </c>
      <c r="D7" s="26">
        <f>PERCENTILE(D19:D65536,0.5)</f>
        <v>0.02589045586556371</v>
      </c>
      <c r="E7" s="27">
        <f>PERCENTILE(E19:E65536,0.5)</f>
        <v>6.148950689605456</v>
      </c>
      <c r="F7" s="72">
        <f>PERCENTILE(F19:F65536,0.5)</f>
        <v>26.82807530354752</v>
      </c>
      <c r="G7" s="25">
        <f>PERCENTILE(G19:G65536,0.5)</f>
        <v>3.2291666666666647</v>
      </c>
      <c r="H7" s="26">
        <f>PERCENTILE(H19:H65536,0.5)</f>
        <v>0.028934312355259617</v>
      </c>
      <c r="I7" s="27">
        <f>PERCENTILE(I19:I65536,0.5)</f>
        <v>6.148950689605456</v>
      </c>
      <c r="J7" s="72">
        <f>PERCENTILE(J19:J65536,0.5)</f>
        <v>13.905224531232676</v>
      </c>
      <c r="K7" s="25">
        <f>PERCENTILE(K19:K65536,0.5)</f>
        <v>3.4374999999999973</v>
      </c>
      <c r="L7" s="26">
        <f>PERCENTILE(L19:L65536,0.5)</f>
        <v>0.029434816280959786</v>
      </c>
      <c r="M7" s="27">
        <f>PERCENTILE(M19:M65536,0.5)</f>
        <v>6.148950689605456</v>
      </c>
      <c r="N7" s="72">
        <f>PERCENTILE(N19:N65536,0.5)</f>
        <v>10.410937169607756</v>
      </c>
      <c r="O7" s="25">
        <f>PERCENTILE(O19:O65536,0.5)</f>
        <v>5.35416666666667</v>
      </c>
      <c r="P7" s="26">
        <f>PERCENTILE(P19:P65536,0.5)</f>
        <v>0.030363850442982843</v>
      </c>
      <c r="Q7" s="27">
        <f>PERCENTILE(Q19:Q65536,0.5)</f>
        <v>6.148950689605456</v>
      </c>
      <c r="R7" s="72">
        <f>PERCENTILE(R19:R65536,0.5)</f>
        <v>7.2946593545959395</v>
      </c>
      <c r="S7" s="25">
        <f>IF(ISBLANK(S20),O7,PERCENTILE(S19:S65536,0.5))</f>
        <v>0.015451388888888865</v>
      </c>
      <c r="T7" s="26">
        <f>IF(ISBLANK(T20),P7,PERCENTILE(T19:T65536,0.5))</f>
        <v>0.8200035932393956</v>
      </c>
      <c r="U7" s="27">
        <f>IF(ISBLANK(U19),Q7,MAX(PERCENTILE(U19:U65536,0.5),0.0001))</f>
        <v>0.5</v>
      </c>
      <c r="V7" s="72">
        <f>IF(ISBLANK(V19),R7,MAX(PERCENTILE(V19:V65536,0.5),0.0001))</f>
        <v>53.63200133148804</v>
      </c>
      <c r="W7" s="25">
        <f>MAX(PERCENTILE(W19:W65536,0.5),0.0001)</f>
        <v>7.969010416666686</v>
      </c>
      <c r="X7" s="26">
        <f>MAX(PERCENTILE(X19:X65536,0.5),0.0001)</f>
        <v>1</v>
      </c>
      <c r="Y7" s="27">
        <f>MAX(PERCENTILE(Y19:Y65536,0.5),0.0001)</f>
        <v>0.5</v>
      </c>
      <c r="Z7" s="72">
        <f>MAX(PERCENTILE(Z19:Z65536,0.5),0.0001)</f>
        <v>9.507351452816435</v>
      </c>
      <c r="AA7" s="25">
        <f>MAX(PERCENTILE(AA19:AA65536,0.5),0.0001)</f>
        <v>8.385677083333348</v>
      </c>
      <c r="AB7" s="26">
        <f>MAX(PERCENTILE(AB19:AB65536,0.5),0.0001)</f>
        <v>1</v>
      </c>
      <c r="AC7" s="27">
        <f>MAX(PERCENTILE(AC19:AC65536,0.5),0.0001)</f>
        <v>0.5</v>
      </c>
      <c r="AD7" s="72">
        <f>MAX(PERCENTILE(AD19:AD65536,0.5),0.0001)</f>
        <v>11.522027453714022</v>
      </c>
      <c r="AE7" s="25">
        <f>MAX(PERCENTILE(AE19:AE65536,0.5),0.0001)</f>
        <v>13.594791666666609</v>
      </c>
      <c r="AF7" s="26">
        <f>MAX(PERCENTILE(AF19:AF65536,0.5),0.0001)</f>
        <v>1</v>
      </c>
      <c r="AG7" s="27">
        <f>MAX(PERCENTILE(AG19:AG65536,0.5),0.0001)</f>
        <v>0.5</v>
      </c>
      <c r="AH7" s="72">
        <f>MAX(PERCENTILE(AH19:AH65536,0.5),0.0001)</f>
        <v>4.1824329859173215</v>
      </c>
      <c r="AI7" s="25">
        <f>MAX(PERCENTILE(AI19:AI65536,0.5),0.0001)</f>
        <v>13.636458333333277</v>
      </c>
      <c r="AJ7" s="26">
        <f>MAX(PERCENTILE(AJ19:AJ65536,0.5),0.0001)</f>
        <v>1</v>
      </c>
      <c r="AK7" s="27">
        <f>MAX(PERCENTILE(AK19:AK65536,0.5),0.0001)</f>
        <v>0.5</v>
      </c>
      <c r="AL7" s="72">
        <f>MAX(PERCENTILE(AL19:AL65536,0.5),0.0001)</f>
        <v>18.270615938529755</v>
      </c>
      <c r="AM7" s="25">
        <f>MAX(PERCENTILE(AM19:AM65536,0.5),0.0001)</f>
        <v>23.65651041666679</v>
      </c>
      <c r="AN7" s="26">
        <f>MAX(PERCENTILE(AN19:AN65536,0.5),0.0001)</f>
        <v>1</v>
      </c>
      <c r="AO7" s="27">
        <f>MAX(PERCENTILE(AO19:AO65536,0.5),0.0001)</f>
        <v>0.5</v>
      </c>
      <c r="AP7" s="72">
        <f>MAX(PERCENTILE(AP19:AP65536,0.5),0.0001)</f>
        <v>4</v>
      </c>
      <c r="AQ7" s="27">
        <f>MAX(PERCENTILE(AQ19:AQ65536,0.5),0.0001)</f>
        <v>6.148950689605456</v>
      </c>
      <c r="AR7" s="25">
        <f>MAX(PERCENTILE(AR19:AR65536,0.5),0.0001)</f>
        <v>10</v>
      </c>
      <c r="AS7" s="27">
        <f>MAX(PERCENTILE(AS19:AS65536,0.5),0.0001)</f>
        <v>0.0001</v>
      </c>
      <c r="AT7" s="128">
        <f>MAX(PERCENTILE(AT19:AT65536,0.5),0.0001)</f>
        <v>2</v>
      </c>
      <c r="AU7" s="26">
        <f>MAX(PERCENTILE(AU19:AU65536,0.5),0.0001)</f>
        <v>0.0001</v>
      </c>
      <c r="AV7" s="12" t="s">
        <v>64</v>
      </c>
      <c r="AW7" s="112">
        <f>AW6*Inputs!D23</f>
        <v>3.7396601639430356E-06</v>
      </c>
      <c r="AY7" s="107" t="s">
        <v>97</v>
      </c>
      <c r="AZ7" s="108">
        <f aca="true" t="shared" si="0" ref="AZ7:AZ15">COUNTIF($B$19:$B$50018,AY7)</f>
        <v>2</v>
      </c>
      <c r="BA7" s="108">
        <f aca="true" t="shared" si="1" ref="BA7:BA15">SUMIF($B$19:$B$10018,AY7,$AO$19:$AO$10018)</f>
        <v>18.502505561400863</v>
      </c>
      <c r="BB7" s="108">
        <f>BA7/AZ7</f>
        <v>9.251252780700431</v>
      </c>
    </row>
    <row r="8" spans="2:54" ht="12.75">
      <c r="B8" s="12" t="s">
        <v>66</v>
      </c>
      <c r="C8" s="25">
        <f>STDEV(C19:C65536)</f>
        <v>0.1732496236612521</v>
      </c>
      <c r="D8" s="26">
        <f>STDEV(D19:D65536)</f>
        <v>0.3080986826577115</v>
      </c>
      <c r="E8" s="27">
        <f>STDEV(E19:E65536)</f>
        <v>5.8257124441296195</v>
      </c>
      <c r="F8" s="72">
        <f>STDEV(F19:F65536)</f>
        <v>5.621322565525329</v>
      </c>
      <c r="G8" s="25">
        <f>STDEV(G19:G65536)</f>
        <v>0.8668714145608429</v>
      </c>
      <c r="H8" s="26">
        <f>STDEV(H19:H65536)</f>
        <v>0.30692066810190205</v>
      </c>
      <c r="I8" s="27">
        <f>STDEV(I19:I65536)</f>
        <v>5.874269861294407</v>
      </c>
      <c r="J8" s="72">
        <f>STDEV(J19:J65536)</f>
        <v>4.783158383021934</v>
      </c>
      <c r="K8" s="25">
        <f>STDEV(K19:K65536)</f>
        <v>0.8696818099841344</v>
      </c>
      <c r="L8" s="26">
        <f>STDEV(L19:L65536)</f>
        <v>0.3068336456579091</v>
      </c>
      <c r="M8" s="27">
        <f>STDEV(M19:M65536)</f>
        <v>5.874269861294407</v>
      </c>
      <c r="N8" s="72">
        <f>STDEV(N19:N65536)</f>
        <v>3.31994978934943</v>
      </c>
      <c r="O8" s="25">
        <f>STDEV(O19:O65536)</f>
        <v>2.71315098577373</v>
      </c>
      <c r="P8" s="26">
        <f>STDEV(P19:P65536)</f>
        <v>0.30630783138468387</v>
      </c>
      <c r="Q8" s="27">
        <f>STDEV(Q19:Q65536)</f>
        <v>5.874269861294407</v>
      </c>
      <c r="R8" s="72">
        <f>STDEV(R19:R65536)</f>
        <v>2.815444624372619</v>
      </c>
      <c r="S8" s="25">
        <f>IF(ISBLANK(S21),O8,STDEV(S19:S65536))</f>
        <v>0.00034962517284724563</v>
      </c>
      <c r="T8" s="26">
        <f>IF(ISBLANK(T21),P8,STDEV(T19:T65536))</f>
        <v>0.06437353288150613</v>
      </c>
      <c r="U8" s="27">
        <f>IF(ISBLANK(U21),Q8,STDEV(U19:U65536))</f>
        <v>1.0327955589886444</v>
      </c>
      <c r="V8" s="72">
        <f>IF(ISBLANK(V21),R8,STDEV(V19:V65536))</f>
        <v>0.032262902205326995</v>
      </c>
      <c r="W8" s="25">
        <f>STDEV(W19:W65536)</f>
        <v>2.8371377797910737</v>
      </c>
      <c r="X8" s="26">
        <f>STDEV(X19:X65536)</f>
        <v>0.05407254176062146</v>
      </c>
      <c r="Y8" s="27">
        <f>STDEV(Y19:Y65536)</f>
        <v>1.0327955589886444</v>
      </c>
      <c r="Z8" s="72">
        <f>STDEV(Z19:Z65536)</f>
        <v>3.816323545944598</v>
      </c>
      <c r="AA8" s="25">
        <f>STDEV(AA19:AA65536)</f>
        <v>3.042886069140409</v>
      </c>
      <c r="AB8" s="26">
        <f>STDEV(AB19:AB65536)</f>
        <v>0.053944065342697044</v>
      </c>
      <c r="AC8" s="27">
        <f>STDEV(AC19:AC65536)</f>
        <v>1.5672854534172858</v>
      </c>
      <c r="AD8" s="72">
        <f>STDEV(AD19:AD65536)</f>
        <v>2.4956988579504356</v>
      </c>
      <c r="AE8" s="25">
        <f>STDEV(AE19:AE65536)</f>
        <v>6.310417129549054</v>
      </c>
      <c r="AF8" s="26">
        <f>STDEV(AF19:AF65536)</f>
        <v>0.0465312744962291</v>
      </c>
      <c r="AG8" s="27">
        <f>STDEV(AG19:AG65536)</f>
        <v>1.5672854534172858</v>
      </c>
      <c r="AH8" s="72">
        <f>STDEV(AH19:AH65536)</f>
        <v>0.6337938839542453</v>
      </c>
      <c r="AI8" s="25">
        <f>STDEV(AI19:AI65536)</f>
        <v>6.321374188237293</v>
      </c>
      <c r="AJ8" s="26">
        <f>STDEV(AJ19:AJ65536)</f>
        <v>0.04633769890697607</v>
      </c>
      <c r="AK8" s="27">
        <f>STDEV(AK19:AK65536)</f>
        <v>5.452753283027628</v>
      </c>
      <c r="AL8" s="72">
        <f>STDEV(AL19:AL65536)</f>
        <v>6.999675858621005</v>
      </c>
      <c r="AM8" s="25">
        <f>STDEV(AM19:AM65536)</f>
        <v>9.218866501510195</v>
      </c>
      <c r="AN8" s="26">
        <f>STDEV(AN19:AN65536)</f>
        <v>0.03947579988484362</v>
      </c>
      <c r="AO8" s="27">
        <f>STDEV(AO19:AO65536)</f>
        <v>5.452753283027628</v>
      </c>
      <c r="AP8" s="72">
        <f>STDEV(AP19:AP65536)</f>
        <v>1.1156615173040259</v>
      </c>
      <c r="AQ8" s="27">
        <f>STDEV(AQ19:AQ65536)</f>
        <v>5.8257124441296195</v>
      </c>
      <c r="AR8" s="25">
        <f>STDEV(AR19:AR65536)</f>
        <v>3.8644434860391104</v>
      </c>
      <c r="AS8" s="27">
        <f>STDEV(AS19:AS65536)</f>
        <v>4.474743271757328E-06</v>
      </c>
      <c r="AT8" s="128">
        <f>STDEV(AT19:AT65536)</f>
        <v>1.5670212364724212</v>
      </c>
      <c r="AU8" s="26">
        <f>STDEV(AU19:AU65536)</f>
        <v>1.1515179073428418E-08</v>
      </c>
      <c r="AV8" s="12" t="s">
        <v>66</v>
      </c>
      <c r="AY8" s="107" t="s">
        <v>34</v>
      </c>
      <c r="AZ8" s="108">
        <f t="shared" si="0"/>
        <v>0</v>
      </c>
      <c r="BA8" s="108">
        <f t="shared" si="1"/>
        <v>0</v>
      </c>
      <c r="BB8" s="108" t="e">
        <f aca="true" t="shared" si="2" ref="BB8:BB15">BA8/AZ8</f>
        <v>#DIV/0!</v>
      </c>
    </row>
    <row r="9" spans="2:54" ht="12.75">
      <c r="B9" s="12" t="s">
        <v>51</v>
      </c>
      <c r="C9" s="25">
        <f>PERCENTILE(C19:C65536,0.05)</f>
        <v>0.07916666666666666</v>
      </c>
      <c r="D9" s="26">
        <f>PERCENTILE(D19:D65536,0.05)</f>
        <v>0.024454496183644325</v>
      </c>
      <c r="E9" s="28">
        <f>PERCENTILE(E19:E65536,0.05)</f>
        <v>1</v>
      </c>
      <c r="F9" s="72">
        <f>PERCENTILE(F19:F65536,0.05)</f>
        <v>19.927102506497725</v>
      </c>
      <c r="G9" s="25">
        <f>PERCENTILE(G19:G65536,0.05)</f>
        <v>2.597916666666666</v>
      </c>
      <c r="H9" s="26">
        <f>PERCENTILE(H19:H65536,0.05)</f>
        <v>0.027110531968539898</v>
      </c>
      <c r="I9" s="28">
        <f>PERCENTILE(I19:I65536,0.05)</f>
        <v>1</v>
      </c>
      <c r="J9" s="72">
        <f>PERCENTILE(J19:J65536,0.05)</f>
        <v>5.788734698086048</v>
      </c>
      <c r="K9" s="25">
        <f>PERCENTILE(K19:K65536,0.05)</f>
        <v>2.945833333333331</v>
      </c>
      <c r="L9" s="26">
        <f>PERCENTILE(L19:L65536,0.05)</f>
        <v>0.027211388119766006</v>
      </c>
      <c r="M9" s="28">
        <f>PERCENTILE(M19:M65536,0.05)</f>
        <v>1</v>
      </c>
      <c r="N9" s="72">
        <f>PERCENTILE(N19:N65536,0.05)</f>
        <v>6.986024220428325</v>
      </c>
      <c r="O9" s="25">
        <f>PERCENTILE(O19:O65536,0.05)</f>
        <v>3.4145833333333298</v>
      </c>
      <c r="P9" s="26">
        <f>PERCENTILE(P19:P65536,0.05)</f>
        <v>0.02774538943318409</v>
      </c>
      <c r="Q9" s="28">
        <f>PERCENTILE(Q19:Q65536,0.05)</f>
        <v>1</v>
      </c>
      <c r="R9" s="72">
        <f>PERCENTILE(R19:R65536,0.05)</f>
        <v>4.54723983161811</v>
      </c>
      <c r="S9" s="25">
        <f>IF(ISBLANK(S22),O9,PERCENTILE(S19:S65536,0.05))</f>
        <v>0.014835069444444423</v>
      </c>
      <c r="T9" s="26">
        <f>IF(ISBLANK(T22),P9,PERCENTILE(T19:T65536,0.05))</f>
        <v>0.7746640070532428</v>
      </c>
      <c r="U9" s="28">
        <f>IF(ISBLANK(U19),Q9,MAX(PERCENTILE(U19:U65536,0.05),0.0001))</f>
        <v>0.0001</v>
      </c>
      <c r="V9" s="72">
        <f>IF(ISBLANK(V19),R9,MAX(PERCENTILE(V19:V65536,0.05),0.0001))</f>
        <v>53.58645298854047</v>
      </c>
      <c r="W9" s="25">
        <f>MAX(PERCENTILE(W19:W65536,0.05),0.0001)</f>
        <v>4.529088541666666</v>
      </c>
      <c r="X9" s="26">
        <f>MAX(PERCENTILE(X19:X65536,0.05),0.0001)</f>
        <v>0.9059541850390275</v>
      </c>
      <c r="Y9" s="28">
        <f>MAX(PERCENTILE(Y19:Y65536,0.05),0.0001)</f>
        <v>0.0001</v>
      </c>
      <c r="Z9" s="72">
        <f>MAX(PERCENTILE(Z19:Z65536,0.05),0.0001)</f>
        <v>4.318868793307196</v>
      </c>
      <c r="AA9" s="25">
        <f>MAX(PERCENTILE(AA19:AA65536,0.05),0.0001)</f>
        <v>5.108255208333335</v>
      </c>
      <c r="AB9" s="26">
        <f>MAX(PERCENTILE(AB19:AB65536,0.05),0.0001)</f>
        <v>0.9061776379974662</v>
      </c>
      <c r="AC9" s="28">
        <f>MAX(PERCENTILE(AC19:AC65536,0.05),0.0001)</f>
        <v>0.0001</v>
      </c>
      <c r="AD9" s="72">
        <f>MAX(PERCENTILE(AD19:AD65536,0.05),0.0001)</f>
        <v>7.732158600293254</v>
      </c>
      <c r="AE9" s="25">
        <f>MAX(PERCENTILE(AE19:AE65536,0.05),0.0001)</f>
        <v>11.578350694444417</v>
      </c>
      <c r="AF9" s="26">
        <f>MAX(PERCENTILE(AF19:AF65536,0.05),0.0001)</f>
        <v>0.9190703545887757</v>
      </c>
      <c r="AG9" s="28">
        <f>MAX(PERCENTILE(AG19:AG65536,0.05),0.0001)</f>
        <v>0.0001</v>
      </c>
      <c r="AH9" s="72">
        <f>MAX(PERCENTILE(AH19:AH65536,0.05),0.0001)</f>
        <v>4</v>
      </c>
      <c r="AI9" s="25">
        <f>MAX(PERCENTILE(AI19:AI65536,0.05),0.0001)</f>
        <v>11.620017361111083</v>
      </c>
      <c r="AJ9" s="26">
        <f>MAX(PERCENTILE(AJ19:AJ65536,0.05),0.0001)</f>
        <v>0.9194070314575726</v>
      </c>
      <c r="AK9" s="28">
        <f>MAX(PERCENTILE(AK19:AK65536,0.05),0.0001)</f>
        <v>0.0001</v>
      </c>
      <c r="AL9" s="72">
        <f>MAX(PERCENTILE(AL19:AL65536,0.05),0.0001)</f>
        <v>6.664721800608249</v>
      </c>
      <c r="AM9" s="25">
        <f>MAX(PERCENTILE(AM19:AM65536,0.05),0.0001)</f>
        <v>17.622361111111065</v>
      </c>
      <c r="AN9" s="26">
        <f>MAX(PERCENTILE(AN19:AN65536,0.05),0.0001)</f>
        <v>0.931341607948782</v>
      </c>
      <c r="AO9" s="28">
        <f>MAX(PERCENTILE(AO19:AO65536,0.05),0.0001)</f>
        <v>0.0001</v>
      </c>
      <c r="AP9" s="72">
        <f>MAX(PERCENTILE(AP19:AP65536,0.05),0.0001)</f>
        <v>4</v>
      </c>
      <c r="AQ9" s="28">
        <f>MAX(PERCENTILE(AQ19:AQ65536,0.05),0.0001)</f>
        <v>1</v>
      </c>
      <c r="AR9" s="25">
        <f>MAX(PERCENTILE(AR19:AR65536,0.05),0.0001)</f>
        <v>3.2575</v>
      </c>
      <c r="AS9" s="28">
        <f>MAX(PERCENTILE(AS19:AS65536,0.05),0.0001)</f>
        <v>0.0001</v>
      </c>
      <c r="AT9" s="129">
        <f>MAX(PERCENTILE(AT19:AT65536,0.05),0.0001)</f>
        <v>1</v>
      </c>
      <c r="AU9" s="26">
        <f>MAX(PERCENTILE(AU19:AU65536,0.05),0.0001)</f>
        <v>0.0001</v>
      </c>
      <c r="AV9" s="12" t="s">
        <v>51</v>
      </c>
      <c r="AY9" s="107" t="s">
        <v>104</v>
      </c>
      <c r="AZ9" s="108">
        <f t="shared" si="0"/>
        <v>0</v>
      </c>
      <c r="BA9" s="108">
        <f t="shared" si="1"/>
        <v>0</v>
      </c>
      <c r="BB9" s="108" t="e">
        <f t="shared" si="2"/>
        <v>#DIV/0!</v>
      </c>
    </row>
    <row r="10" spans="2:54" ht="12.75">
      <c r="B10" s="12" t="s">
        <v>52</v>
      </c>
      <c r="C10" s="25">
        <f>PERCENTILE(C19:C65536,0.95)</f>
        <v>0.5</v>
      </c>
      <c r="D10" s="26">
        <f>PERCENTILE(D19:D65536,0.95)</f>
        <v>0.562238767838937</v>
      </c>
      <c r="E10" s="28">
        <f>PERCENTILE(E19:E65536,0.95)</f>
        <v>17.31772580818057</v>
      </c>
      <c r="F10" s="72">
        <f>PERCENTILE(F19:F65536,0.95)</f>
        <v>34.64748719401446</v>
      </c>
      <c r="G10" s="25">
        <f>PERCENTILE(G19:G65536,0.95)</f>
        <v>4.8479166666666655</v>
      </c>
      <c r="H10" s="26">
        <f>PERCENTILE(H19:H65536,0.95)</f>
        <v>0.5660826913431133</v>
      </c>
      <c r="I10" s="28">
        <f>PERCENTILE(I19:I65536,0.95)</f>
        <v>17.44742487921354</v>
      </c>
      <c r="J10" s="72">
        <f>PERCENTILE(J19:J65536,0.95)</f>
        <v>19.318322339290585</v>
      </c>
      <c r="K10" s="25">
        <f>PERCENTILE(K19:K65536,0.95)</f>
        <v>5.135416666666668</v>
      </c>
      <c r="L10" s="26">
        <f>PERCENTILE(L19:L65536,0.95)</f>
        <v>0.5662019462876479</v>
      </c>
      <c r="M10" s="28">
        <f>PERCENTILE(M19:M65536,0.95)</f>
        <v>17.44742487921354</v>
      </c>
      <c r="N10" s="72">
        <f>PERCENTILE(N19:N65536,0.95)</f>
        <v>16.172002952519023</v>
      </c>
      <c r="O10" s="25">
        <f>PERCENTILE(O19:O65536,0.95)</f>
        <v>10.387500000000005</v>
      </c>
      <c r="P10" s="26">
        <f>PERCENTILE(P19:P65536,0.95)</f>
        <v>0.5667969092664827</v>
      </c>
      <c r="Q10" s="28">
        <f>PERCENTILE(Q19:Q65536,0.95)</f>
        <v>17.44742487921354</v>
      </c>
      <c r="R10" s="72">
        <f>PERCENTILE(R19:R65536,0.95)</f>
        <v>12.320104889619437</v>
      </c>
      <c r="S10" s="25">
        <f>IF(ISBLANK(S23),O10,PERCENTILE(S19:S65536,0.95))</f>
        <v>0.015798611111111086</v>
      </c>
      <c r="T10" s="26">
        <f>IF(ISBLANK(T23),P10,PERCENTILE(T19:T65536,0.95))</f>
        <v>0.9310792408461861</v>
      </c>
      <c r="U10" s="28">
        <f>IF(ISBLANK(U23),Q10,PERCENTILE(U19:U65536,0.95))</f>
        <v>2.549999999999999</v>
      </c>
      <c r="V10" s="72">
        <f>IF(ISBLANK(V23),R10,PERCENTILE(V19:V65536,0.95))</f>
        <v>53.673101658157485</v>
      </c>
      <c r="W10" s="25">
        <f>MAX(PERCENTILE(W19:W65536,0.95),0.0001)</f>
        <v>12.349479166666635</v>
      </c>
      <c r="X10" s="26">
        <f>MAX(PERCENTILE(X19:X65536,0.95),0.0001)</f>
        <v>1</v>
      </c>
      <c r="Y10" s="28">
        <f>MAX(PERCENTILE(Y19:Y65536,0.95),0.0001)</f>
        <v>2.549999999999999</v>
      </c>
      <c r="Z10" s="72">
        <f>MAX(PERCENTILE(Z19:Z65536,0.95),0.0001)</f>
        <v>15.311561770944774</v>
      </c>
      <c r="AA10" s="25">
        <f>MAX(PERCENTILE(AA19:AA65536,0.95),0.0001)</f>
        <v>13.503645833333275</v>
      </c>
      <c r="AB10" s="26">
        <f>MAX(PERCENTILE(AB19:AB65536,0.95),0.0001)</f>
        <v>1</v>
      </c>
      <c r="AC10" s="28">
        <f>MAX(PERCENTILE(AC19:AC65536,0.95),0.0001)</f>
        <v>3.894204675727294</v>
      </c>
      <c r="AD10" s="72">
        <f>MAX(PERCENTILE(AD19:AD65536,0.95),0.0001)</f>
        <v>14.668461251437195</v>
      </c>
      <c r="AE10" s="25">
        <f>MAX(PERCENTILE(AE19:AE65536,0.95),0.0001)</f>
        <v>26.00986979166681</v>
      </c>
      <c r="AF10" s="26">
        <f>MAX(PERCENTILE(AF19:AF65536,0.95),0.0001)</f>
        <v>1</v>
      </c>
      <c r="AG10" s="28">
        <f>MAX(PERCENTILE(AG19:AG65536,0.95),0.0001)</f>
        <v>3.894204675727294</v>
      </c>
      <c r="AH10" s="72">
        <f>MAX(PERCENTILE(AH19:AH65536,0.95),0.0001)</f>
        <v>5.491101211015955</v>
      </c>
      <c r="AI10" s="25">
        <f>MAX(PERCENTILE(AI19:AI65536,0.95),0.0001)</f>
        <v>26.07445312500014</v>
      </c>
      <c r="AJ10" s="26">
        <f>MAX(PERCENTILE(AJ19:AJ65536,0.95),0.0001)</f>
        <v>1</v>
      </c>
      <c r="AK10" s="28">
        <f>MAX(PERCENTILE(AK19:AK65536,0.95),0.0001)</f>
        <v>11.708000066183702</v>
      </c>
      <c r="AL10" s="72">
        <f>MAX(PERCENTILE(AL19:AL65536,0.95),0.0001)</f>
        <v>26.796361455351708</v>
      </c>
      <c r="AM10" s="25">
        <f>MAX(PERCENTILE(AM19:AM65536,0.95),0.0001)</f>
        <v>40.21434895833308</v>
      </c>
      <c r="AN10" s="26">
        <f>MAX(PERCENTILE(AN19:AN65536,0.95),0.0001)</f>
        <v>1</v>
      </c>
      <c r="AO10" s="28">
        <f>MAX(PERCENTILE(AO19:AO65536,0.95),0.0001)</f>
        <v>11.708000066183702</v>
      </c>
      <c r="AP10" s="72">
        <f>MAX(PERCENTILE(AP19:AP65536,0.95),0.0001)</f>
        <v>6.514503614876854</v>
      </c>
      <c r="AQ10" s="28">
        <f>MAX(PERCENTILE(AQ19:AQ65536,0.95),0.0001)</f>
        <v>17.31772580818057</v>
      </c>
      <c r="AR10" s="25">
        <f>MAX(PERCENTILE(AR19:AR65536,0.95),0.0001)</f>
        <v>12</v>
      </c>
      <c r="AS10" s="28">
        <f>MAX(PERCENTILE(AS19:AS65536,0.95),0.0001)</f>
        <v>0.0001</v>
      </c>
      <c r="AT10" s="129">
        <f>MAX(PERCENTILE(AT19:AT65536,0.95),0.0001)</f>
        <v>5</v>
      </c>
      <c r="AU10" s="26">
        <f>MAX(PERCENTILE(AU19:AU65536,0.95),0.0001)</f>
        <v>0.0001</v>
      </c>
      <c r="AV10" s="12" t="s">
        <v>52</v>
      </c>
      <c r="AY10" s="107" t="s">
        <v>35</v>
      </c>
      <c r="AZ10" s="108">
        <f t="shared" si="0"/>
        <v>3</v>
      </c>
      <c r="BA10" s="108">
        <f t="shared" si="1"/>
        <v>2</v>
      </c>
      <c r="BB10" s="108">
        <f t="shared" si="2"/>
        <v>0.6666666666666666</v>
      </c>
    </row>
    <row r="11" spans="2:54" ht="12.75">
      <c r="B11" s="12" t="s">
        <v>68</v>
      </c>
      <c r="C11" s="25">
        <f>MIN(C19:C65536)</f>
        <v>0.041666666666666664</v>
      </c>
      <c r="D11" s="26">
        <f>MIN(D19:D65536)</f>
        <v>0.024420565027495122</v>
      </c>
      <c r="E11" s="27">
        <f>MIN(E19:E65536)</f>
        <v>1</v>
      </c>
      <c r="F11" s="72">
        <f>MIN(F19:F65536)</f>
        <v>18.530207936455128</v>
      </c>
      <c r="G11" s="25">
        <f>MIN(G19:G65536)</f>
        <v>2.541666666666666</v>
      </c>
      <c r="H11" s="26">
        <f>MIN(H19:H65536)</f>
        <v>0.026575735906626208</v>
      </c>
      <c r="I11" s="27">
        <f>MIN(I19:I65536)</f>
        <v>1</v>
      </c>
      <c r="J11" s="72">
        <f>MIN(J19:J65536)</f>
        <v>4.851905733977499</v>
      </c>
      <c r="K11" s="25">
        <f>MIN(K19:K65536)</f>
        <v>2.8333333333333317</v>
      </c>
      <c r="L11" s="26">
        <f>MIN(L19:L65536)</f>
        <v>0.02665761605731576</v>
      </c>
      <c r="M11" s="27">
        <f>MIN(M19:M65536)</f>
        <v>1</v>
      </c>
      <c r="N11" s="72">
        <f>MIN(N19:N65536)</f>
        <v>6.353173579738656</v>
      </c>
      <c r="O11" s="25">
        <f>MIN(O19:O65536)</f>
        <v>3.2083333333333304</v>
      </c>
      <c r="P11" s="26">
        <f>MIN(P19:P65536)</f>
        <v>0.026888511347214594</v>
      </c>
      <c r="Q11" s="27">
        <f>MIN(Q19:Q65536)</f>
        <v>1</v>
      </c>
      <c r="R11" s="72">
        <f>MIN(R19:R65536)</f>
        <v>4</v>
      </c>
      <c r="S11" s="25">
        <f>IF(ISBLANK(S24),O11,MIN(S19:S65536))</f>
        <v>0.014756944444444423</v>
      </c>
      <c r="T11" s="26">
        <f>IF(ISBLANK(T24),P11,MIN(T19:T65536))</f>
        <v>0.7648109210653383</v>
      </c>
      <c r="U11" s="27">
        <f>MIN(U19:U65536)</f>
        <v>0</v>
      </c>
      <c r="V11" s="72">
        <f>MIN(V19:V65536)</f>
        <v>53.57847770881617</v>
      </c>
      <c r="W11" s="25">
        <f>MIN(W19:W65536)</f>
        <v>3.741666666666662</v>
      </c>
      <c r="X11" s="26">
        <f>MIN(X19:X65536)</f>
        <v>0.8290076091618681</v>
      </c>
      <c r="Y11" s="27">
        <f>MIN(Y19:Y65536)</f>
        <v>0</v>
      </c>
      <c r="Z11" s="72">
        <f>MIN(Z19:Z65536)</f>
        <v>4</v>
      </c>
      <c r="AA11" s="25">
        <f>MIN(AA19:AA65536)</f>
        <v>4.28333333333333</v>
      </c>
      <c r="AB11" s="26">
        <f>MIN(AB19:AB65536)</f>
        <v>0.8294138872681205</v>
      </c>
      <c r="AC11" s="27">
        <f>MIN(AC19:AC65536)</f>
        <v>0</v>
      </c>
      <c r="AD11" s="72">
        <f>MIN(AD19:AD65536)</f>
        <v>7.5709659069572375</v>
      </c>
      <c r="AE11" s="25">
        <f>MIN(AE19:AE65536)</f>
        <v>11.449131944444419</v>
      </c>
      <c r="AF11" s="26">
        <f>MIN(AF19:AF65536)</f>
        <v>0.8528551901614105</v>
      </c>
      <c r="AG11" s="27">
        <f>MIN(AG19:AG65536)</f>
        <v>0</v>
      </c>
      <c r="AH11" s="72">
        <f>MIN(AH19:AH65536)</f>
        <v>4</v>
      </c>
      <c r="AI11" s="25">
        <f>MIN(AI19:AI65536)</f>
        <v>11.490798611111085</v>
      </c>
      <c r="AJ11" s="26">
        <f>MIN(AJ19:AJ65536)</f>
        <v>0.8534673299228592</v>
      </c>
      <c r="AK11" s="27">
        <f>MIN(AK19:AK65536)</f>
        <v>0</v>
      </c>
      <c r="AL11" s="72">
        <f>MIN(AL19:AL65536)</f>
        <v>4</v>
      </c>
      <c r="AM11" s="25">
        <f>MIN(AM19:AM65536)</f>
        <v>17.490798611111064</v>
      </c>
      <c r="AN11" s="26">
        <f>MIN(AN19:AN65536)</f>
        <v>0.8751665599068762</v>
      </c>
      <c r="AO11" s="27">
        <f>MIN(AO19:AO65536)</f>
        <v>0</v>
      </c>
      <c r="AP11" s="72">
        <f>MIN(AP19:AP65536)</f>
        <v>4</v>
      </c>
      <c r="AQ11" s="27">
        <f>MIN(AQ19:AQ65536)</f>
        <v>1</v>
      </c>
      <c r="AR11" s="25">
        <f>MIN(AR19:AR65536)</f>
        <v>0.94</v>
      </c>
      <c r="AS11" s="27">
        <f>MIN(AS19:AS65536)</f>
        <v>0</v>
      </c>
      <c r="AT11" s="128">
        <f>MIN(AT19:AT65536)</f>
        <v>1</v>
      </c>
      <c r="AU11" s="26">
        <f>MIN(AU19:AU65536)</f>
        <v>0</v>
      </c>
      <c r="AV11" s="12" t="s">
        <v>68</v>
      </c>
      <c r="AY11" s="107" t="s">
        <v>105</v>
      </c>
      <c r="AZ11" s="108">
        <f t="shared" si="0"/>
        <v>3</v>
      </c>
      <c r="BA11" s="108">
        <f t="shared" si="1"/>
        <v>4.625826683140537</v>
      </c>
      <c r="BB11" s="108">
        <f t="shared" si="2"/>
        <v>1.5419422277135124</v>
      </c>
    </row>
    <row r="12" spans="2:54" ht="12.75">
      <c r="B12" s="12" t="s">
        <v>69</v>
      </c>
      <c r="C12" s="25">
        <f>MAX(C19:C65536)</f>
        <v>0.5</v>
      </c>
      <c r="D12" s="26">
        <f>MAX(D19:D65536)</f>
        <v>1</v>
      </c>
      <c r="E12" s="27">
        <f>MAX(E19:E65536)</f>
        <v>18.405016142486062</v>
      </c>
      <c r="F12" s="72">
        <f>MAX(F19:F65536)</f>
        <v>35.368445400946165</v>
      </c>
      <c r="G12" s="25">
        <f>MAX(G19:G65536)</f>
        <v>5.166666666666669</v>
      </c>
      <c r="H12" s="26">
        <f>MAX(H19:H65536)</f>
        <v>1</v>
      </c>
      <c r="I12" s="27">
        <f>MAX(I19:I65536)</f>
        <v>18.405016142486062</v>
      </c>
      <c r="J12" s="72">
        <f>MAX(J19:J65536)</f>
        <v>21.73817179864564</v>
      </c>
      <c r="K12" s="25">
        <f>MAX(K19:K65536)</f>
        <v>5.4166666666666705</v>
      </c>
      <c r="L12" s="26">
        <f>MAX(L19:L65536)</f>
        <v>1</v>
      </c>
      <c r="M12" s="27">
        <f>MAX(M19:M65536)</f>
        <v>18.405016142486062</v>
      </c>
      <c r="N12" s="72">
        <f>MAX(N19:N65536)</f>
        <v>17.16239636071543</v>
      </c>
      <c r="O12" s="25">
        <f>MAX(O19:O65536)</f>
        <v>12.375</v>
      </c>
      <c r="P12" s="26">
        <f>MAX(P19:P65536)</f>
        <v>1</v>
      </c>
      <c r="Q12" s="27">
        <f>MAX(Q19:Q65536)</f>
        <v>18.405016142486062</v>
      </c>
      <c r="R12" s="72">
        <f>MAX(R19:R65536)</f>
        <v>12.680242194467983</v>
      </c>
      <c r="S12" s="25">
        <f>IF(ISBLANK(S25),O12,MAX(S19:S65536))</f>
        <v>0.015798611111111086</v>
      </c>
      <c r="T12" s="26">
        <f>IF(ISBLANK(T25),P12,MAX(T19:T65536))</f>
        <v>1</v>
      </c>
      <c r="U12" s="27">
        <f>IF(ISBLANK(U25),Q12,MAX(U19:U65536))</f>
        <v>3</v>
      </c>
      <c r="V12" s="72">
        <f>IF(ISBLANK(V25),R12,MAX(V19:V65536))</f>
        <v>53.67805108799818</v>
      </c>
      <c r="W12" s="25">
        <f>MAX(W19:W65536)</f>
        <v>13.324479166666613</v>
      </c>
      <c r="X12" s="26">
        <f>MAX(X19:X65536)</f>
        <v>1</v>
      </c>
      <c r="Y12" s="27">
        <f>MAX(Y19:Y65536)</f>
        <v>3</v>
      </c>
      <c r="Z12" s="72">
        <f>MAX(Z19:Z65536)</f>
        <v>16.2160991263721</v>
      </c>
      <c r="AA12" s="25">
        <f>MAX(AA19:AA65536)</f>
        <v>14.366145833333265</v>
      </c>
      <c r="AB12" s="26">
        <f>MAX(AB19:AB65536)</f>
        <v>1</v>
      </c>
      <c r="AC12" s="27">
        <f>MAX(AC19:AC65536)</f>
        <v>4.625826683140537</v>
      </c>
      <c r="AD12" s="72">
        <f>MAX(AD19:AD65536)</f>
        <v>14.825584528561262</v>
      </c>
      <c r="AE12" s="25">
        <f>MAX(AE19:AE65536)</f>
        <v>32.74166666666699</v>
      </c>
      <c r="AF12" s="26">
        <f>MAX(AF19:AF65536)</f>
        <v>1</v>
      </c>
      <c r="AG12" s="27">
        <f>MAX(AG19:AG65536)</f>
        <v>4.625826683140537</v>
      </c>
      <c r="AH12" s="72">
        <f>MAX(AH19:AH65536)</f>
        <v>5.870469343400614</v>
      </c>
      <c r="AI12" s="25">
        <f>MAX(AI19:AI65536)</f>
        <v>32.825000000000315</v>
      </c>
      <c r="AJ12" s="26">
        <f>MAX(AJ19:AJ65536)</f>
        <v>1</v>
      </c>
      <c r="AK12" s="27">
        <f>MAX(AK19:AK65536)</f>
        <v>17.502505561400863</v>
      </c>
      <c r="AL12" s="72">
        <f>MAX(AL19:AL65536)</f>
        <v>29.97304546361305</v>
      </c>
      <c r="AM12" s="25">
        <f>MAX(AM19:AM65536)</f>
        <v>49.5333333333327</v>
      </c>
      <c r="AN12" s="26">
        <f>MAX(AN19:AN65536)</f>
        <v>1</v>
      </c>
      <c r="AO12" s="27">
        <f>MAX(AO19:AO65536)</f>
        <v>17.502505561400863</v>
      </c>
      <c r="AP12" s="72">
        <f>MAX(AP19:AP65536)</f>
        <v>7.41083435566176</v>
      </c>
      <c r="AQ12" s="27">
        <f>MAX(AQ19:AQ65536)</f>
        <v>18.405016142486062</v>
      </c>
      <c r="AR12" s="25">
        <f>MAX(AR19:AR65536)</f>
        <v>12</v>
      </c>
      <c r="AS12" s="27">
        <f>MAX(AS19:AS65536)</f>
        <v>1.4226570629638485E-05</v>
      </c>
      <c r="AT12" s="128">
        <f>MAX(AT19:AT65536)</f>
        <v>5</v>
      </c>
      <c r="AU12" s="26">
        <f>MAX(AU19:AU65536)</f>
        <v>3.661025860246525E-08</v>
      </c>
      <c r="AV12" s="12" t="s">
        <v>69</v>
      </c>
      <c r="AY12" s="107" t="s">
        <v>106</v>
      </c>
      <c r="AZ12" s="108">
        <f t="shared" si="0"/>
        <v>2</v>
      </c>
      <c r="BA12" s="108">
        <f t="shared" si="1"/>
        <v>0</v>
      </c>
      <c r="BB12" s="108">
        <f t="shared" si="2"/>
        <v>0</v>
      </c>
    </row>
    <row r="13" spans="2:54" ht="12.75">
      <c r="B13" s="12" t="s">
        <v>70</v>
      </c>
      <c r="C13" s="25">
        <f>PERCENTILE(C19:C65536,0.01)</f>
        <v>0.04916666666666667</v>
      </c>
      <c r="D13" s="26">
        <f>PERCENTILE(D19:D65536,0.01)</f>
        <v>0.02442735125872496</v>
      </c>
      <c r="E13" s="27">
        <f>PERCENTILE(E19:E65536,0.01)</f>
        <v>1</v>
      </c>
      <c r="F13" s="72">
        <f>PERCENTILE(F19:F65536,0.01)</f>
        <v>18.809586850463646</v>
      </c>
      <c r="G13" s="25">
        <f>PERCENTILE(G19:G65536,0.01)</f>
        <v>2.552916666666666</v>
      </c>
      <c r="H13" s="26">
        <f>PERCENTILE(H19:H65536,0.01)</f>
        <v>0.026682695119008944</v>
      </c>
      <c r="I13" s="27">
        <f>PERCENTILE(I19:I65536,0.01)</f>
        <v>1</v>
      </c>
      <c r="J13" s="72">
        <f>PERCENTILE(J19:J65536,0.01)</f>
        <v>5.039271526799209</v>
      </c>
      <c r="K13" s="25">
        <f>PERCENTILE(K19:K65536,0.01)</f>
        <v>2.8558333333333317</v>
      </c>
      <c r="L13" s="26">
        <f>PERCENTILE(L19:L65536,0.01)</f>
        <v>0.02676837046980581</v>
      </c>
      <c r="M13" s="27">
        <f>PERCENTILE(M19:M65536,0.01)</f>
        <v>1</v>
      </c>
      <c r="N13" s="72">
        <f>PERCENTILE(N19:N65536,0.01)</f>
        <v>6.47974370787659</v>
      </c>
      <c r="O13" s="25">
        <f>PERCENTILE(O19:O65536,0.01)</f>
        <v>3.24958333333333</v>
      </c>
      <c r="P13" s="26">
        <f>PERCENTILE(P19:P65536,0.01)</f>
        <v>0.027059886964408492</v>
      </c>
      <c r="Q13" s="27">
        <f>PERCENTILE(Q19:Q65536,0.01)</f>
        <v>1</v>
      </c>
      <c r="R13" s="72">
        <f>PERCENTILE(R19:R65536,0.01)</f>
        <v>4.109447966323622</v>
      </c>
      <c r="S13" s="25">
        <f>IF(ISBLANK(S26),O13,PERCENTILE(S19:S65536,0.01))</f>
        <v>0.014772569444444423</v>
      </c>
      <c r="T13" s="26">
        <f>IF(ISBLANK(T26),P13,PERCENTILE(T19:T65536,0.01))</f>
        <v>0.7667815382629192</v>
      </c>
      <c r="U13" s="27">
        <f>IF(ISBLANK(U26),Q13,PERCENTILE(U19:U65536,0.01))</f>
        <v>0</v>
      </c>
      <c r="V13" s="72">
        <f>IF(ISBLANK(V26),R13,PERCENTILE(V19:V65536,0.01))</f>
        <v>53.580072764761034</v>
      </c>
      <c r="W13" s="25">
        <f>PERCENTILE(W19:W65536,0.01)</f>
        <v>3.899151041666663</v>
      </c>
      <c r="X13" s="26">
        <f>PERCENTILE(X19:X65536,0.01)</f>
        <v>0.8443969243373</v>
      </c>
      <c r="Y13" s="27">
        <f>PERCENTILE(Y19:Y65536,0.01)</f>
        <v>0</v>
      </c>
      <c r="Z13" s="72">
        <f>PERCENTILE(Z19:Z65536,0.01)</f>
        <v>4.063773758661439</v>
      </c>
      <c r="AA13" s="25">
        <f>PERCENTILE(AA19:AA65536,0.01)</f>
        <v>4.448317708333331</v>
      </c>
      <c r="AB13" s="26">
        <f>PERCENTILE(AB19:AB65536,0.01)</f>
        <v>0.8447666374139896</v>
      </c>
      <c r="AC13" s="27">
        <f>PERCENTILE(AC19:AC65536,0.01)</f>
        <v>0</v>
      </c>
      <c r="AD13" s="72">
        <f>PERCENTILE(AD19:AD65536,0.01)</f>
        <v>7.603204445624441</v>
      </c>
      <c r="AE13" s="25">
        <f>PERCENTILE(AE19:AE65536,0.01)</f>
        <v>11.474975694444419</v>
      </c>
      <c r="AF13" s="26">
        <f>PERCENTILE(AF19:AF65536,0.01)</f>
        <v>0.8660982230468836</v>
      </c>
      <c r="AG13" s="27">
        <f>PERCENTILE(AG19:AG65536,0.01)</f>
        <v>0</v>
      </c>
      <c r="AH13" s="72">
        <f>PERCENTILE(AH19:AH65536,0.01)</f>
        <v>4</v>
      </c>
      <c r="AI13" s="25">
        <f>PERCENTILE(AI19:AI65536,0.01)</f>
        <v>11.516642361111085</v>
      </c>
      <c r="AJ13" s="26">
        <f>PERCENTILE(AJ19:AJ65536,0.01)</f>
        <v>0.8666552702298019</v>
      </c>
      <c r="AK13" s="27">
        <f>PERCENTILE(AK19:AK65536,0.01)</f>
        <v>0</v>
      </c>
      <c r="AL13" s="72">
        <f>PERCENTILE(AL19:AL65536,0.01)</f>
        <v>4.53294436012165</v>
      </c>
      <c r="AM13" s="25">
        <f>PERCENTILE(AM19:AM65536,0.01)</f>
        <v>17.517111111111063</v>
      </c>
      <c r="AN13" s="26">
        <f>PERCENTILE(AN19:AN65536,0.01)</f>
        <v>0.8864015695152574</v>
      </c>
      <c r="AO13" s="27">
        <f>PERCENTILE(AO19:AO65536,0.01)</f>
        <v>0</v>
      </c>
      <c r="AP13" s="72">
        <f>PERCENTILE(AP19:AP65536,0.01)</f>
        <v>4</v>
      </c>
      <c r="AQ13" s="27">
        <f>PERCENTILE(AQ19:AQ65536,0.01)</f>
        <v>1</v>
      </c>
      <c r="AR13" s="25">
        <f>PERCENTILE(AR19:AR65536,0.01)</f>
        <v>1.4035000000000004</v>
      </c>
      <c r="AS13" s="27">
        <f>PERCENTILE(AS19:AS65536,0.01)</f>
        <v>0</v>
      </c>
      <c r="AT13" s="128">
        <f>PERCENTILE(AT19:AT65536,0.01)</f>
        <v>1</v>
      </c>
      <c r="AU13" s="26">
        <f>PERCENTILE(AU19:AU65536,0.01)</f>
        <v>0</v>
      </c>
      <c r="AV13" s="12" t="s">
        <v>70</v>
      </c>
      <c r="AY13" s="107" t="s">
        <v>107</v>
      </c>
      <c r="AZ13" s="108">
        <f t="shared" si="0"/>
        <v>0</v>
      </c>
      <c r="BA13" s="108">
        <f t="shared" si="1"/>
        <v>0</v>
      </c>
      <c r="BB13" s="108" t="e">
        <f t="shared" si="2"/>
        <v>#DIV/0!</v>
      </c>
    </row>
    <row r="14" spans="2:54" ht="12.75">
      <c r="B14" s="12" t="s">
        <v>71</v>
      </c>
      <c r="C14" s="25">
        <f>PERCENTILE(C19:C65536,0.1)</f>
        <v>0.11666666666666667</v>
      </c>
      <c r="D14" s="26">
        <f>PERCENTILE(D19:D65536,0.1)</f>
        <v>0.024488427339793527</v>
      </c>
      <c r="E14" s="27">
        <f>PERCENTILE(E19:E65536,0.1)</f>
        <v>1</v>
      </c>
      <c r="F14" s="72">
        <f>PERCENTILE(F19:F65536,0.1)</f>
        <v>21.32399707654032</v>
      </c>
      <c r="G14" s="25">
        <f>PERCENTILE(G19:G65536,0.1)</f>
        <v>2.6541666666666655</v>
      </c>
      <c r="H14" s="26">
        <f>PERCENTILE(H19:H65536,0.1)</f>
        <v>0.027645328030453588</v>
      </c>
      <c r="I14" s="27">
        <f>PERCENTILE(I19:I65536,0.1)</f>
        <v>1</v>
      </c>
      <c r="J14" s="72">
        <f>PERCENTILE(J19:J65536,0.1)</f>
        <v>6.725563662194599</v>
      </c>
      <c r="K14" s="25">
        <f>PERCENTILE(K19:K65536,0.1)</f>
        <v>3.058333333333331</v>
      </c>
      <c r="L14" s="26">
        <f>PERCENTILE(L19:L65536,0.1)</f>
        <v>0.027765160182216253</v>
      </c>
      <c r="M14" s="27">
        <f>PERCENTILE(M19:M65536,0.1)</f>
        <v>1</v>
      </c>
      <c r="N14" s="72">
        <f>PERCENTILE(N19:N65536,0.1)</f>
        <v>7.618874861117994</v>
      </c>
      <c r="O14" s="25">
        <f>PERCENTILE(O19:O65536,0.1)</f>
        <v>3.6208333333333287</v>
      </c>
      <c r="P14" s="26">
        <f>PERCENTILE(P19:P65536,0.1)</f>
        <v>0.02860226751915359</v>
      </c>
      <c r="Q14" s="27">
        <f>PERCENTILE(Q19:Q65536,0.1)</f>
        <v>1</v>
      </c>
      <c r="R14" s="72">
        <f>PERCENTILE(R19:R65536,0.1)</f>
        <v>5.0944796632362195</v>
      </c>
      <c r="S14" s="25">
        <f>IF(ISBLANK(S27),O14,PERCENTILE(S19:S65536,0.1))</f>
        <v>0.014913194444444423</v>
      </c>
      <c r="T14" s="26">
        <f>IF(ISBLANK(T27),P14,PERCENTILE(T19:T65536,0.1))</f>
        <v>0.7845170930411474</v>
      </c>
      <c r="U14" s="27">
        <f>IF(ISBLANK(U27),Q14,PERCENTILE(U19:U65536,0.1))</f>
        <v>0</v>
      </c>
      <c r="V14" s="72">
        <f>IF(ISBLANK(V27),R14,PERCENTILE(V19:V65536,0.1))</f>
        <v>53.59442826826477</v>
      </c>
      <c r="W14" s="25">
        <f>PERCENTILE(W19:W65536,0.1)</f>
        <v>5.316510416666669</v>
      </c>
      <c r="X14" s="26">
        <f>PERCENTILE(X19:X65536,0.1)</f>
        <v>0.9829007609161868</v>
      </c>
      <c r="Y14" s="27">
        <f>PERCENTILE(Y19:Y65536,0.1)</f>
        <v>0</v>
      </c>
      <c r="Z14" s="72">
        <f>PERCENTILE(Z19:Z65536,0.1)</f>
        <v>4.637737586614392</v>
      </c>
      <c r="AA14" s="25">
        <f>PERCENTILE(AA19:AA65536,0.1)</f>
        <v>5.933177083333341</v>
      </c>
      <c r="AB14" s="26">
        <f>PERCENTILE(AB19:AB65536,0.1)</f>
        <v>0.982941388726812</v>
      </c>
      <c r="AC14" s="27">
        <f>PERCENTILE(AC19:AC65536,0.1)</f>
        <v>0</v>
      </c>
      <c r="AD14" s="72">
        <f>PERCENTILE(AD19:AD65536,0.1)</f>
        <v>7.893351293629271</v>
      </c>
      <c r="AE14" s="25">
        <f>PERCENTILE(AE19:AE65536,0.1)</f>
        <v>11.707569444444413</v>
      </c>
      <c r="AF14" s="26">
        <f>PERCENTILE(AF19:AF65536,0.1)</f>
        <v>0.985285519016141</v>
      </c>
      <c r="AG14" s="27">
        <f>PERCENTILE(AG19:AG65536,0.1)</f>
        <v>0</v>
      </c>
      <c r="AH14" s="72">
        <f>PERCENTILE(AH19:AH65536,0.1)</f>
        <v>4</v>
      </c>
      <c r="AI14" s="25">
        <f>PERCENTILE(AI19:AI65536,0.1)</f>
        <v>11.74923611111108</v>
      </c>
      <c r="AJ14" s="26">
        <f>PERCENTILE(AJ19:AJ65536,0.1)</f>
        <v>0.9853467329922859</v>
      </c>
      <c r="AK14" s="27">
        <f>PERCENTILE(AK19:AK65536,0.1)</f>
        <v>0</v>
      </c>
      <c r="AL14" s="72">
        <f>PERCENTILE(AL19:AL65536,0.1)</f>
        <v>9.329443601216498</v>
      </c>
      <c r="AM14" s="25">
        <f>PERCENTILE(AM19:AM65536,0.1)</f>
        <v>17.75392361111107</v>
      </c>
      <c r="AN14" s="26">
        <f>PERCENTILE(AN19:AN65536,0.1)</f>
        <v>0.9875166559906876</v>
      </c>
      <c r="AO14" s="27">
        <f>PERCENTILE(AO19:AO65536,0.1)</f>
        <v>0</v>
      </c>
      <c r="AP14" s="72">
        <f>PERCENTILE(AP19:AP65536,0.1)</f>
        <v>4</v>
      </c>
      <c r="AQ14" s="27">
        <f>PERCENTILE(AQ19:AQ65536,0.1)</f>
        <v>1</v>
      </c>
      <c r="AR14" s="25">
        <f>PERCENTILE(AR19:AR65536,0.1)</f>
        <v>5.574999999999999</v>
      </c>
      <c r="AS14" s="27">
        <f>PERCENTILE(AS19:AS65536,0.1)</f>
        <v>0</v>
      </c>
      <c r="AT14" s="128">
        <f>PERCENTILE(AT19:AT65536,0.1)</f>
        <v>1</v>
      </c>
      <c r="AU14" s="26">
        <f>PERCENTILE(AU19:AU65536,0.1)</f>
        <v>0</v>
      </c>
      <c r="AV14" s="12" t="s">
        <v>71</v>
      </c>
      <c r="AY14" s="107" t="s">
        <v>108</v>
      </c>
      <c r="AZ14" s="108">
        <f t="shared" si="0"/>
        <v>0</v>
      </c>
      <c r="BA14" s="108">
        <f t="shared" si="1"/>
        <v>0</v>
      </c>
      <c r="BB14" s="108" t="e">
        <f t="shared" si="2"/>
        <v>#DIV/0!</v>
      </c>
    </row>
    <row r="15" spans="2:54" ht="12.75">
      <c r="B15" s="12" t="s">
        <v>72</v>
      </c>
      <c r="C15" s="25">
        <f>PERCENTILE(C19:C65536,0.25)</f>
        <v>0.16666666666666666</v>
      </c>
      <c r="D15" s="26">
        <f>PERCENTILE(D19:D65536,0.25)</f>
        <v>0.02495068743228443</v>
      </c>
      <c r="E15" s="27">
        <f>PERCENTILE(E19:E65536,0.25)</f>
        <v>3.619432218818322</v>
      </c>
      <c r="F15" s="72">
        <f>PERCENTILE(F19:F65536,0.25)</f>
        <v>22.314813556678097</v>
      </c>
      <c r="G15" s="25">
        <f>PERCENTILE(G19:G65536,0.25)</f>
        <v>2.770833333333332</v>
      </c>
      <c r="H15" s="26">
        <f>PERCENTILE(H19:H65536,0.25)</f>
        <v>0.028349918938581242</v>
      </c>
      <c r="I15" s="27">
        <f>PERCENTILE(I19:I65536,0.25)</f>
        <v>3.619432218818322</v>
      </c>
      <c r="J15" s="72">
        <f>PERCENTILE(J19:J65536,0.25)</f>
        <v>12.053186341212273</v>
      </c>
      <c r="K15" s="25">
        <f>PERCENTILE(K19:K65536,0.25)</f>
        <v>3.0937499999999982</v>
      </c>
      <c r="L15" s="26">
        <f>PERCENTILE(L19:L65536,0.25)</f>
        <v>0.028654698207898427</v>
      </c>
      <c r="M15" s="27">
        <f>PERCENTILE(M19:M65536,0.25)</f>
        <v>3.619432218818322</v>
      </c>
      <c r="N15" s="72">
        <f>PERCENTILE(N19:N65536,0.25)</f>
        <v>8.296108752644608</v>
      </c>
      <c r="O15" s="25">
        <f>PERCENTILE(O19:O65536,0.25)</f>
        <v>4.2604166666666625</v>
      </c>
      <c r="P15" s="26">
        <f>PERCENTILE(P19:P65536,0.25)</f>
        <v>0.02938046898620661</v>
      </c>
      <c r="Q15" s="27">
        <f>PERCENTILE(Q19:Q65536,0.25)</f>
        <v>3.619432218818322</v>
      </c>
      <c r="R15" s="72">
        <f>PERCENTILE(R19:R65536,0.25)</f>
        <v>6.605825183786977</v>
      </c>
      <c r="S15" s="25">
        <f>IF(ISBLANK(S28),O15,PERCENTILE(S19:S65536,0.25))</f>
        <v>0.015147569444444422</v>
      </c>
      <c r="T15" s="26">
        <f>IF(ISBLANK(T28),P15,PERCENTILE(T19:T65536,0.25))</f>
        <v>0.7982897438991599</v>
      </c>
      <c r="U15" s="27">
        <f>IF(ISBLANK(U28),Q15,PERCENTILE(U19:U65536,0.25))</f>
        <v>0</v>
      </c>
      <c r="V15" s="72">
        <f>IF(ISBLANK(V28),R15,PERCENTILE(V19:V65536,0.25))</f>
        <v>53.612183404827775</v>
      </c>
      <c r="W15" s="25">
        <f>PERCENTILE(W19:W65536,0.25)</f>
        <v>6.8243923611111255</v>
      </c>
      <c r="X15" s="26">
        <f>PERCENTILE(X19:X65536,0.25)</f>
        <v>1</v>
      </c>
      <c r="Y15" s="27">
        <f>PERCENTILE(Y19:Y65536,0.25)</f>
        <v>0</v>
      </c>
      <c r="Z15" s="72">
        <f>PERCENTILE(Z19:Z65536,0.25)</f>
        <v>7.86271399478877</v>
      </c>
      <c r="AA15" s="25">
        <f>PERCENTILE(AA19:AA65536,0.25)</f>
        <v>7.178559027777794</v>
      </c>
      <c r="AB15" s="26">
        <f>PERCENTILE(AB19:AB65536,0.25)</f>
        <v>1</v>
      </c>
      <c r="AC15" s="27">
        <f>PERCENTILE(AC19:AC65536,0.25)</f>
        <v>0</v>
      </c>
      <c r="AD15" s="72">
        <f>PERCENTILE(AD19:AD65536,0.25)</f>
        <v>10.162220293629165</v>
      </c>
      <c r="AE15" s="25">
        <f>PERCENTILE(AE19:AE65536,0.25)</f>
        <v>12.574479166666624</v>
      </c>
      <c r="AF15" s="26">
        <f>PERCENTILE(AF19:AF65536,0.25)</f>
        <v>1</v>
      </c>
      <c r="AG15" s="27">
        <f>PERCENTILE(AG19:AG65536,0.25)</f>
        <v>0</v>
      </c>
      <c r="AH15" s="72">
        <f>PERCENTILE(AH19:AH65536,0.25)</f>
        <v>4</v>
      </c>
      <c r="AI15" s="25">
        <f>PERCENTILE(AI19:AI65536,0.25)</f>
        <v>12.61614583333329</v>
      </c>
      <c r="AJ15" s="26">
        <f>PERCENTILE(AJ19:AJ65536,0.25)</f>
        <v>1</v>
      </c>
      <c r="AK15" s="27">
        <f>PERCENTILE(AK19:AK65536,0.25)</f>
        <v>0</v>
      </c>
      <c r="AL15" s="72">
        <f>PERCENTILE(AL19:AL65536,0.25)</f>
        <v>15.338699560376565</v>
      </c>
      <c r="AM15" s="25">
        <f>PERCENTILE(AM19:AM65536,0.25)</f>
        <v>20.479513888888924</v>
      </c>
      <c r="AN15" s="26">
        <f>PERCENTILE(AN19:AN65536,0.25)</f>
        <v>1</v>
      </c>
      <c r="AO15" s="27">
        <f>PERCENTILE(AO19:AO65536,0.25)</f>
        <v>0</v>
      </c>
      <c r="AP15" s="72">
        <f>PERCENTILE(AP19:AP65536,0.25)</f>
        <v>4</v>
      </c>
      <c r="AQ15" s="27">
        <f>PERCENTILE(AQ19:AQ65536,0.25)</f>
        <v>3.619432218818322</v>
      </c>
      <c r="AR15" s="25">
        <f>PERCENTILE(AR19:AR65536,0.25)</f>
        <v>6.14861111111111</v>
      </c>
      <c r="AS15" s="27">
        <f>PERCENTILE(AS19:AS65536,0.25)</f>
        <v>0</v>
      </c>
      <c r="AT15" s="128">
        <f>PERCENTILE(AT19:AT65536,0.25)</f>
        <v>1</v>
      </c>
      <c r="AU15" s="26">
        <f>PERCENTILE(AU19:AU65536,0.25)</f>
        <v>0</v>
      </c>
      <c r="AV15" s="12" t="s">
        <v>72</v>
      </c>
      <c r="AY15" s="107" t="s">
        <v>109</v>
      </c>
      <c r="AZ15" s="108">
        <f t="shared" si="0"/>
        <v>0</v>
      </c>
      <c r="BA15" s="111">
        <f t="shared" si="1"/>
        <v>0</v>
      </c>
      <c r="BB15" s="111" t="e">
        <f t="shared" si="2"/>
        <v>#DIV/0!</v>
      </c>
    </row>
    <row r="16" spans="2:54" ht="12.75">
      <c r="B16" s="12" t="s">
        <v>73</v>
      </c>
      <c r="C16" s="25">
        <f>PERCENTILE(C19:C65536,0.75)</f>
        <v>0.4791666666666667</v>
      </c>
      <c r="D16" s="26">
        <f>PERCENTILE(D19:D65536,0.75)</f>
        <v>0.026831435260291275</v>
      </c>
      <c r="E16" s="27">
        <f>PERCENTILE(E19:E65536,0.75)</f>
        <v>8.021848603545566</v>
      </c>
      <c r="F16" s="72">
        <f>PERCENTILE(F19:F65536,0.75)</f>
        <v>30.775729539103292</v>
      </c>
      <c r="G16" s="25">
        <f>PERCENTILE(G19:G65536,0.75)</f>
        <v>3.9270833333333277</v>
      </c>
      <c r="H16" s="26">
        <f>PERCENTILE(H19:H65536,0.75)</f>
        <v>0.030271712724987077</v>
      </c>
      <c r="I16" s="27">
        <f>PERCENTILE(I19:I65536,0.75)</f>
        <v>8.021848603545566</v>
      </c>
      <c r="J16" s="72">
        <f>PERCENTILE(J19:J65536,0.75)</f>
        <v>15.63502615151101</v>
      </c>
      <c r="K16" s="25">
        <f>PERCENTILE(K19:K65536,0.75)</f>
        <v>4.270833333333332</v>
      </c>
      <c r="L16" s="26">
        <f>PERCENTILE(L19:L65536,0.75)</f>
        <v>0.030464133928163828</v>
      </c>
      <c r="M16" s="27">
        <f>PERCENTILE(M19:M65536,0.75)</f>
        <v>8.021848603545566</v>
      </c>
      <c r="N16" s="72">
        <f>PERCENTILE(N19:N65536,0.75)</f>
        <v>11.798882129675269</v>
      </c>
      <c r="O16" s="25">
        <f>PERCENTILE(O19:O65536,0.75)</f>
        <v>7.135416666666683</v>
      </c>
      <c r="P16" s="26">
        <f>PERCENTILE(P19:P65536,0.75)</f>
        <v>0.035552634499030344</v>
      </c>
      <c r="Q16" s="27">
        <f>PERCENTILE(Q19:Q65536,0.75)</f>
        <v>8.021848603545566</v>
      </c>
      <c r="R16" s="72">
        <f>PERCENTILE(R19:R65536,0.75)</f>
        <v>10.017785394307563</v>
      </c>
      <c r="S16" s="25">
        <f>IF(ISBLANK(S29),O16,PERCENTILE(S19:S65536,0.75))</f>
        <v>7.135416666666683</v>
      </c>
      <c r="T16" s="26">
        <f>IF(ISBLANK(T29),P16,PERCENTILE(T19:T65536,0.75))</f>
        <v>0.035552634499030344</v>
      </c>
      <c r="U16" s="27">
        <f>IF(ISBLANK(U29),Q16,PERCENTILE(U19:U65536,0.75))</f>
        <v>8.021848603545566</v>
      </c>
      <c r="V16" s="72">
        <f>IF(ISBLANK(V29),R16,PERCENTILE(V19:V65536,0.75))</f>
        <v>10.017785394307563</v>
      </c>
      <c r="W16" s="25">
        <f>PERCENTILE(W19:W65536,0.75)</f>
        <v>10.247743055555546</v>
      </c>
      <c r="X16" s="26">
        <f>PERCENTILE(X19:X65536,0.75)</f>
        <v>1</v>
      </c>
      <c r="Y16" s="27">
        <f>PERCENTILE(Y19:Y65536,0.75)</f>
        <v>1</v>
      </c>
      <c r="Z16" s="72">
        <f>PERCENTILE(Z19:Z65536,0.75)</f>
        <v>11.398788486217027</v>
      </c>
      <c r="AA16" s="25">
        <f>PERCENTILE(AA19:AA65536,0.75)</f>
        <v>10.695659722222207</v>
      </c>
      <c r="AB16" s="26">
        <f>PERCENTILE(AB19:AB65536,0.75)</f>
        <v>1</v>
      </c>
      <c r="AC16" s="27">
        <f>PERCENTILE(AC19:AC65536,0.75)</f>
        <v>1</v>
      </c>
      <c r="AD16" s="72">
        <f>PERCENTILE(AD19:AD65536,0.75)</f>
        <v>13.05741170080097</v>
      </c>
      <c r="AE16" s="25">
        <f>PERCENTILE(AE19:AE65536,0.75)</f>
        <v>17.011675347222166</v>
      </c>
      <c r="AF16" s="26">
        <f>PERCENTILE(AF19:AF65536,0.75)</f>
        <v>1</v>
      </c>
      <c r="AG16" s="27">
        <f>PERCENTILE(AG19:AG65536,0.75)</f>
        <v>1</v>
      </c>
      <c r="AH16" s="72">
        <f>PERCENTILE(AH19:AH65536,0.75)</f>
        <v>4.835368386403486</v>
      </c>
      <c r="AI16" s="25">
        <f>PERCENTILE(AI19:AI65536,0.75)</f>
        <v>17.032508680555498</v>
      </c>
      <c r="AJ16" s="26">
        <f>PERCENTILE(AJ19:AJ65536,0.75)</f>
        <v>1</v>
      </c>
      <c r="AK16" s="27">
        <f>PERCENTILE(AK19:AK65536,0.75)</f>
        <v>1</v>
      </c>
      <c r="AL16" s="72">
        <f>PERCENTILE(AL19:AL65536,0.75)</f>
        <v>19.634051436878693</v>
      </c>
      <c r="AM16" s="25">
        <f>PERCENTILE(AM19:AM65536,0.75)</f>
        <v>26.34479166666687</v>
      </c>
      <c r="AN16" s="26">
        <f>PERCENTILE(AN19:AN65536,0.75)</f>
        <v>1</v>
      </c>
      <c r="AO16" s="27">
        <f>PERCENTILE(AO19:AO65536,0.75)</f>
        <v>1</v>
      </c>
      <c r="AP16" s="72">
        <f>PERCENTILE(AP19:AP65536,0.75)</f>
        <v>4.080675436271225</v>
      </c>
      <c r="AQ16" s="27">
        <f>PERCENTILE(AQ19:AQ65536,0.75)</f>
        <v>8.021848603545566</v>
      </c>
      <c r="AR16" s="25">
        <f>PERCENTILE(AR19:AR65536,0.75)</f>
        <v>12</v>
      </c>
      <c r="AS16" s="27">
        <f>PERCENTILE(AS19:AS65536,0.75)</f>
        <v>7.50025E-09</v>
      </c>
      <c r="AT16" s="128">
        <f>PERCENTILE(AT19:AT65536,0.75)</f>
        <v>2.75</v>
      </c>
      <c r="AU16" s="26">
        <f>PERCENTILE(AU19:AU65536,0.75)</f>
        <v>1.9300977482927806E-11</v>
      </c>
      <c r="AV16" s="12" t="s">
        <v>73</v>
      </c>
      <c r="AY16" s="109" t="s">
        <v>11</v>
      </c>
      <c r="AZ16" s="110">
        <f>SUM(AZ7:AZ15)</f>
        <v>10</v>
      </c>
      <c r="BA16" s="100"/>
      <c r="BB16" s="102"/>
    </row>
    <row r="17" spans="2:48" ht="12.75">
      <c r="B17" s="12" t="s">
        <v>74</v>
      </c>
      <c r="C17" s="25">
        <f>PERCENTILE(C19:C65536,0.9)</f>
        <v>0.5</v>
      </c>
      <c r="D17" s="26">
        <f>PERCENTILE(D19:D65536,0.9)</f>
        <v>0.12447753567787569</v>
      </c>
      <c r="E17" s="27">
        <f>PERCENTILE(E19:E65536,0.9)</f>
        <v>16.23043547387508</v>
      </c>
      <c r="F17" s="72">
        <f>PERCENTILE(F19:F65536,0.9)</f>
        <v>33.92652898708276</v>
      </c>
      <c r="G17" s="25">
        <f>PERCENTILE(G19:G65536,0.9)</f>
        <v>4.529166666666664</v>
      </c>
      <c r="H17" s="26">
        <f>PERCENTILE(H19:H65536,0.9)</f>
        <v>0.13216538268622835</v>
      </c>
      <c r="I17" s="27">
        <f>PERCENTILE(I19:I65536,0.9)</f>
        <v>16.48983361594102</v>
      </c>
      <c r="J17" s="72">
        <f>PERCENTILE(J19:J65536,0.9)</f>
        <v>16.898472879935536</v>
      </c>
      <c r="K17" s="25">
        <f>PERCENTILE(K19:K65536,0.9)</f>
        <v>4.854166666666666</v>
      </c>
      <c r="L17" s="26">
        <f>PERCENTILE(L19:L65536,0.9)</f>
        <v>0.1324038925752975</v>
      </c>
      <c r="M17" s="27">
        <f>PERCENTILE(M19:M65536,0.9)</f>
        <v>16.48983361594102</v>
      </c>
      <c r="N17" s="72">
        <f>PERCENTILE(N19:N65536,0.9)</f>
        <v>15.18160954432262</v>
      </c>
      <c r="O17" s="25">
        <f>PERCENTILE(O19:O65536,0.9)</f>
        <v>8.400000000000018</v>
      </c>
      <c r="P17" s="26">
        <f>PERCENTILE(P19:P65536,0.9)</f>
        <v>0.13359381853296712</v>
      </c>
      <c r="Q17" s="27">
        <f>PERCENTILE(Q19:Q65536,0.9)</f>
        <v>16.48983361594102</v>
      </c>
      <c r="R17" s="72">
        <f>PERCENTILE(R19:R65536,0.9)</f>
        <v>11.959967584770894</v>
      </c>
      <c r="S17" s="25">
        <f>IF(ISBLANK(S30),O17,PERCENTILE(S19:S65536,0.9))</f>
        <v>8.400000000000018</v>
      </c>
      <c r="T17" s="26">
        <f>IF(ISBLANK(T30),P17,PERCENTILE(T19:T65536,0.9))</f>
        <v>0.13359381853296712</v>
      </c>
      <c r="U17" s="27">
        <f>IF(ISBLANK(U30),Q17,PERCENTILE(U19:U65536,0.9))</f>
        <v>16.48983361594102</v>
      </c>
      <c r="V17" s="72">
        <f>IF(ISBLANK(V30),R17,PERCENTILE(V19:V65536,0.9))</f>
        <v>11.959967584770894</v>
      </c>
      <c r="W17" s="25">
        <f>PERCENTILE(W19:W65536,0.9)</f>
        <v>11.37447916666666</v>
      </c>
      <c r="X17" s="26">
        <f>PERCENTILE(X19:X65536,0.9)</f>
        <v>1</v>
      </c>
      <c r="Y17" s="27">
        <f>PERCENTILE(Y19:Y65536,0.9)</f>
        <v>2.0999999999999996</v>
      </c>
      <c r="Z17" s="72">
        <f>PERCENTILE(Z19:Z65536,0.9)</f>
        <v>14.407024415517451</v>
      </c>
      <c r="AA17" s="25">
        <f>PERCENTILE(AA19:AA65536,0.9)</f>
        <v>12.641145833333288</v>
      </c>
      <c r="AB17" s="26">
        <f>PERCENTILE(AB19:AB65536,0.9)</f>
        <v>1</v>
      </c>
      <c r="AC17" s="27">
        <f>PERCENTILE(AC19:AC65536,0.9)</f>
        <v>3.162582668314053</v>
      </c>
      <c r="AD17" s="72">
        <f>PERCENTILE(AD19:AD65536,0.9)</f>
        <v>14.511337974313129</v>
      </c>
      <c r="AE17" s="25">
        <f>PERCENTILE(AE19:AE65536,0.9)</f>
        <v>19.278072916666655</v>
      </c>
      <c r="AF17" s="26">
        <f>PERCENTILE(AF19:AF65536,0.9)</f>
        <v>1</v>
      </c>
      <c r="AG17" s="27">
        <f>PERCENTILE(AG19:AG65536,0.9)</f>
        <v>3.162582668314053</v>
      </c>
      <c r="AH17" s="72">
        <f>PERCENTILE(AH19:AH65536,0.9)</f>
        <v>5.111733078631299</v>
      </c>
      <c r="AI17" s="25">
        <f>PERCENTILE(AI19:AI65536,0.9)</f>
        <v>19.32390624999999</v>
      </c>
      <c r="AJ17" s="26">
        <f>PERCENTILE(AJ19:AJ65536,0.9)</f>
        <v>1</v>
      </c>
      <c r="AK17" s="27">
        <f>PERCENTILE(AK19:AK65536,0.9)</f>
        <v>5.913494570966565</v>
      </c>
      <c r="AL17" s="72">
        <f>PERCENTILE(AL19:AL65536,0.9)</f>
        <v>23.61967744709038</v>
      </c>
      <c r="AM17" s="25">
        <f>PERCENTILE(AM19:AM65536,0.9)</f>
        <v>30.89536458333351</v>
      </c>
      <c r="AN17" s="26">
        <f>PERCENTILE(AN19:AN65536,0.9)</f>
        <v>1</v>
      </c>
      <c r="AO17" s="27">
        <f>PERCENTILE(AO19:AO65536,0.9)</f>
        <v>5.913494570966565</v>
      </c>
      <c r="AP17" s="72">
        <f>PERCENTILE(AP19:AP65536,0.9)</f>
        <v>5.618172874091951</v>
      </c>
      <c r="AQ17" s="27">
        <f>PERCENTILE(AQ19:AQ65536,0.9)</f>
        <v>16.23043547387508</v>
      </c>
      <c r="AR17" s="25">
        <f>PERCENTILE(AR19:AR65536,0.9)</f>
        <v>12</v>
      </c>
      <c r="AS17" s="27">
        <f>PERCENTILE(AS19:AS65536,0.9)</f>
        <v>3.3950226744388185E-06</v>
      </c>
      <c r="AT17" s="128">
        <f>PERCENTILE(AT19:AT65536,0.9)</f>
        <v>5</v>
      </c>
      <c r="AU17" s="26">
        <f>PERCENTILE(AU19:AU65536,0.9)</f>
        <v>8.736656775809582E-09</v>
      </c>
      <c r="AV17" s="12" t="s">
        <v>74</v>
      </c>
    </row>
    <row r="18" spans="2:48" ht="12.75">
      <c r="B18" s="12" t="s">
        <v>234</v>
      </c>
      <c r="C18" s="25">
        <f>PERCENTILE(C19:C65536,0.99)</f>
        <v>0.5</v>
      </c>
      <c r="D18" s="26">
        <f>PERCENTILE(D19:D65536,0.99)</f>
        <v>0.9124477535677877</v>
      </c>
      <c r="E18" s="27">
        <f>PERCENTILE(E19:E65536,0.99)</f>
        <v>18.187558075624963</v>
      </c>
      <c r="F18" s="72">
        <f>PERCENTILE(F19:F65536,0.99)</f>
        <v>35.22425375955982</v>
      </c>
      <c r="G18" s="25">
        <f>PERCENTILE(G19:G65536,0.99)</f>
        <v>5.102916666666668</v>
      </c>
      <c r="H18" s="26">
        <f>PERCENTILE(H19:H65536,0.99)</f>
        <v>0.913216538268623</v>
      </c>
      <c r="I18" s="27">
        <f>PERCENTILE(I19:I65536,0.99)</f>
        <v>18.213497889831558</v>
      </c>
      <c r="J18" s="72">
        <f>PERCENTILE(J19:J65536,0.99)</f>
        <v>21.254201906774632</v>
      </c>
      <c r="K18" s="25">
        <f>PERCENTILE(K19:K65536,0.99)</f>
        <v>5.36041666666667</v>
      </c>
      <c r="L18" s="26">
        <f>PERCENTILE(L19:L65536,0.99)</f>
        <v>0.9132403892575299</v>
      </c>
      <c r="M18" s="27">
        <f>PERCENTILE(M19:M65536,0.99)</f>
        <v>18.213497889831558</v>
      </c>
      <c r="N18" s="72">
        <f>PERCENTILE(N19:N65536,0.99)</f>
        <v>16.96431767907615</v>
      </c>
      <c r="O18" s="25">
        <f>PERCENTILE(O19:O65536,0.99)</f>
        <v>11.977500000000003</v>
      </c>
      <c r="P18" s="26">
        <f>PERCENTILE(P19:P65536,0.99)</f>
        <v>0.9133593818532969</v>
      </c>
      <c r="Q18" s="27">
        <f>PERCENTILE(Q19:Q65536,0.99)</f>
        <v>18.213497889831558</v>
      </c>
      <c r="R18" s="72">
        <f>PERCENTILE(R19:R65536,0.99)</f>
        <v>12.608214733498274</v>
      </c>
      <c r="S18" s="25">
        <f>IF(ISBLANK(S30),O17,PERCENTILE(S19:S65536,0.99))</f>
        <v>8.400000000000018</v>
      </c>
      <c r="T18" s="26">
        <f>IF(ISBLANK(T30),P17,PERCENTILE(T19:T65536,0.99))</f>
        <v>0.13359381853296712</v>
      </c>
      <c r="U18" s="27">
        <f>IF(ISBLANK(U30),Q17,PERCENTILE(U19:U65536,0.99))</f>
        <v>16.48983361594102</v>
      </c>
      <c r="V18" s="72">
        <f>IF(ISBLANK(V30),R17,PERCENTILE(V19:V65536,0.99))</f>
        <v>11.959967584770894</v>
      </c>
      <c r="W18" s="25">
        <f>PERCENTILE(W19:W65536,0.99)</f>
        <v>13.129479166666618</v>
      </c>
      <c r="X18" s="26">
        <f>PERCENTILE(X19:X65536,0.99)</f>
        <v>1</v>
      </c>
      <c r="Y18" s="27">
        <f>PERCENTILE(Y19:Y65536,0.99)</f>
        <v>2.91</v>
      </c>
      <c r="Z18" s="72">
        <f>PERCENTILE(Z19:Z65536,0.99)</f>
        <v>16.035191655286635</v>
      </c>
      <c r="AA18" s="25">
        <f>PERCENTILE(AA19:AA65536,0.99)</f>
        <v>14.193645833333267</v>
      </c>
      <c r="AB18" s="26">
        <f>PERCENTILE(AB19:AB65536,0.99)</f>
        <v>1</v>
      </c>
      <c r="AC18" s="27">
        <f>PERCENTILE(AC19:AC65536,0.99)</f>
        <v>4.479502281657889</v>
      </c>
      <c r="AD18" s="72">
        <f>PERCENTILE(AD19:AD65536,0.99)</f>
        <v>14.794159873136449</v>
      </c>
      <c r="AE18" s="25">
        <f>PERCENTILE(AE19:AE65536,0.99)</f>
        <v>31.395307291666956</v>
      </c>
      <c r="AF18" s="26">
        <f>PERCENTILE(AF19:AF65536,0.99)</f>
        <v>1</v>
      </c>
      <c r="AG18" s="27">
        <f>PERCENTILE(AG19:AG65536,0.99)</f>
        <v>4.479502281657889</v>
      </c>
      <c r="AH18" s="72">
        <f>PERCENTILE(AH19:AH65536,0.99)</f>
        <v>5.794595716923682</v>
      </c>
      <c r="AI18" s="25">
        <f>PERCENTILE(AI19:AI65536,0.99)</f>
        <v>31.474890625000285</v>
      </c>
      <c r="AJ18" s="26">
        <f>PERCENTILE(AJ19:AJ65536,0.99)</f>
        <v>1</v>
      </c>
      <c r="AK18" s="27">
        <f>PERCENTILE(AK19:AK65536,0.99)</f>
        <v>16.343604462357433</v>
      </c>
      <c r="AL18" s="72">
        <f>PERCENTILE(AL19:AL65536,0.99)</f>
        <v>29.337708661960786</v>
      </c>
      <c r="AM18" s="25">
        <f>PERCENTILE(AM19:AM65536,0.99)</f>
        <v>47.669536458332786</v>
      </c>
      <c r="AN18" s="26">
        <f>PERCENTILE(AN19:AN65536,0.99)</f>
        <v>1</v>
      </c>
      <c r="AO18" s="27">
        <f>PERCENTILE(AO19:AO65536,0.99)</f>
        <v>16.343604462357433</v>
      </c>
      <c r="AP18" s="72">
        <f>PERCENTILE(AP19:AP65536,0.99)</f>
        <v>7.231568207504779</v>
      </c>
      <c r="AQ18" s="27">
        <f>PERCENTILE(AQ19:AQ65536,0.99)</f>
        <v>18.187558075624963</v>
      </c>
      <c r="AR18" s="25">
        <f>PERCENTILE(AR19:AR65536,0.99)</f>
        <v>12</v>
      </c>
      <c r="AS18" s="27">
        <f>PERCENTILE(AS19:AS65536,0.99)</f>
        <v>1.3143415834118518E-05</v>
      </c>
      <c r="AT18" s="128">
        <f>PERCENTILE(AT19:AT65536,0.99)</f>
        <v>5</v>
      </c>
      <c r="AU18" s="26">
        <f>PERCENTILE(AU19:AU65536,0.99)</f>
        <v>3.382289841979969E-08</v>
      </c>
      <c r="AV18" s="12" t="s">
        <v>234</v>
      </c>
    </row>
    <row r="19" spans="1:47" ht="12.75">
      <c r="A19">
        <v>1</v>
      </c>
      <c r="B19" t="s">
        <v>35</v>
      </c>
      <c r="C19" s="5">
        <v>0.125</v>
      </c>
      <c r="D19" s="20">
        <v>0.024420565027495122</v>
      </c>
      <c r="E19" s="30">
        <v>6.465837266578344</v>
      </c>
      <c r="F19" s="5">
        <v>22.20076006383218</v>
      </c>
      <c r="G19" s="5">
        <v>2.9583333333333313</v>
      </c>
      <c r="H19" s="20">
        <v>0.02776417159976774</v>
      </c>
      <c r="I19" s="6">
        <v>6.465837266578344</v>
      </c>
      <c r="J19" s="5">
        <v>16.360728555634417</v>
      </c>
      <c r="K19" s="5">
        <v>3.125</v>
      </c>
      <c r="L19" s="20">
        <v>0.02788822064053853</v>
      </c>
      <c r="M19" s="6">
        <v>6.465837266578344</v>
      </c>
      <c r="N19" s="5">
        <v>7.949614226499672</v>
      </c>
      <c r="O19" s="5">
        <v>4.541666666666664</v>
      </c>
      <c r="P19" s="20">
        <v>0.028792684871591256</v>
      </c>
      <c r="Q19" s="6">
        <v>6.465837266578344</v>
      </c>
      <c r="R19" s="5">
        <v>6.442877690112478</v>
      </c>
      <c r="S19" s="2">
        <v>0.015625</v>
      </c>
      <c r="T19" s="20">
        <v>0.8226322330600517</v>
      </c>
      <c r="U19" s="6">
        <v>0</v>
      </c>
      <c r="V19" s="5">
        <v>53.660798417337965</v>
      </c>
      <c r="W19" s="5">
        <v>5.491493055555559</v>
      </c>
      <c r="X19" s="20">
        <v>1</v>
      </c>
      <c r="Y19" s="6">
        <v>0</v>
      </c>
      <c r="Z19" s="20">
        <v>10.59574116116338</v>
      </c>
      <c r="AA19" s="5">
        <v>6.116493055555564</v>
      </c>
      <c r="AB19" s="20">
        <v>1</v>
      </c>
      <c r="AC19" s="6">
        <v>0</v>
      </c>
      <c r="AD19" s="5">
        <v>13.262087629196479</v>
      </c>
      <c r="AE19" s="5">
        <v>13.90815972222216</v>
      </c>
      <c r="AF19" s="20">
        <v>1</v>
      </c>
      <c r="AG19" s="6">
        <v>0</v>
      </c>
      <c r="AH19" s="5">
        <v>4</v>
      </c>
      <c r="AI19" s="5">
        <v>13.949826388888827</v>
      </c>
      <c r="AJ19" s="20">
        <v>1</v>
      </c>
      <c r="AK19" s="6">
        <v>0</v>
      </c>
      <c r="AL19" s="5">
        <v>15.217333890048817</v>
      </c>
      <c r="AM19" s="5">
        <v>17.78315972222218</v>
      </c>
      <c r="AN19" s="20">
        <v>1</v>
      </c>
      <c r="AO19" s="6">
        <v>0</v>
      </c>
      <c r="AP19" s="5">
        <v>4</v>
      </c>
      <c r="AQ19" s="127">
        <v>6.465837266578344</v>
      </c>
      <c r="AR19" s="42">
        <v>0.94</v>
      </c>
      <c r="AS19" s="43">
        <v>0</v>
      </c>
      <c r="AT19">
        <v>1</v>
      </c>
      <c r="AU19">
        <v>0</v>
      </c>
    </row>
    <row r="20" spans="1:47" ht="12.75">
      <c r="A20">
        <v>2</v>
      </c>
      <c r="B20" t="s">
        <v>106</v>
      </c>
      <c r="C20" s="5">
        <v>0.16666666666666666</v>
      </c>
      <c r="D20" s="20">
        <v>0.02655756619632188</v>
      </c>
      <c r="E20" s="30">
        <v>1</v>
      </c>
      <c r="F20" s="5">
        <v>35.368445400946165</v>
      </c>
      <c r="G20" s="5">
        <v>2.6666666666666656</v>
      </c>
      <c r="H20" s="20">
        <v>0.029176124893870337</v>
      </c>
      <c r="I20" s="6">
        <v>1</v>
      </c>
      <c r="J20" s="5">
        <v>11.590214802675051</v>
      </c>
      <c r="K20" s="5">
        <v>3.083333333333331</v>
      </c>
      <c r="L20" s="20">
        <v>0.0295985597755013</v>
      </c>
      <c r="M20" s="6">
        <v>1</v>
      </c>
      <c r="N20" s="5">
        <v>14.961522120278977</v>
      </c>
      <c r="O20" s="5">
        <v>4.166666666666662</v>
      </c>
      <c r="P20" s="20">
        <v>0.030228800736390116</v>
      </c>
      <c r="Q20" s="6">
        <v>1</v>
      </c>
      <c r="R20" s="5">
        <v>4</v>
      </c>
      <c r="S20" s="2">
        <v>0.015798611111111086</v>
      </c>
      <c r="T20" s="20">
        <v>0.7648109210653383</v>
      </c>
      <c r="U20" s="6">
        <v>0</v>
      </c>
      <c r="V20" s="5">
        <v>53.57847770881617</v>
      </c>
      <c r="W20" s="5">
        <v>10.777951388888871</v>
      </c>
      <c r="X20" s="20">
        <v>1</v>
      </c>
      <c r="Y20" s="6">
        <v>0</v>
      </c>
      <c r="Z20" s="20">
        <v>8.11307544965317</v>
      </c>
      <c r="AA20" s="5">
        <v>11.236284722222198</v>
      </c>
      <c r="AB20" s="20">
        <v>1</v>
      </c>
      <c r="AC20" s="6">
        <v>0</v>
      </c>
      <c r="AD20" s="5">
        <v>12.171345417205046</v>
      </c>
      <c r="AE20" s="5">
        <v>11.73628472222219</v>
      </c>
      <c r="AF20" s="20">
        <v>1</v>
      </c>
      <c r="AG20" s="6">
        <v>0</v>
      </c>
      <c r="AH20" s="5">
        <v>5.027429049212486</v>
      </c>
      <c r="AI20" s="5">
        <v>11.777951388888857</v>
      </c>
      <c r="AJ20" s="20">
        <v>1</v>
      </c>
      <c r="AK20" s="6">
        <v>0</v>
      </c>
      <c r="AL20" s="5">
        <v>15.702796571359809</v>
      </c>
      <c r="AM20" s="5">
        <v>22.069618055555637</v>
      </c>
      <c r="AN20" s="20">
        <v>1</v>
      </c>
      <c r="AO20" s="6">
        <v>0</v>
      </c>
      <c r="AP20" s="5">
        <v>4.026804849552015</v>
      </c>
      <c r="AQ20" s="127">
        <v>1</v>
      </c>
      <c r="AR20" s="42">
        <v>12</v>
      </c>
      <c r="AS20" s="43">
        <v>0</v>
      </c>
      <c r="AT20">
        <v>5</v>
      </c>
      <c r="AU20">
        <v>0</v>
      </c>
    </row>
    <row r="21" spans="1:47" ht="12.75">
      <c r="A21">
        <v>3</v>
      </c>
      <c r="B21" t="s">
        <v>105</v>
      </c>
      <c r="C21" s="5">
        <v>0.16666666666666666</v>
      </c>
      <c r="D21" s="20">
        <v>0.024495967596715573</v>
      </c>
      <c r="E21" s="30">
        <v>4.541966914488128</v>
      </c>
      <c r="F21" s="5">
        <v>21.634418092105342</v>
      </c>
      <c r="G21" s="5">
        <v>4.45833333333333</v>
      </c>
      <c r="H21" s="20">
        <v>0.028692499816648898</v>
      </c>
      <c r="I21" s="6">
        <v>4.541966914488128</v>
      </c>
      <c r="J21" s="5">
        <v>13.743236974735598</v>
      </c>
      <c r="K21" s="5">
        <v>4.791666666666666</v>
      </c>
      <c r="L21" s="20">
        <v>0.028989921087056336</v>
      </c>
      <c r="M21" s="6">
        <v>4.541966914488128</v>
      </c>
      <c r="N21" s="5">
        <v>11.366749045046175</v>
      </c>
      <c r="O21" s="5">
        <v>5.166666666666669</v>
      </c>
      <c r="P21" s="20">
        <v>0.02924778824973273</v>
      </c>
      <c r="Q21" s="6">
        <v>4.541966914488128</v>
      </c>
      <c r="R21" s="5">
        <v>7.094667664810476</v>
      </c>
      <c r="S21" s="2">
        <v>0.015451388888888865</v>
      </c>
      <c r="T21" s="20">
        <v>0.7867066677051261</v>
      </c>
      <c r="U21" s="6">
        <v>2</v>
      </c>
      <c r="V21" s="5">
        <v>53.59620055264795</v>
      </c>
      <c r="W21" s="5">
        <v>11.1578125</v>
      </c>
      <c r="X21" s="20">
        <v>1</v>
      </c>
      <c r="Y21" s="6">
        <v>2</v>
      </c>
      <c r="Z21" s="20">
        <v>9.440471026394393</v>
      </c>
      <c r="AA21" s="5">
        <v>12.449479166666626</v>
      </c>
      <c r="AB21" s="20">
        <v>1</v>
      </c>
      <c r="AC21" s="6">
        <v>4.625826683140537</v>
      </c>
      <c r="AD21" s="5">
        <v>14.476421690507781</v>
      </c>
      <c r="AE21" s="5">
        <v>12.949479166666618</v>
      </c>
      <c r="AF21" s="20">
        <v>1</v>
      </c>
      <c r="AG21" s="6">
        <v>4.625826683140537</v>
      </c>
      <c r="AH21" s="5">
        <v>4</v>
      </c>
      <c r="AI21" s="5">
        <v>12.991145833333285</v>
      </c>
      <c r="AJ21" s="20">
        <v>1</v>
      </c>
      <c r="AK21" s="6">
        <v>4.625826683140537</v>
      </c>
      <c r="AL21" s="5">
        <v>22.913747667476752</v>
      </c>
      <c r="AM21" s="5">
        <v>28.82447916666694</v>
      </c>
      <c r="AN21" s="20">
        <v>1</v>
      </c>
      <c r="AO21" s="6">
        <v>4.625826683140537</v>
      </c>
      <c r="AP21" s="5">
        <v>4</v>
      </c>
      <c r="AQ21" s="127">
        <v>4.541966914488128</v>
      </c>
      <c r="AR21" s="42">
        <v>6.32444444444444</v>
      </c>
      <c r="AS21" s="43">
        <v>2.191517346083305E-06</v>
      </c>
      <c r="AT21">
        <v>5</v>
      </c>
      <c r="AU21">
        <v>5.639589906181186E-09</v>
      </c>
    </row>
    <row r="22" spans="1:47" ht="12.75">
      <c r="A22">
        <v>4</v>
      </c>
      <c r="B22" t="s">
        <v>97</v>
      </c>
      <c r="C22" s="5">
        <v>0.5</v>
      </c>
      <c r="D22" s="20">
        <v>0.025226202749428217</v>
      </c>
      <c r="E22" s="30">
        <v>15.98881539958497</v>
      </c>
      <c r="F22" s="5">
        <v>22.656974035215836</v>
      </c>
      <c r="G22" s="5">
        <v>5.166666666666669</v>
      </c>
      <c r="H22" s="20">
        <v>0.03573931409580966</v>
      </c>
      <c r="I22" s="6">
        <v>16.277035557436015</v>
      </c>
      <c r="J22" s="5">
        <v>21.73817179864564</v>
      </c>
      <c r="K22" s="5">
        <v>5.4166666666666705</v>
      </c>
      <c r="L22" s="20">
        <v>0.036004325083664246</v>
      </c>
      <c r="M22" s="6">
        <v>16.277035557436015</v>
      </c>
      <c r="N22" s="5">
        <v>9.335592331079416</v>
      </c>
      <c r="O22" s="5">
        <v>6.79166666666668</v>
      </c>
      <c r="P22" s="20">
        <v>0.03732646503663051</v>
      </c>
      <c r="Q22" s="6">
        <v>16.277035557436015</v>
      </c>
      <c r="R22" s="5">
        <v>11.879937072582328</v>
      </c>
      <c r="S22" s="2">
        <v>0.014930555555555534</v>
      </c>
      <c r="T22" s="20">
        <v>0.8468427574359694</v>
      </c>
      <c r="U22" s="6">
        <v>3</v>
      </c>
      <c r="V22" s="5">
        <v>53.66705235501887</v>
      </c>
      <c r="W22" s="5">
        <v>8.198263888888908</v>
      </c>
      <c r="X22" s="20">
        <v>1</v>
      </c>
      <c r="Y22" s="6">
        <v>3</v>
      </c>
      <c r="Z22" s="20">
        <v>14.20601611431138</v>
      </c>
      <c r="AA22" s="5">
        <v>8.864930555555565</v>
      </c>
      <c r="AB22" s="20">
        <v>1</v>
      </c>
      <c r="AC22" s="6">
        <v>3</v>
      </c>
      <c r="AD22" s="5">
        <v>12.443383915614444</v>
      </c>
      <c r="AE22" s="5">
        <v>15.573263888888803</v>
      </c>
      <c r="AF22" s="20">
        <v>1</v>
      </c>
      <c r="AG22" s="6">
        <v>3</v>
      </c>
      <c r="AH22" s="5">
        <v>4.945968235271027</v>
      </c>
      <c r="AI22" s="5">
        <v>15.656597222222135</v>
      </c>
      <c r="AJ22" s="20">
        <v>1</v>
      </c>
      <c r="AK22" s="6">
        <v>17.502505561400863</v>
      </c>
      <c r="AL22" s="5">
        <v>29.97304546361305</v>
      </c>
      <c r="AM22" s="5">
        <v>24.656597222222377</v>
      </c>
      <c r="AN22" s="20">
        <v>1</v>
      </c>
      <c r="AO22" s="6">
        <v>17.502505561400863</v>
      </c>
      <c r="AP22" s="5">
        <v>4</v>
      </c>
      <c r="AQ22" s="127">
        <v>15.98881539958497</v>
      </c>
      <c r="AR22" s="42">
        <v>6.09</v>
      </c>
      <c r="AS22" s="43">
        <v>1.4226570629638485E-05</v>
      </c>
      <c r="AT22">
        <v>2</v>
      </c>
      <c r="AU22">
        <v>3.661025860246525E-08</v>
      </c>
    </row>
    <row r="23" spans="1:47" ht="12.75">
      <c r="A23">
        <v>5</v>
      </c>
      <c r="B23" t="s">
        <v>35</v>
      </c>
      <c r="C23" s="5">
        <v>0.3333333333333333</v>
      </c>
      <c r="D23" s="20">
        <v>0.02514578072115925</v>
      </c>
      <c r="E23" s="30">
        <v>18.405016142486062</v>
      </c>
      <c r="F23" s="5">
        <v>25.512686354807297</v>
      </c>
      <c r="G23" s="5">
        <v>2.708333333333332</v>
      </c>
      <c r="H23" s="20">
        <v>0.026575735906626208</v>
      </c>
      <c r="I23" s="6">
        <v>18.405016142486062</v>
      </c>
      <c r="J23" s="5">
        <v>4.851905733977499</v>
      </c>
      <c r="K23" s="5">
        <v>2.8333333333333317</v>
      </c>
      <c r="L23" s="20">
        <v>0.02665761605731576</v>
      </c>
      <c r="M23" s="6">
        <v>18.405016142486062</v>
      </c>
      <c r="N23" s="5">
        <v>7.759508336826809</v>
      </c>
      <c r="O23" s="5">
        <v>3.2083333333333304</v>
      </c>
      <c r="P23" s="20">
        <v>0.026888511347214594</v>
      </c>
      <c r="Q23" s="6">
        <v>18.405016142486062</v>
      </c>
      <c r="R23" s="5">
        <v>5.216088514706911</v>
      </c>
      <c r="S23" s="2">
        <v>0.015798611111111086</v>
      </c>
      <c r="T23" s="20">
        <v>0.8286956820556466</v>
      </c>
      <c r="U23" s="6">
        <v>1</v>
      </c>
      <c r="V23" s="5">
        <v>53.67805108799818</v>
      </c>
      <c r="W23" s="5">
        <v>3.741666666666662</v>
      </c>
      <c r="X23" s="20">
        <v>0.8290076091618681</v>
      </c>
      <c r="Y23" s="6">
        <v>1</v>
      </c>
      <c r="Z23" s="20">
        <v>4.708597318460436</v>
      </c>
      <c r="AA23" s="5">
        <v>4.28333333333333</v>
      </c>
      <c r="AB23" s="20">
        <v>0.8294138872681205</v>
      </c>
      <c r="AC23" s="6">
        <v>1</v>
      </c>
      <c r="AD23" s="5">
        <v>10.412610530115225</v>
      </c>
      <c r="AE23" s="5">
        <v>32.74166666666699</v>
      </c>
      <c r="AF23" s="20">
        <v>0.8528551901614105</v>
      </c>
      <c r="AG23" s="6">
        <v>1</v>
      </c>
      <c r="AH23" s="5">
        <v>4.364865971834642</v>
      </c>
      <c r="AI23" s="5">
        <v>32.825000000000315</v>
      </c>
      <c r="AJ23" s="20">
        <v>0.8534673299228592</v>
      </c>
      <c r="AK23" s="6">
        <v>1</v>
      </c>
      <c r="AL23" s="5">
        <v>20.050960790495093</v>
      </c>
      <c r="AM23" s="5">
        <v>49.5333333333327</v>
      </c>
      <c r="AN23" s="20">
        <v>0.8751665599068762</v>
      </c>
      <c r="AO23" s="6">
        <v>1</v>
      </c>
      <c r="AP23" s="5">
        <v>4.098632298510962</v>
      </c>
      <c r="AQ23" s="127">
        <v>18.405016142486062</v>
      </c>
      <c r="AR23" s="42">
        <v>12</v>
      </c>
      <c r="AS23" s="43">
        <v>1E-12</v>
      </c>
      <c r="AT23">
        <v>2</v>
      </c>
      <c r="AU23">
        <v>2.6645352591003757E-15</v>
      </c>
    </row>
    <row r="24" spans="1:61" ht="12.75">
      <c r="A24">
        <v>6</v>
      </c>
      <c r="B24" t="s">
        <v>35</v>
      </c>
      <c r="C24" s="5">
        <v>0.5</v>
      </c>
      <c r="D24" s="20">
        <v>0.024885656335992823</v>
      </c>
      <c r="E24" s="30">
        <v>8.074478904753072</v>
      </c>
      <c r="F24" s="5">
        <v>18.530207936455128</v>
      </c>
      <c r="G24" s="5">
        <v>3.4583333333333295</v>
      </c>
      <c r="H24" s="20">
        <v>0.028279960644668756</v>
      </c>
      <c r="I24" s="6">
        <v>8.074478904753072</v>
      </c>
      <c r="J24" s="5">
        <v>15.780359527063805</v>
      </c>
      <c r="K24" s="5">
        <v>3.749999999999995</v>
      </c>
      <c r="L24" s="20">
        <v>0.028542957248179124</v>
      </c>
      <c r="M24" s="6">
        <v>8.074478904753072</v>
      </c>
      <c r="N24" s="5">
        <v>10.722379711485337</v>
      </c>
      <c r="O24" s="5">
        <v>5.541666666666671</v>
      </c>
      <c r="P24" s="20">
        <v>0.029778511195628243</v>
      </c>
      <c r="Q24" s="6">
        <v>8.074478904753072</v>
      </c>
      <c r="R24" s="5">
        <v>7.264180722734663</v>
      </c>
      <c r="S24" s="2">
        <v>0.015451388888888865</v>
      </c>
      <c r="T24" s="20">
        <v>0.7959301187850852</v>
      </c>
      <c r="U24" s="6">
        <v>1</v>
      </c>
      <c r="V24" s="5">
        <v>53.61086505784928</v>
      </c>
      <c r="W24" s="5">
        <v>6.69947916666668</v>
      </c>
      <c r="X24" s="20">
        <v>1</v>
      </c>
      <c r="Y24" s="6">
        <v>1</v>
      </c>
      <c r="Z24" s="20">
        <v>7.779260176500637</v>
      </c>
      <c r="AA24" s="5">
        <v>7.074479166666682</v>
      </c>
      <c r="AB24" s="20">
        <v>1</v>
      </c>
      <c r="AC24" s="6">
        <v>1</v>
      </c>
      <c r="AD24" s="5">
        <v>7.5709659069572375</v>
      </c>
      <c r="AE24" s="5">
        <v>12.449479166666626</v>
      </c>
      <c r="AF24" s="20">
        <v>1</v>
      </c>
      <c r="AG24" s="6">
        <v>1</v>
      </c>
      <c r="AH24" s="5">
        <v>5.870469343400614</v>
      </c>
      <c r="AI24" s="5">
        <v>12.491145833333292</v>
      </c>
      <c r="AJ24" s="20">
        <v>1</v>
      </c>
      <c r="AK24" s="6">
        <v>1</v>
      </c>
      <c r="AL24" s="5">
        <v>18.308193277358225</v>
      </c>
      <c r="AM24" s="5">
        <v>26.032812500000194</v>
      </c>
      <c r="AN24" s="20">
        <v>1</v>
      </c>
      <c r="AO24" s="6">
        <v>1</v>
      </c>
      <c r="AP24" s="5">
        <v>4</v>
      </c>
      <c r="AQ24" s="127">
        <v>8.074478904753072</v>
      </c>
      <c r="AR24" s="42">
        <v>12</v>
      </c>
      <c r="AS24" s="43">
        <v>1E-12</v>
      </c>
      <c r="AT24">
        <v>1</v>
      </c>
      <c r="AU24">
        <v>2.55351295663786E-15</v>
      </c>
      <c r="BH24" s="243"/>
      <c r="BI24" s="243"/>
    </row>
    <row r="25" spans="1:61" ht="12.75">
      <c r="A25">
        <v>7</v>
      </c>
      <c r="B25" t="s">
        <v>106</v>
      </c>
      <c r="C25" s="5">
        <v>0.5</v>
      </c>
      <c r="D25" s="20">
        <v>0.026554708981699204</v>
      </c>
      <c r="E25" s="30">
        <v>1</v>
      </c>
      <c r="F25" s="5">
        <v>28.9136952041731</v>
      </c>
      <c r="G25" s="5">
        <v>2.541666666666666</v>
      </c>
      <c r="H25" s="20">
        <v>0.028559793820318702</v>
      </c>
      <c r="I25" s="6">
        <v>1</v>
      </c>
      <c r="J25" s="5">
        <v>14.067212087729754</v>
      </c>
      <c r="K25" s="5">
        <v>3.083333333333331</v>
      </c>
      <c r="L25" s="20">
        <v>0.029271072786418273</v>
      </c>
      <c r="M25" s="6">
        <v>1</v>
      </c>
      <c r="N25" s="5">
        <v>17.16239636071543</v>
      </c>
      <c r="O25" s="5">
        <v>12.375</v>
      </c>
      <c r="P25" s="20">
        <v>0.036064018988892554</v>
      </c>
      <c r="Q25" s="6">
        <v>1</v>
      </c>
      <c r="R25" s="5">
        <v>7.325137986457217</v>
      </c>
      <c r="S25" s="2">
        <v>0.015451388888888865</v>
      </c>
      <c r="T25" s="20">
        <v>0.8053686192413835</v>
      </c>
      <c r="U25" s="6">
        <v>0</v>
      </c>
      <c r="V25" s="5">
        <v>53.61613844576327</v>
      </c>
      <c r="W25" s="5">
        <v>13.324479166666613</v>
      </c>
      <c r="X25" s="20">
        <v>1</v>
      </c>
      <c r="Y25" s="6">
        <v>0</v>
      </c>
      <c r="Z25" s="20">
        <v>4</v>
      </c>
      <c r="AA25" s="5">
        <v>14.366145833333265</v>
      </c>
      <c r="AB25" s="20">
        <v>1</v>
      </c>
      <c r="AC25" s="6">
        <v>0</v>
      </c>
      <c r="AD25" s="5">
        <v>7.929171892148386</v>
      </c>
      <c r="AE25" s="5">
        <v>17.491145833333285</v>
      </c>
      <c r="AF25" s="20">
        <v>1</v>
      </c>
      <c r="AG25" s="6">
        <v>0</v>
      </c>
      <c r="AH25" s="5">
        <v>4</v>
      </c>
      <c r="AI25" s="5">
        <v>17.491145833333285</v>
      </c>
      <c r="AJ25" s="20">
        <v>1</v>
      </c>
      <c r="AK25" s="6">
        <v>0</v>
      </c>
      <c r="AL25" s="5">
        <v>4</v>
      </c>
      <c r="AM25" s="5">
        <v>19.949479166666688</v>
      </c>
      <c r="AN25" s="20">
        <v>1</v>
      </c>
      <c r="AO25" s="6">
        <v>0</v>
      </c>
      <c r="AP25" s="5">
        <v>7.41083435566176</v>
      </c>
      <c r="AQ25" s="127">
        <v>1</v>
      </c>
      <c r="AR25" s="42">
        <v>12</v>
      </c>
      <c r="AS25" s="43">
        <v>0</v>
      </c>
      <c r="AT25">
        <v>1</v>
      </c>
      <c r="AU25">
        <v>0</v>
      </c>
      <c r="BH25" s="243"/>
      <c r="BI25" s="243"/>
    </row>
    <row r="26" spans="1:61" ht="12.75">
      <c r="A26">
        <v>8</v>
      </c>
      <c r="B26" t="s">
        <v>105</v>
      </c>
      <c r="C26" s="5">
        <v>0.25</v>
      </c>
      <c r="D26" s="20">
        <v>0.026922724948281074</v>
      </c>
      <c r="E26" s="30">
        <v>5.832064112632569</v>
      </c>
      <c r="F26" s="5">
        <v>33.76631605220905</v>
      </c>
      <c r="G26" s="5">
        <v>3</v>
      </c>
      <c r="H26" s="20">
        <v>0.03002418911391036</v>
      </c>
      <c r="I26" s="6">
        <v>5.832064112632569</v>
      </c>
      <c r="J26" s="5">
        <v>15.199026024852621</v>
      </c>
      <c r="K26" s="5">
        <v>3.125</v>
      </c>
      <c r="L26" s="20">
        <v>0.030111850298972453</v>
      </c>
      <c r="M26" s="6">
        <v>5.832064112632569</v>
      </c>
      <c r="N26" s="5">
        <v>6.353173579738656</v>
      </c>
      <c r="O26" s="5">
        <v>3.666666666666662</v>
      </c>
      <c r="P26" s="20">
        <v>0.03049890014957557</v>
      </c>
      <c r="Q26" s="6">
        <v>5.832064112632569</v>
      </c>
      <c r="R26" s="5">
        <v>8.973399830033811</v>
      </c>
      <c r="S26" s="2">
        <v>0.015277777777777755</v>
      </c>
      <c r="T26" s="20">
        <v>0.8173749534187394</v>
      </c>
      <c r="U26" s="6">
        <v>0</v>
      </c>
      <c r="V26" s="5">
        <v>53.64047541435198</v>
      </c>
      <c r="W26" s="5">
        <v>7.199131944444462</v>
      </c>
      <c r="X26" s="20">
        <v>1</v>
      </c>
      <c r="Y26" s="6">
        <v>0</v>
      </c>
      <c r="Z26" s="20">
        <v>9.574231879238477</v>
      </c>
      <c r="AA26" s="5">
        <v>7.49079861111113</v>
      </c>
      <c r="AB26" s="20">
        <v>1</v>
      </c>
      <c r="AC26" s="6">
        <v>0</v>
      </c>
      <c r="AD26" s="5">
        <v>10.078756881467145</v>
      </c>
      <c r="AE26" s="5">
        <v>11.449131944444419</v>
      </c>
      <c r="AF26" s="20">
        <v>1</v>
      </c>
      <c r="AG26" s="6">
        <v>0</v>
      </c>
      <c r="AH26" s="5">
        <v>4.50356883980086</v>
      </c>
      <c r="AI26" s="5">
        <v>11.490798611111085</v>
      </c>
      <c r="AJ26" s="20">
        <v>1</v>
      </c>
      <c r="AK26" s="6">
        <v>0</v>
      </c>
      <c r="AL26" s="5">
        <v>18.383323376029484</v>
      </c>
      <c r="AM26" s="5">
        <v>17.490798611111064</v>
      </c>
      <c r="AN26" s="20">
        <v>1</v>
      </c>
      <c r="AO26" s="6">
        <v>0</v>
      </c>
      <c r="AP26" s="5">
        <v>4</v>
      </c>
      <c r="AQ26" s="127">
        <v>5.832064112632569</v>
      </c>
      <c r="AR26" s="42">
        <v>6.09</v>
      </c>
      <c r="AS26" s="43">
        <v>0</v>
      </c>
      <c r="AT26">
        <v>1</v>
      </c>
      <c r="AU26">
        <v>0</v>
      </c>
      <c r="BH26" s="243"/>
      <c r="BI26" s="243"/>
    </row>
    <row r="27" spans="1:61" ht="12.75">
      <c r="A27">
        <v>9</v>
      </c>
      <c r="B27" t="s">
        <v>97</v>
      </c>
      <c r="C27" s="5">
        <v>0.4166666666666667</v>
      </c>
      <c r="D27" s="20">
        <v>0.02719726186430671</v>
      </c>
      <c r="E27" s="30">
        <v>7.863957699923048</v>
      </c>
      <c r="F27" s="5">
        <v>31.39640765074669</v>
      </c>
      <c r="G27" s="5">
        <v>3.7083333333333286</v>
      </c>
      <c r="H27" s="20">
        <v>0.030354220595345982</v>
      </c>
      <c r="I27" s="6">
        <v>7.863957699923048</v>
      </c>
      <c r="J27" s="5">
        <v>13.442100956823937</v>
      </c>
      <c r="K27" s="5">
        <v>3.9583333333333277</v>
      </c>
      <c r="L27" s="20">
        <v>0.030581561804560953</v>
      </c>
      <c r="M27" s="6">
        <v>7.863957699923048</v>
      </c>
      <c r="N27" s="5">
        <v>11.9429264912183</v>
      </c>
      <c r="O27" s="5">
        <v>7.958333333333355</v>
      </c>
      <c r="P27" s="20">
        <v>0.034018481029443715</v>
      </c>
      <c r="Q27" s="6">
        <v>7.863957699923048</v>
      </c>
      <c r="R27" s="5">
        <v>10.365913915732147</v>
      </c>
      <c r="S27" s="2">
        <v>0.015104166666666644</v>
      </c>
      <c r="T27" s="20">
        <v>0.8273644525998889</v>
      </c>
      <c r="U27" s="6">
        <v>1</v>
      </c>
      <c r="V27" s="5">
        <v>53.64620186261243</v>
      </c>
      <c r="W27" s="5">
        <v>8.657118055555568</v>
      </c>
      <c r="X27" s="20">
        <v>1</v>
      </c>
      <c r="Y27" s="6">
        <v>1</v>
      </c>
      <c r="Z27" s="20">
        <v>11.666470927901576</v>
      </c>
      <c r="AA27" s="5">
        <v>9.073784722222229</v>
      </c>
      <c r="AB27" s="20">
        <v>1</v>
      </c>
      <c r="AC27" s="6">
        <v>1</v>
      </c>
      <c r="AD27" s="5">
        <v>10.872709490222999</v>
      </c>
      <c r="AE27" s="5">
        <v>17.782118055555515</v>
      </c>
      <c r="AF27" s="20">
        <v>1</v>
      </c>
      <c r="AG27" s="6">
        <v>1</v>
      </c>
      <c r="AH27" s="5">
        <v>4</v>
      </c>
      <c r="AI27" s="5">
        <v>17.823784722222182</v>
      </c>
      <c r="AJ27" s="20">
        <v>1</v>
      </c>
      <c r="AK27" s="6">
        <v>1</v>
      </c>
      <c r="AL27" s="5">
        <v>18.233038599701285</v>
      </c>
      <c r="AM27" s="5">
        <v>26.448784722222427</v>
      </c>
      <c r="AN27" s="20">
        <v>1</v>
      </c>
      <c r="AO27" s="6">
        <v>1</v>
      </c>
      <c r="AP27" s="5">
        <v>5.41898826502864</v>
      </c>
      <c r="AQ27" s="127">
        <v>7.863957699923048</v>
      </c>
      <c r="AR27" s="42">
        <v>8</v>
      </c>
      <c r="AS27" s="43">
        <v>1E-08</v>
      </c>
      <c r="AT27">
        <v>3</v>
      </c>
      <c r="AU27">
        <v>2.573374846548404E-11</v>
      </c>
      <c r="BH27" s="243"/>
      <c r="BI27" s="243"/>
    </row>
    <row r="28" spans="1:61" ht="12.75">
      <c r="A28">
        <v>10</v>
      </c>
      <c r="B28" t="s">
        <v>105</v>
      </c>
      <c r="C28" s="5">
        <v>0.041666666666666664</v>
      </c>
      <c r="D28" s="20">
        <v>1</v>
      </c>
      <c r="E28" s="30">
        <v>3.311920653595053</v>
      </c>
      <c r="F28" s="5">
        <v>28.14346425228775</v>
      </c>
      <c r="G28" s="5">
        <v>3.9999999999999942</v>
      </c>
      <c r="H28" s="20">
        <v>1</v>
      </c>
      <c r="I28" s="6">
        <v>3.311920653595053</v>
      </c>
      <c r="J28" s="5">
        <v>6.933747876440943</v>
      </c>
      <c r="K28" s="5">
        <v>4.375</v>
      </c>
      <c r="L28" s="20">
        <v>1</v>
      </c>
      <c r="M28" s="6">
        <v>3.311920653595053</v>
      </c>
      <c r="N28" s="5">
        <v>10.099494627730175</v>
      </c>
      <c r="O28" s="5">
        <v>7.250000000000017</v>
      </c>
      <c r="P28" s="20">
        <v>1</v>
      </c>
      <c r="Q28" s="6">
        <v>3.311920653595053</v>
      </c>
      <c r="R28" s="5">
        <v>12.680242194467983</v>
      </c>
      <c r="S28" s="2">
        <v>0.014756944444444423</v>
      </c>
      <c r="T28" s="20">
        <v>1</v>
      </c>
      <c r="U28" s="6">
        <v>0</v>
      </c>
      <c r="V28" s="5">
        <v>53.62352724862409</v>
      </c>
      <c r="W28" s="5">
        <v>7.739756944444465</v>
      </c>
      <c r="X28" s="20">
        <v>1</v>
      </c>
      <c r="Y28" s="6">
        <v>0</v>
      </c>
      <c r="Z28" s="20">
        <v>16.2160991263721</v>
      </c>
      <c r="AA28" s="5">
        <v>7.906423611111133</v>
      </c>
      <c r="AB28" s="20">
        <v>1</v>
      </c>
      <c r="AC28" s="6">
        <v>0</v>
      </c>
      <c r="AD28" s="5">
        <v>14.825584528561262</v>
      </c>
      <c r="AE28" s="5">
        <v>13.281423611111059</v>
      </c>
      <c r="AF28" s="20">
        <v>1</v>
      </c>
      <c r="AG28" s="6">
        <v>0</v>
      </c>
      <c r="AH28" s="5">
        <v>4</v>
      </c>
      <c r="AI28" s="5">
        <v>13.323090277777725</v>
      </c>
      <c r="AJ28" s="20">
        <v>1</v>
      </c>
      <c r="AK28" s="6">
        <v>0</v>
      </c>
      <c r="AL28" s="5">
        <v>9.921604001351666</v>
      </c>
      <c r="AM28" s="5">
        <v>22.656423611111208</v>
      </c>
      <c r="AN28" s="20">
        <v>1</v>
      </c>
      <c r="AO28" s="6">
        <v>0</v>
      </c>
      <c r="AP28" s="5">
        <v>4</v>
      </c>
      <c r="AQ28" s="127">
        <v>3.311920653595053</v>
      </c>
      <c r="AR28" s="42">
        <v>12</v>
      </c>
      <c r="AS28" s="43">
        <v>0</v>
      </c>
      <c r="AT28">
        <v>2</v>
      </c>
      <c r="AU28">
        <v>0</v>
      </c>
      <c r="BH28" s="243"/>
      <c r="BI28" s="243"/>
    </row>
    <row r="29" spans="60:61" ht="12.75">
      <c r="BH29" s="243"/>
      <c r="BI29" s="243"/>
    </row>
    <row r="30" spans="60:61" ht="12.75">
      <c r="BH30" s="243"/>
      <c r="BI30" s="243"/>
    </row>
    <row r="31" spans="60:61" ht="12.75">
      <c r="BH31" s="243"/>
      <c r="BI31" s="243"/>
    </row>
    <row r="32" spans="60:61" ht="12.75">
      <c r="BH32" s="243"/>
      <c r="BI32" s="243"/>
    </row>
    <row r="33" spans="60:61" ht="12.75">
      <c r="BH33" s="243"/>
      <c r="BI33" s="243"/>
    </row>
    <row r="34" spans="60:61" ht="12.75">
      <c r="BH34" s="243"/>
      <c r="BI34" s="243"/>
    </row>
    <row r="35" spans="60:61" ht="12.75">
      <c r="BH35" s="243"/>
      <c r="BI35" s="243"/>
    </row>
    <row r="36" spans="60:61" ht="12.75">
      <c r="BH36" s="243"/>
      <c r="BI36" s="243"/>
    </row>
    <row r="37" spans="60:61" ht="12.75">
      <c r="BH37" s="243"/>
      <c r="BI37" s="243"/>
    </row>
    <row r="38" spans="60:61" ht="12.75">
      <c r="BH38" s="243"/>
      <c r="BI38" s="243"/>
    </row>
    <row r="39" spans="60:61" ht="12.75">
      <c r="BH39" s="243"/>
      <c r="BI39" s="243"/>
    </row>
    <row r="40" spans="60:61" ht="12.75">
      <c r="BH40" s="243"/>
      <c r="BI40" s="243"/>
    </row>
    <row r="41" spans="60:61" ht="12.75">
      <c r="BH41" s="243"/>
      <c r="BI41" s="243"/>
    </row>
    <row r="42" spans="60:61" ht="12.75">
      <c r="BH42" s="243"/>
      <c r="BI42" s="243"/>
    </row>
    <row r="43" spans="60:61" ht="12.75">
      <c r="BH43" s="243"/>
      <c r="BI43" s="243"/>
    </row>
    <row r="350" spans="56:63" ht="12.75">
      <c r="BD350" s="5"/>
      <c r="BI350" s="5"/>
      <c r="BK350" s="5"/>
    </row>
    <row r="434" spans="56:63" ht="12.75">
      <c r="BD434" s="5"/>
      <c r="BI434" s="5"/>
      <c r="BK434" s="5"/>
    </row>
    <row r="546" spans="56:63" ht="12.75">
      <c r="BD546" s="5"/>
      <c r="BI546" s="5"/>
      <c r="BK546" s="5"/>
    </row>
    <row r="608" spans="56:63" ht="12.75">
      <c r="BD608" s="5"/>
      <c r="BI608" s="5"/>
      <c r="BK608" s="5"/>
    </row>
    <row r="689" spans="56:63" ht="12.75">
      <c r="BD689" s="5"/>
      <c r="BI689" s="5"/>
      <c r="BK689" s="5"/>
    </row>
    <row r="756" spans="56:63" ht="12.75">
      <c r="BD756" s="5"/>
      <c r="BI756" s="5"/>
      <c r="BK756" s="5"/>
    </row>
    <row r="843" spans="56:63" ht="12.75">
      <c r="BD843" s="5"/>
      <c r="BI843" s="5"/>
      <c r="BK843" s="5"/>
    </row>
    <row r="860" spans="56:63" ht="12.75">
      <c r="BD860" s="5"/>
      <c r="BI860" s="5"/>
      <c r="BK860" s="5"/>
    </row>
    <row r="868" spans="56:63" ht="12.75">
      <c r="BD868" s="5"/>
      <c r="BI868" s="5"/>
      <c r="BK868" s="5"/>
    </row>
    <row r="972" spans="56:63" ht="12.75">
      <c r="BD972" s="5"/>
      <c r="BI972" s="5"/>
      <c r="BK972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B8:BI90"/>
  <sheetViews>
    <sheetView workbookViewId="0" topLeftCell="AE10">
      <selection activeCell="AU25" sqref="AU25"/>
    </sheetView>
  </sheetViews>
  <sheetFormatPr defaultColWidth="9.140625" defaultRowHeight="12.75"/>
  <cols>
    <col min="53" max="55" width="12.421875" style="0" bestFit="1" customWidth="1"/>
  </cols>
  <sheetData>
    <row r="8" ht="12.75">
      <c r="AY8">
        <f>24*60*60</f>
        <v>86400</v>
      </c>
    </row>
    <row r="12" spans="53:61" ht="12.75">
      <c r="BA12" t="s">
        <v>486</v>
      </c>
      <c r="BB12" t="s">
        <v>487</v>
      </c>
      <c r="BC12" t="s">
        <v>488</v>
      </c>
      <c r="BD12" t="s">
        <v>489</v>
      </c>
      <c r="BG12" t="s">
        <v>490</v>
      </c>
      <c r="BH12" t="s">
        <v>486</v>
      </c>
      <c r="BI12" t="s">
        <v>487</v>
      </c>
    </row>
    <row r="13" spans="3:61" ht="12.75">
      <c r="C13" t="s">
        <v>48</v>
      </c>
      <c r="D13" t="s">
        <v>10</v>
      </c>
      <c r="E13" t="s">
        <v>50</v>
      </c>
      <c r="F13" t="s">
        <v>49</v>
      </c>
      <c r="G13" t="s">
        <v>48</v>
      </c>
      <c r="H13" t="s">
        <v>10</v>
      </c>
      <c r="I13" t="s">
        <v>50</v>
      </c>
      <c r="J13" t="s">
        <v>49</v>
      </c>
      <c r="K13" t="s">
        <v>48</v>
      </c>
      <c r="L13" t="s">
        <v>10</v>
      </c>
      <c r="M13" t="s">
        <v>50</v>
      </c>
      <c r="N13" t="s">
        <v>49</v>
      </c>
      <c r="O13" t="s">
        <v>48</v>
      </c>
      <c r="P13" t="s">
        <v>10</v>
      </c>
      <c r="Q13" t="s">
        <v>50</v>
      </c>
      <c r="R13" t="s">
        <v>49</v>
      </c>
      <c r="S13" t="s">
        <v>48</v>
      </c>
      <c r="T13" t="s">
        <v>10</v>
      </c>
      <c r="U13" t="s">
        <v>50</v>
      </c>
      <c r="V13" t="s">
        <v>49</v>
      </c>
      <c r="W13" t="s">
        <v>48</v>
      </c>
      <c r="X13" t="s">
        <v>10</v>
      </c>
      <c r="Y13" t="s">
        <v>50</v>
      </c>
      <c r="Z13" t="s">
        <v>49</v>
      </c>
      <c r="AA13" t="s">
        <v>48</v>
      </c>
      <c r="AB13" t="s">
        <v>10</v>
      </c>
      <c r="AC13" t="s">
        <v>50</v>
      </c>
      <c r="AD13" t="s">
        <v>49</v>
      </c>
      <c r="AE13" t="s">
        <v>48</v>
      </c>
      <c r="AF13" t="s">
        <v>10</v>
      </c>
      <c r="AG13" t="s">
        <v>50</v>
      </c>
      <c r="AH13" t="s">
        <v>49</v>
      </c>
      <c r="AI13" t="s">
        <v>48</v>
      </c>
      <c r="AJ13" t="s">
        <v>10</v>
      </c>
      <c r="AK13" t="s">
        <v>50</v>
      </c>
      <c r="AL13" t="s">
        <v>49</v>
      </c>
      <c r="AM13" t="s">
        <v>48</v>
      </c>
      <c r="AN13" t="s">
        <v>10</v>
      </c>
      <c r="AO13" t="s">
        <v>50</v>
      </c>
      <c r="AP13" t="s">
        <v>49</v>
      </c>
      <c r="AQ13" t="s">
        <v>135</v>
      </c>
      <c r="AR13" t="s">
        <v>134</v>
      </c>
      <c r="AS13" t="s">
        <v>50</v>
      </c>
      <c r="AT13" t="s">
        <v>140</v>
      </c>
      <c r="AU13" t="s">
        <v>141</v>
      </c>
      <c r="AV13">
        <v>1.182452202613146E-05</v>
      </c>
      <c r="AX13">
        <f>1/24</f>
        <v>0.041666666666666664</v>
      </c>
      <c r="AZ13">
        <f>AX13*$AY$8/60</f>
        <v>60</v>
      </c>
      <c r="BA13" s="213">
        <f>AV13</f>
        <v>1.182452202613146E-05</v>
      </c>
      <c r="BB13" s="213">
        <f>AV53</f>
        <v>7.949237215846194E-06</v>
      </c>
      <c r="BC13">
        <f aca="true" t="shared" si="0" ref="BC13:BD17">BA13</f>
        <v>1.182452202613146E-05</v>
      </c>
      <c r="BD13">
        <f t="shared" si="0"/>
        <v>7.949237215846194E-06</v>
      </c>
      <c r="BG13">
        <f>AZ13</f>
        <v>60</v>
      </c>
      <c r="BH13" t="str">
        <f>scinot(BA13,2)</f>
        <v>1.18 x 10^-5</v>
      </c>
      <c r="BI13" t="str">
        <f>scinot(BB13,2)</f>
        <v>7.95 x 10^-6</v>
      </c>
    </row>
    <row r="14" spans="2:61" ht="12.75">
      <c r="B14" t="s">
        <v>65</v>
      </c>
      <c r="C14">
        <v>0.32162916666666747</v>
      </c>
      <c r="D14">
        <v>0.07087575995342313</v>
      </c>
      <c r="E14">
        <v>97609.84976589655</v>
      </c>
      <c r="F14">
        <v>24.516582309425942</v>
      </c>
      <c r="G14">
        <v>2.4352749999999976</v>
      </c>
      <c r="H14">
        <v>0.07561189006792032</v>
      </c>
      <c r="I14">
        <v>187016336.4842243</v>
      </c>
      <c r="J14">
        <v>14.744712533062591</v>
      </c>
      <c r="K14">
        <v>2.6890125000000014</v>
      </c>
      <c r="L14">
        <v>0.07660533541663057</v>
      </c>
      <c r="M14">
        <v>195165670.29889458</v>
      </c>
      <c r="N14">
        <v>12.697789961865753</v>
      </c>
      <c r="O14">
        <v>5.0678874999999834</v>
      </c>
      <c r="P14">
        <v>0.08167847484435206</v>
      </c>
      <c r="Q14">
        <v>299511105.1247233</v>
      </c>
      <c r="R14">
        <v>9.795677171818133</v>
      </c>
      <c r="S14">
        <v>5.0678874999999834</v>
      </c>
      <c r="T14">
        <v>0.08167847484435206</v>
      </c>
      <c r="U14">
        <v>299511105.1247233</v>
      </c>
      <c r="V14">
        <v>9.795677171818133</v>
      </c>
      <c r="W14">
        <v>7.071716666666642</v>
      </c>
      <c r="X14">
        <v>0.08572020248178265</v>
      </c>
      <c r="Y14">
        <v>421470347.2623084</v>
      </c>
      <c r="Z14">
        <v>9.45014073108657</v>
      </c>
      <c r="AA14">
        <v>7.66181666666666</v>
      </c>
      <c r="AB14">
        <v>0.08667229930265372</v>
      </c>
      <c r="AC14">
        <v>444025144.77795684</v>
      </c>
      <c r="AD14">
        <v>10.484836253229908</v>
      </c>
      <c r="AE14">
        <v>17.15476250000007</v>
      </c>
      <c r="AF14">
        <v>0.1007520396434961</v>
      </c>
      <c r="AG14">
        <v>464788567.02743036</v>
      </c>
      <c r="AH14">
        <v>4.88862956411487</v>
      </c>
      <c r="AI14">
        <v>17.20214999999998</v>
      </c>
      <c r="AJ14">
        <v>0.1015160759773315</v>
      </c>
      <c r="AK14">
        <v>478406347.4390181</v>
      </c>
      <c r="AL14">
        <v>16.16744683723919</v>
      </c>
      <c r="AM14">
        <v>24.20299166666677</v>
      </c>
      <c r="AN14">
        <v>0.114860688374344</v>
      </c>
      <c r="AO14">
        <v>496623765.8363584</v>
      </c>
      <c r="AP14">
        <v>4.8272330880338</v>
      </c>
      <c r="AQ14">
        <v>25.34675443054936</v>
      </c>
      <c r="AR14">
        <v>8.56112077777756</v>
      </c>
      <c r="AS14">
        <v>4269532.855313383</v>
      </c>
      <c r="AT14">
        <v>3.2164</v>
      </c>
      <c r="AU14">
        <v>0.03971727257861704</v>
      </c>
      <c r="AV14" t="s">
        <v>65</v>
      </c>
      <c r="AX14">
        <f>1/48</f>
        <v>0.020833333333333332</v>
      </c>
      <c r="AZ14">
        <f>AX14*$AY$8/60</f>
        <v>30</v>
      </c>
      <c r="BA14" s="213">
        <f>AV21</f>
        <v>1.2308224907414054E-05</v>
      </c>
      <c r="BB14" s="213">
        <f>AV61</f>
        <v>8.146577217651768E-06</v>
      </c>
      <c r="BC14">
        <f t="shared" si="0"/>
        <v>1.2308224907414054E-05</v>
      </c>
      <c r="BD14">
        <f t="shared" si="0"/>
        <v>8.146577217651768E-06</v>
      </c>
      <c r="BG14">
        <f>AZ14</f>
        <v>30</v>
      </c>
      <c r="BH14" t="str">
        <f aca="true" t="shared" si="1" ref="BH14:BI17">scinot(BA14,2)</f>
        <v>1.23 x 10^-5</v>
      </c>
      <c r="BI14" t="str">
        <f t="shared" si="1"/>
        <v>8.15 x 10^-6</v>
      </c>
    </row>
    <row r="15" spans="2:61" ht="12.75">
      <c r="B15" t="s">
        <v>64</v>
      </c>
      <c r="C15">
        <v>0.29166666666666663</v>
      </c>
      <c r="D15">
        <v>0.024889576269329527</v>
      </c>
      <c r="E15">
        <v>10.060007423839675</v>
      </c>
      <c r="F15">
        <v>24.064258274549147</v>
      </c>
      <c r="G15">
        <v>2.1666666666666674</v>
      </c>
      <c r="H15">
        <v>0.027043051084386815</v>
      </c>
      <c r="I15">
        <v>14.220487228719403</v>
      </c>
      <c r="J15">
        <v>13.777159352651331</v>
      </c>
      <c r="K15">
        <v>2.458333333333333</v>
      </c>
      <c r="L15">
        <v>0.02729410032766233</v>
      </c>
      <c r="M15">
        <v>14.643681067671253</v>
      </c>
      <c r="N15">
        <v>11.261317199322622</v>
      </c>
      <c r="O15">
        <v>3.9999999999999942</v>
      </c>
      <c r="P15">
        <v>0.028966794660329587</v>
      </c>
      <c r="Q15">
        <v>17.092333092306156</v>
      </c>
      <c r="R15">
        <v>9.234262704287875</v>
      </c>
      <c r="S15">
        <v>3.9999999999999942</v>
      </c>
      <c r="T15">
        <v>0.028966794660329587</v>
      </c>
      <c r="U15">
        <v>17.092333092306156</v>
      </c>
      <c r="V15">
        <v>9.234262704287875</v>
      </c>
      <c r="W15">
        <v>5.750000000000006</v>
      </c>
      <c r="X15">
        <v>0.030627462070987932</v>
      </c>
      <c r="Y15">
        <v>18.922841216978092</v>
      </c>
      <c r="Z15">
        <v>9.102120887452424</v>
      </c>
      <c r="AA15">
        <v>6.333333333333344</v>
      </c>
      <c r="AB15">
        <v>0.03121187451240759</v>
      </c>
      <c r="AC15">
        <v>19.76742516290389</v>
      </c>
      <c r="AD15">
        <v>10.14324214518675</v>
      </c>
      <c r="AE15">
        <v>15.166666666666586</v>
      </c>
      <c r="AF15">
        <v>0.03816493284435496</v>
      </c>
      <c r="AG15">
        <v>20.479751082373955</v>
      </c>
      <c r="AH15">
        <v>4</v>
      </c>
      <c r="AI15">
        <v>15.208333333333252</v>
      </c>
      <c r="AJ15">
        <v>0.03851572677371412</v>
      </c>
      <c r="AK15">
        <v>20.919634262119672</v>
      </c>
      <c r="AL15">
        <v>16.257602302918823</v>
      </c>
      <c r="AM15">
        <v>22.27083333333342</v>
      </c>
      <c r="AN15">
        <v>0.044838241366164266</v>
      </c>
      <c r="AO15">
        <v>21.584242244004045</v>
      </c>
      <c r="AP15">
        <v>4</v>
      </c>
      <c r="AQ15">
        <v>8.735040018064893</v>
      </c>
      <c r="AR15">
        <v>12</v>
      </c>
      <c r="AS15">
        <v>0.0001</v>
      </c>
      <c r="AT15">
        <v>2</v>
      </c>
      <c r="AU15">
        <v>0.0001</v>
      </c>
      <c r="AV15" t="s">
        <v>64</v>
      </c>
      <c r="AX15">
        <f>1/96</f>
        <v>0.010416666666666666</v>
      </c>
      <c r="AZ15">
        <f>AX15*$AY$8/60</f>
        <v>15</v>
      </c>
      <c r="BA15" s="213">
        <f>AV29</f>
        <v>1.2796787729571555E-05</v>
      </c>
      <c r="BB15" s="213">
        <f>AV69</f>
        <v>8.293421160246311E-06</v>
      </c>
      <c r="BC15">
        <f t="shared" si="0"/>
        <v>1.2796787729571555E-05</v>
      </c>
      <c r="BD15">
        <f t="shared" si="0"/>
        <v>8.293421160246311E-06</v>
      </c>
      <c r="BG15">
        <f>AZ15</f>
        <v>15</v>
      </c>
      <c r="BH15" t="str">
        <f t="shared" si="1"/>
        <v>1.28 x 10^-5</v>
      </c>
      <c r="BI15" t="str">
        <f t="shared" si="1"/>
        <v>8.29 x 10^-6</v>
      </c>
    </row>
    <row r="16" spans="2:61" ht="12.75">
      <c r="B16" t="s">
        <v>66</v>
      </c>
      <c r="C16">
        <v>0.19871929260064097</v>
      </c>
      <c r="D16">
        <v>0.20593791263414993</v>
      </c>
      <c r="E16">
        <v>7150505.356830023</v>
      </c>
      <c r="F16">
        <v>6.316185456058406</v>
      </c>
      <c r="G16">
        <v>1.7044930889138583</v>
      </c>
      <c r="H16">
        <v>0.21080097851036944</v>
      </c>
      <c r="I16">
        <v>2605914519.356571</v>
      </c>
      <c r="J16">
        <v>5.983963001906667</v>
      </c>
      <c r="K16">
        <v>1.7660204826609638</v>
      </c>
      <c r="L16">
        <v>0.21236180716093836</v>
      </c>
      <c r="M16">
        <v>2653309584.875498</v>
      </c>
      <c r="N16">
        <v>6.240650147615072</v>
      </c>
      <c r="O16">
        <v>4.551943869836444</v>
      </c>
      <c r="P16">
        <v>0.21728616464818146</v>
      </c>
      <c r="Q16">
        <v>3268355728.896904</v>
      </c>
      <c r="R16">
        <v>4.284754582833727</v>
      </c>
      <c r="S16">
        <v>4.551943869836444</v>
      </c>
      <c r="T16">
        <v>0.21728616464818146</v>
      </c>
      <c r="U16">
        <v>3268355728.896904</v>
      </c>
      <c r="V16">
        <v>4.284754582833727</v>
      </c>
      <c r="W16">
        <v>5.274510497481734</v>
      </c>
      <c r="X16">
        <v>0.22128085444367104</v>
      </c>
      <c r="Y16">
        <v>3892860056.557197</v>
      </c>
      <c r="Z16">
        <v>3.624641485126294</v>
      </c>
      <c r="AA16">
        <v>5.284972286654806</v>
      </c>
      <c r="AB16">
        <v>0.22190248374954677</v>
      </c>
      <c r="AC16">
        <v>3995203966.5531316</v>
      </c>
      <c r="AD16">
        <v>3.558908733898522</v>
      </c>
      <c r="AE16">
        <v>8.87114817022521</v>
      </c>
      <c r="AF16">
        <v>0.2330329774323352</v>
      </c>
      <c r="AG16">
        <v>4082674643.7985854</v>
      </c>
      <c r="AH16">
        <v>1.3560842359263743</v>
      </c>
      <c r="AI16">
        <v>8.871177303684672</v>
      </c>
      <c r="AJ16">
        <v>0.23382390667030872</v>
      </c>
      <c r="AK16">
        <v>4149017789.646593</v>
      </c>
      <c r="AL16">
        <v>7.148832983257819</v>
      </c>
      <c r="AM16">
        <v>9.948625998613073</v>
      </c>
      <c r="AN16">
        <v>0.24454221892212308</v>
      </c>
      <c r="AO16">
        <v>4229165598.5578713</v>
      </c>
      <c r="AP16">
        <v>1.3526079907333037</v>
      </c>
      <c r="AQ16">
        <v>53.875628117566805</v>
      </c>
      <c r="AR16">
        <v>3.9086007431805716</v>
      </c>
      <c r="AS16">
        <v>112777107.30179368</v>
      </c>
      <c r="AT16">
        <v>4.497843271992694</v>
      </c>
      <c r="AU16">
        <v>0.44593615049838503</v>
      </c>
      <c r="AV16" t="s">
        <v>66</v>
      </c>
      <c r="AX16">
        <f>1/192</f>
        <v>0.005208333333333333</v>
      </c>
      <c r="AZ16">
        <f>AX16*$AY$8/60</f>
        <v>7.5</v>
      </c>
      <c r="BA16" s="213">
        <f>AV37</f>
        <v>1.3264916831399507E-05</v>
      </c>
      <c r="BB16" s="213">
        <f>AV77</f>
        <v>8.387390889594845E-06</v>
      </c>
      <c r="BC16">
        <f t="shared" si="0"/>
        <v>1.3264916831399507E-05</v>
      </c>
      <c r="BD16">
        <f t="shared" si="0"/>
        <v>8.387390889594845E-06</v>
      </c>
      <c r="BG16">
        <f>AZ16</f>
        <v>7.5</v>
      </c>
      <c r="BH16" t="str">
        <f t="shared" si="1"/>
        <v>1.33 x 10^-5</v>
      </c>
      <c r="BI16" t="str">
        <f t="shared" si="1"/>
        <v>8.39 x 10^-6</v>
      </c>
    </row>
    <row r="17" spans="2:61" ht="12.75">
      <c r="B17" t="s">
        <v>51</v>
      </c>
      <c r="C17">
        <v>0.125</v>
      </c>
      <c r="D17">
        <v>0.024378382654471537</v>
      </c>
      <c r="E17">
        <v>1.0317899868301832</v>
      </c>
      <c r="F17">
        <v>14.87165173795306</v>
      </c>
      <c r="G17">
        <v>0.20833333333333331</v>
      </c>
      <c r="H17">
        <v>0.024574660017484123</v>
      </c>
      <c r="I17">
        <v>1.298571055739532</v>
      </c>
      <c r="J17">
        <v>6.994654023128468</v>
      </c>
      <c r="K17">
        <v>0.20833333333333331</v>
      </c>
      <c r="L17">
        <v>0.024575323937415343</v>
      </c>
      <c r="M17">
        <v>1.3438129031315356</v>
      </c>
      <c r="N17">
        <v>5.399568204978823</v>
      </c>
      <c r="O17">
        <v>1.5</v>
      </c>
      <c r="P17">
        <v>0.025866396809874286</v>
      </c>
      <c r="Q17">
        <v>1.6435341423936833</v>
      </c>
      <c r="R17">
        <v>4</v>
      </c>
      <c r="S17">
        <v>1.5</v>
      </c>
      <c r="T17">
        <v>0.025866396809874286</v>
      </c>
      <c r="U17">
        <v>1.6435341423936833</v>
      </c>
      <c r="V17">
        <v>4</v>
      </c>
      <c r="W17">
        <v>2.25</v>
      </c>
      <c r="X17">
        <v>0.026497682217898645</v>
      </c>
      <c r="Y17">
        <v>1.8074625226579932</v>
      </c>
      <c r="Z17">
        <v>4</v>
      </c>
      <c r="AA17">
        <v>2.791666666666665</v>
      </c>
      <c r="AB17">
        <v>0.02691271762666366</v>
      </c>
      <c r="AC17">
        <v>1.9124800141210014</v>
      </c>
      <c r="AD17">
        <v>5.246403537017159</v>
      </c>
      <c r="AE17">
        <v>7.416666666666685</v>
      </c>
      <c r="AF17">
        <v>0.03025596504036986</v>
      </c>
      <c r="AG17">
        <v>1.9609606202370213</v>
      </c>
      <c r="AH17">
        <v>4</v>
      </c>
      <c r="AI17">
        <v>7.458333333333352</v>
      </c>
      <c r="AJ17">
        <v>0.03039245729575136</v>
      </c>
      <c r="AK17">
        <v>2.0034043464991163</v>
      </c>
      <c r="AL17">
        <v>4.167921933870836</v>
      </c>
      <c r="AM17">
        <v>12.333333333333293</v>
      </c>
      <c r="AN17">
        <v>0.03392711965458979</v>
      </c>
      <c r="AO17">
        <v>2.021220318140224</v>
      </c>
      <c r="AP17">
        <v>4</v>
      </c>
      <c r="AQ17">
        <v>1</v>
      </c>
      <c r="AR17">
        <v>0.94</v>
      </c>
      <c r="AS17">
        <v>0.0001</v>
      </c>
      <c r="AT17">
        <v>1</v>
      </c>
      <c r="AU17">
        <v>0.0001</v>
      </c>
      <c r="AV17" t="s">
        <v>51</v>
      </c>
      <c r="AX17">
        <f>1/384</f>
        <v>0.0026041666666666665</v>
      </c>
      <c r="AZ17">
        <f>AX17*$AY$8/60</f>
        <v>3.75</v>
      </c>
      <c r="BA17" s="213">
        <f>AV45</f>
        <v>1.3703801032163674E-05</v>
      </c>
      <c r="BB17" s="213">
        <f>AV85</f>
        <v>8.447143094238495E-06</v>
      </c>
      <c r="BC17">
        <f t="shared" si="0"/>
        <v>1.3703801032163674E-05</v>
      </c>
      <c r="BD17">
        <f t="shared" si="0"/>
        <v>8.447143094238495E-06</v>
      </c>
      <c r="BG17">
        <f>AZ17</f>
        <v>3.75</v>
      </c>
      <c r="BH17" t="str">
        <f t="shared" si="1"/>
        <v>1.37 x 10^-5</v>
      </c>
      <c r="BI17" t="str">
        <f t="shared" si="1"/>
        <v>8.45 x 10^-6</v>
      </c>
    </row>
    <row r="18" spans="2:48" ht="12.75">
      <c r="B18" t="s">
        <v>52</v>
      </c>
      <c r="C18">
        <v>0.7083333333333331</v>
      </c>
      <c r="D18">
        <v>0.04810497443481937</v>
      </c>
      <c r="E18">
        <v>135.31816626836252</v>
      </c>
      <c r="F18">
        <v>35.643524615239585</v>
      </c>
      <c r="G18">
        <v>5.583333333333338</v>
      </c>
      <c r="H18">
        <v>0.0786423479094479</v>
      </c>
      <c r="I18">
        <v>10869.668177609565</v>
      </c>
      <c r="J18">
        <v>26.462692505793402</v>
      </c>
      <c r="K18">
        <v>5.916666666666674</v>
      </c>
      <c r="L18">
        <v>1</v>
      </c>
      <c r="M18">
        <v>16953.488321947447</v>
      </c>
      <c r="N18">
        <v>26.047932238643558</v>
      </c>
      <c r="O18">
        <v>11.793749999999937</v>
      </c>
      <c r="P18">
        <v>1</v>
      </c>
      <c r="Q18">
        <v>593262.1969572078</v>
      </c>
      <c r="R18">
        <v>17.623530408364466</v>
      </c>
      <c r="S18">
        <v>11.793749999999937</v>
      </c>
      <c r="T18">
        <v>1</v>
      </c>
      <c r="U18">
        <v>593262.1969572078</v>
      </c>
      <c r="V18">
        <v>17.623530408364466</v>
      </c>
      <c r="W18">
        <v>15.833333333333243</v>
      </c>
      <c r="X18">
        <v>1</v>
      </c>
      <c r="Y18">
        <v>5670314.0032862285</v>
      </c>
      <c r="Z18">
        <v>15.962490661389673</v>
      </c>
      <c r="AA18">
        <v>16.37499999999992</v>
      </c>
      <c r="AB18">
        <v>1</v>
      </c>
      <c r="AC18">
        <v>10168319.788139207</v>
      </c>
      <c r="AD18">
        <v>16.787974856838563</v>
      </c>
      <c r="AE18">
        <v>33.629166666666876</v>
      </c>
      <c r="AF18">
        <v>1</v>
      </c>
      <c r="AG18">
        <v>13600830.487621184</v>
      </c>
      <c r="AH18">
        <v>7.806891087331465</v>
      </c>
      <c r="AI18">
        <v>33.7083333333336</v>
      </c>
      <c r="AJ18">
        <v>1</v>
      </c>
      <c r="AK18">
        <v>14378813.328040384</v>
      </c>
      <c r="AL18">
        <v>28.071166273781895</v>
      </c>
      <c r="AM18">
        <v>42.79374999999972</v>
      </c>
      <c r="AN18">
        <v>1</v>
      </c>
      <c r="AO18">
        <v>15366105.328859925</v>
      </c>
      <c r="AP18">
        <v>7.737657560959656</v>
      </c>
      <c r="AQ18">
        <v>102.50686474582693</v>
      </c>
      <c r="AR18">
        <v>12</v>
      </c>
      <c r="AS18">
        <v>7.488350747335136</v>
      </c>
      <c r="AT18">
        <v>11</v>
      </c>
      <c r="AU18">
        <v>0.0181441128588087</v>
      </c>
      <c r="AV18" t="s">
        <v>52</v>
      </c>
    </row>
    <row r="21" spans="3:51" ht="12.75">
      <c r="C21" t="s">
        <v>48</v>
      </c>
      <c r="D21" t="s">
        <v>10</v>
      </c>
      <c r="E21" t="s">
        <v>50</v>
      </c>
      <c r="F21" t="s">
        <v>49</v>
      </c>
      <c r="G21" t="s">
        <v>48</v>
      </c>
      <c r="H21" t="s">
        <v>10</v>
      </c>
      <c r="I21" t="s">
        <v>50</v>
      </c>
      <c r="J21" t="s">
        <v>49</v>
      </c>
      <c r="K21" t="s">
        <v>48</v>
      </c>
      <c r="L21" t="s">
        <v>10</v>
      </c>
      <c r="M21" t="s">
        <v>50</v>
      </c>
      <c r="N21" t="s">
        <v>49</v>
      </c>
      <c r="O21" t="s">
        <v>48</v>
      </c>
      <c r="P21" t="s">
        <v>10</v>
      </c>
      <c r="Q21" t="s">
        <v>50</v>
      </c>
      <c r="R21" t="s">
        <v>49</v>
      </c>
      <c r="S21" t="s">
        <v>48</v>
      </c>
      <c r="T21" t="s">
        <v>10</v>
      </c>
      <c r="U21" t="s">
        <v>50</v>
      </c>
      <c r="V21" t="s">
        <v>49</v>
      </c>
      <c r="W21" t="s">
        <v>48</v>
      </c>
      <c r="X21" t="s">
        <v>10</v>
      </c>
      <c r="Y21" t="s">
        <v>50</v>
      </c>
      <c r="Z21" t="s">
        <v>49</v>
      </c>
      <c r="AA21" t="s">
        <v>48</v>
      </c>
      <c r="AB21" t="s">
        <v>10</v>
      </c>
      <c r="AC21" t="s">
        <v>50</v>
      </c>
      <c r="AD21" t="s">
        <v>49</v>
      </c>
      <c r="AE21" t="s">
        <v>48</v>
      </c>
      <c r="AF21" t="s">
        <v>10</v>
      </c>
      <c r="AG21" t="s">
        <v>50</v>
      </c>
      <c r="AH21" t="s">
        <v>49</v>
      </c>
      <c r="AI21" t="s">
        <v>48</v>
      </c>
      <c r="AJ21" t="s">
        <v>10</v>
      </c>
      <c r="AK21" t="s">
        <v>50</v>
      </c>
      <c r="AL21" t="s">
        <v>49</v>
      </c>
      <c r="AM21" t="s">
        <v>48</v>
      </c>
      <c r="AN21" t="s">
        <v>10</v>
      </c>
      <c r="AO21" t="s">
        <v>50</v>
      </c>
      <c r="AP21" t="s">
        <v>49</v>
      </c>
      <c r="AQ21" t="s">
        <v>135</v>
      </c>
      <c r="AR21" t="s">
        <v>134</v>
      </c>
      <c r="AS21" t="s">
        <v>50</v>
      </c>
      <c r="AT21" t="s">
        <v>140</v>
      </c>
      <c r="AU21" t="s">
        <v>141</v>
      </c>
      <c r="AV21">
        <v>1.2308224907414054E-05</v>
      </c>
      <c r="AW21">
        <f>AV21/$AV$13</f>
        <v>1.040906759716261</v>
      </c>
      <c r="AX21" s="242">
        <f>(AV21-AV13)/AV13</f>
        <v>0.04090675971626095</v>
      </c>
      <c r="AY21" s="242">
        <f>(AV21-$AV$13)/$AV$13</f>
        <v>0.04090675971626095</v>
      </c>
    </row>
    <row r="22" spans="2:48" ht="12.75">
      <c r="B22" t="s">
        <v>65</v>
      </c>
      <c r="C22">
        <v>0.311235416666667</v>
      </c>
      <c r="D22">
        <v>0.07121328373368228</v>
      </c>
      <c r="E22">
        <v>142647.23321555066</v>
      </c>
      <c r="F22">
        <v>24.566111141678473</v>
      </c>
      <c r="G22">
        <v>2.4249208333333336</v>
      </c>
      <c r="H22">
        <v>0.07606456683666882</v>
      </c>
      <c r="I22">
        <v>195938311.72968048</v>
      </c>
      <c r="J22">
        <v>14.75139975324192</v>
      </c>
      <c r="K22">
        <v>2.6786229166666695</v>
      </c>
      <c r="L22">
        <v>0.07686482202918435</v>
      </c>
      <c r="M22">
        <v>205591095.2014894</v>
      </c>
      <c r="N22">
        <v>12.701070966275452</v>
      </c>
      <c r="O22">
        <v>5.057477083333332</v>
      </c>
      <c r="P22">
        <v>0.08185000177388647</v>
      </c>
      <c r="Q22">
        <v>322638131.10593253</v>
      </c>
      <c r="R22">
        <v>9.796870725235241</v>
      </c>
      <c r="S22">
        <v>5.057477083333332</v>
      </c>
      <c r="T22">
        <v>0.08185000177388647</v>
      </c>
      <c r="U22">
        <v>322638131.10593253</v>
      </c>
      <c r="V22">
        <v>9.796870725235241</v>
      </c>
      <c r="W22">
        <v>7.061141666666657</v>
      </c>
      <c r="X22">
        <v>0.08608645512802854</v>
      </c>
      <c r="Y22">
        <v>447785665.33766824</v>
      </c>
      <c r="Z22">
        <v>9.449400820050148</v>
      </c>
      <c r="AA22">
        <v>7.651393750000003</v>
      </c>
      <c r="AB22">
        <v>0.08713246115158611</v>
      </c>
      <c r="AC22">
        <v>473124514.83337677</v>
      </c>
      <c r="AD22">
        <v>10.485526510231688</v>
      </c>
      <c r="AE22">
        <v>17.14421875</v>
      </c>
      <c r="AF22">
        <v>0.10102302798532992</v>
      </c>
      <c r="AG22">
        <v>495807325.3574627</v>
      </c>
      <c r="AH22">
        <v>4.888620658225056</v>
      </c>
      <c r="AI22">
        <v>17.191662500000017</v>
      </c>
      <c r="AJ22">
        <v>0.10161000760749207</v>
      </c>
      <c r="AK22">
        <v>505438828.63786745</v>
      </c>
      <c r="AL22">
        <v>16.527112815433192</v>
      </c>
      <c r="AM22">
        <v>24.192329166666685</v>
      </c>
      <c r="AN22">
        <v>0.11525891379364157</v>
      </c>
      <c r="AO22">
        <v>525501464.9288518</v>
      </c>
      <c r="AP22">
        <v>4.827231762688862</v>
      </c>
      <c r="AQ22">
        <v>25.34675443054936</v>
      </c>
      <c r="AR22">
        <v>8.56112077777756</v>
      </c>
      <c r="AS22">
        <v>4548033.1386961285</v>
      </c>
      <c r="AT22">
        <v>3.2164</v>
      </c>
      <c r="AU22">
        <v>0.041341977504575765</v>
      </c>
      <c r="AV22" t="s">
        <v>65</v>
      </c>
    </row>
    <row r="23" spans="2:48" ht="12.75">
      <c r="B23" t="s">
        <v>64</v>
      </c>
      <c r="C23">
        <v>0.2708333333333333</v>
      </c>
      <c r="D23">
        <v>0.025004866650251478</v>
      </c>
      <c r="E23">
        <v>10.345358269990385</v>
      </c>
      <c r="F23">
        <v>24.122029956944978</v>
      </c>
      <c r="G23">
        <v>2.1458333333333313</v>
      </c>
      <c r="H23">
        <v>0.02717315848585461</v>
      </c>
      <c r="I23">
        <v>15.394057429817446</v>
      </c>
      <c r="J23">
        <v>13.775744733636138</v>
      </c>
      <c r="K23">
        <v>2.447916666666667</v>
      </c>
      <c r="L23">
        <v>0.02743846992139115</v>
      </c>
      <c r="M23">
        <v>15.851347360983624</v>
      </c>
      <c r="N23">
        <v>11.25602442202754</v>
      </c>
      <c r="O23">
        <v>3.9791666666666776</v>
      </c>
      <c r="P23">
        <v>0.029120067258861793</v>
      </c>
      <c r="Q23">
        <v>18.649516940837167</v>
      </c>
      <c r="R23">
        <v>9.24031796430851</v>
      </c>
      <c r="S23">
        <v>3.9791666666666776</v>
      </c>
      <c r="T23">
        <v>0.029120067258861793</v>
      </c>
      <c r="U23">
        <v>18.649516940837167</v>
      </c>
      <c r="V23">
        <v>9.24031796430851</v>
      </c>
      <c r="W23">
        <v>5.729166666666653</v>
      </c>
      <c r="X23">
        <v>0.03080080106895855</v>
      </c>
      <c r="Y23">
        <v>20.688360262257085</v>
      </c>
      <c r="Z23">
        <v>9.099436270653527</v>
      </c>
      <c r="AA23">
        <v>6.333333333333311</v>
      </c>
      <c r="AB23">
        <v>0.03138031893925036</v>
      </c>
      <c r="AC23">
        <v>21.69850170856062</v>
      </c>
      <c r="AD23">
        <v>10.14049268783112</v>
      </c>
      <c r="AE23">
        <v>15.166666666666824</v>
      </c>
      <c r="AF23">
        <v>0.03834269253628486</v>
      </c>
      <c r="AG23">
        <v>22.41093896822956</v>
      </c>
      <c r="AH23">
        <v>4</v>
      </c>
      <c r="AI23">
        <v>15.208333333333492</v>
      </c>
      <c r="AJ23">
        <v>0.03859716144053993</v>
      </c>
      <c r="AK23">
        <v>22.770897536173436</v>
      </c>
      <c r="AL23">
        <v>15.994867942520568</v>
      </c>
      <c r="AM23">
        <v>22.260416666666494</v>
      </c>
      <c r="AN23">
        <v>0.04490204800120867</v>
      </c>
      <c r="AO23">
        <v>23.301373975350735</v>
      </c>
      <c r="AP23">
        <v>4</v>
      </c>
      <c r="AQ23">
        <v>8.735040018064893</v>
      </c>
      <c r="AR23">
        <v>12</v>
      </c>
      <c r="AS23">
        <v>0.0001</v>
      </c>
      <c r="AT23">
        <v>2</v>
      </c>
      <c r="AU23">
        <v>0.0001</v>
      </c>
      <c r="AV23" t="s">
        <v>64</v>
      </c>
    </row>
    <row r="24" spans="2:48" ht="12.75">
      <c r="B24" t="s">
        <v>66</v>
      </c>
      <c r="C24">
        <v>0.1986540079606066</v>
      </c>
      <c r="D24">
        <v>0.20632600136140383</v>
      </c>
      <c r="E24">
        <v>9876050.283260286</v>
      </c>
      <c r="F24">
        <v>6.3049080407069455</v>
      </c>
      <c r="G24">
        <v>1.7044846635995468</v>
      </c>
      <c r="H24">
        <v>0.21137163992813787</v>
      </c>
      <c r="I24">
        <v>2661488095.556826</v>
      </c>
      <c r="J24">
        <v>5.993310923030214</v>
      </c>
      <c r="K24">
        <v>1.7658444152710369</v>
      </c>
      <c r="L24">
        <v>0.21252667260542465</v>
      </c>
      <c r="M24">
        <v>2712816424.1929207</v>
      </c>
      <c r="N24">
        <v>6.251228324501779</v>
      </c>
      <c r="O24">
        <v>4.551793210970458</v>
      </c>
      <c r="P24">
        <v>0.21724981962680437</v>
      </c>
      <c r="Q24">
        <v>3383909833.0352483</v>
      </c>
      <c r="R24">
        <v>4.285360658760201</v>
      </c>
      <c r="S24">
        <v>4.551793210970458</v>
      </c>
      <c r="T24">
        <v>0.21724981962680437</v>
      </c>
      <c r="U24">
        <v>3383909833.0352483</v>
      </c>
      <c r="V24">
        <v>4.285360658760201</v>
      </c>
      <c r="W24">
        <v>5.274473540958245</v>
      </c>
      <c r="X24">
        <v>0.2216193455440806</v>
      </c>
      <c r="Y24">
        <v>4009779931.3369846</v>
      </c>
      <c r="Z24">
        <v>3.624874474836368</v>
      </c>
      <c r="AA24">
        <v>5.2849597309616145</v>
      </c>
      <c r="AB24">
        <v>0.22242639211225373</v>
      </c>
      <c r="AC24">
        <v>4120159385.9397597</v>
      </c>
      <c r="AD24">
        <v>3.5594970257773815</v>
      </c>
      <c r="AE24">
        <v>8.871118116756625</v>
      </c>
      <c r="AF24">
        <v>0.2331645242952982</v>
      </c>
      <c r="AG24">
        <v>4209916017.4804397</v>
      </c>
      <c r="AH24">
        <v>1.3560296364083835</v>
      </c>
      <c r="AI24">
        <v>8.87107235618765</v>
      </c>
      <c r="AJ24">
        <v>0.23380299340947713</v>
      </c>
      <c r="AK24">
        <v>4252253646.405572</v>
      </c>
      <c r="AL24">
        <v>6.48181571787998</v>
      </c>
      <c r="AM24">
        <v>9.94862869087433</v>
      </c>
      <c r="AN24">
        <v>0.24499215025281668</v>
      </c>
      <c r="AO24">
        <v>4340079763.890751</v>
      </c>
      <c r="AP24">
        <v>1.3526091531884292</v>
      </c>
      <c r="AQ24">
        <v>53.875628117566805</v>
      </c>
      <c r="AR24">
        <v>3.9086007431805716</v>
      </c>
      <c r="AS24">
        <v>117363148.56365235</v>
      </c>
      <c r="AT24">
        <v>4.497843271992694</v>
      </c>
      <c r="AU24">
        <v>0.45376683400243356</v>
      </c>
      <c r="AV24" t="s">
        <v>66</v>
      </c>
    </row>
    <row r="25" spans="2:48" ht="12.75">
      <c r="B25" t="s">
        <v>51</v>
      </c>
      <c r="C25">
        <v>0.10416666666666666</v>
      </c>
      <c r="D25">
        <v>0.024438730620109102</v>
      </c>
      <c r="E25">
        <v>1.0568163471705614</v>
      </c>
      <c r="F25">
        <v>14.947580933327004</v>
      </c>
      <c r="G25">
        <v>0.20833333333333334</v>
      </c>
      <c r="H25">
        <v>0.02466275036255608</v>
      </c>
      <c r="I25">
        <v>1.411625225751336</v>
      </c>
      <c r="J25">
        <v>6.994654023128469</v>
      </c>
      <c r="K25">
        <v>0.20833333333333334</v>
      </c>
      <c r="L25">
        <v>0.02466433763083557</v>
      </c>
      <c r="M25">
        <v>1.4645552010400273</v>
      </c>
      <c r="N25">
        <v>5.402673694015051</v>
      </c>
      <c r="O25">
        <v>1.4791666666666656</v>
      </c>
      <c r="P25">
        <v>0.025952298707041483</v>
      </c>
      <c r="Q25">
        <v>1.800156152073278</v>
      </c>
      <c r="R25">
        <v>4</v>
      </c>
      <c r="S25">
        <v>1.4791666666666656</v>
      </c>
      <c r="T25">
        <v>0.025952298707041483</v>
      </c>
      <c r="U25">
        <v>1.800156152073278</v>
      </c>
      <c r="V25">
        <v>4</v>
      </c>
      <c r="W25">
        <v>2.25</v>
      </c>
      <c r="X25">
        <v>0.026615729659578934</v>
      </c>
      <c r="Y25">
        <v>1.9604655170374812</v>
      </c>
      <c r="Z25">
        <v>4</v>
      </c>
      <c r="AA25">
        <v>2.791666666666669</v>
      </c>
      <c r="AB25">
        <v>0.027024273311391112</v>
      </c>
      <c r="AC25">
        <v>2.020928569688634</v>
      </c>
      <c r="AD25">
        <v>5.244583819862584</v>
      </c>
      <c r="AE25">
        <v>7.395833333333296</v>
      </c>
      <c r="AF25">
        <v>0.030380061984046202</v>
      </c>
      <c r="AG25">
        <v>2.0477684241449867</v>
      </c>
      <c r="AH25">
        <v>4</v>
      </c>
      <c r="AI25">
        <v>7.458333333333295</v>
      </c>
      <c r="AJ25">
        <v>0.03048141909367607</v>
      </c>
      <c r="AK25">
        <v>2.0663482246315468</v>
      </c>
      <c r="AL25">
        <v>7.267533988307578</v>
      </c>
      <c r="AM25">
        <v>12.33333333333341</v>
      </c>
      <c r="AN25">
        <v>0.03405110077298292</v>
      </c>
      <c r="AO25">
        <v>2.0860239313889615</v>
      </c>
      <c r="AP25">
        <v>4</v>
      </c>
      <c r="AQ25">
        <v>1</v>
      </c>
      <c r="AR25">
        <v>0.94</v>
      </c>
      <c r="AS25">
        <v>0.0001</v>
      </c>
      <c r="AT25">
        <v>1</v>
      </c>
      <c r="AU25">
        <v>0.0001</v>
      </c>
      <c r="AV25" t="s">
        <v>51</v>
      </c>
    </row>
    <row r="26" spans="2:48" ht="12.75">
      <c r="B26" t="s">
        <v>52</v>
      </c>
      <c r="C26">
        <v>0.6875</v>
      </c>
      <c r="D26">
        <v>0.04933856213271214</v>
      </c>
      <c r="E26">
        <v>145.59610708105788</v>
      </c>
      <c r="F26">
        <v>35.64352779636573</v>
      </c>
      <c r="G26">
        <v>5.5833333333333215</v>
      </c>
      <c r="H26">
        <v>0.09547715902074906</v>
      </c>
      <c r="I26">
        <v>24750.879121003607</v>
      </c>
      <c r="J26">
        <v>26.561852445300914</v>
      </c>
      <c r="K26">
        <v>5.895833333333317</v>
      </c>
      <c r="L26">
        <v>1</v>
      </c>
      <c r="M26">
        <v>36087.53185087115</v>
      </c>
      <c r="N26">
        <v>26.10173351023234</v>
      </c>
      <c r="O26">
        <v>11.772916666666697</v>
      </c>
      <c r="P26">
        <v>1</v>
      </c>
      <c r="Q26">
        <v>1228644.6324889874</v>
      </c>
      <c r="R26">
        <v>17.6246838269891</v>
      </c>
      <c r="S26">
        <v>11.772916666666697</v>
      </c>
      <c r="T26">
        <v>1</v>
      </c>
      <c r="U26">
        <v>1228644.6324889874</v>
      </c>
      <c r="V26">
        <v>17.6246838269891</v>
      </c>
      <c r="W26">
        <v>15.83333333333351</v>
      </c>
      <c r="X26">
        <v>1</v>
      </c>
      <c r="Y26">
        <v>10072504.75610049</v>
      </c>
      <c r="Z26">
        <v>15.977524242481035</v>
      </c>
      <c r="AA26">
        <v>16.354166666666828</v>
      </c>
      <c r="AB26">
        <v>1</v>
      </c>
      <c r="AC26">
        <v>13359990.588590372</v>
      </c>
      <c r="AD26">
        <v>16.783019458334305</v>
      </c>
      <c r="AE26">
        <v>33.62812499999941</v>
      </c>
      <c r="AF26">
        <v>1</v>
      </c>
      <c r="AG26">
        <v>14963937.21077217</v>
      </c>
      <c r="AH26">
        <v>7.806891080302531</v>
      </c>
      <c r="AI26">
        <v>33.708333333332796</v>
      </c>
      <c r="AJ26">
        <v>1</v>
      </c>
      <c r="AK26">
        <v>15249294.941761887</v>
      </c>
      <c r="AL26">
        <v>27.932949967848277</v>
      </c>
      <c r="AM26">
        <v>42.793750000000465</v>
      </c>
      <c r="AN26">
        <v>1</v>
      </c>
      <c r="AO26">
        <v>15633883.328930158</v>
      </c>
      <c r="AP26">
        <v>7.737657560959657</v>
      </c>
      <c r="AQ26">
        <v>102.50686474582693</v>
      </c>
      <c r="AR26">
        <v>12</v>
      </c>
      <c r="AS26">
        <v>8.732451608751811</v>
      </c>
      <c r="AT26">
        <v>11</v>
      </c>
      <c r="AU26">
        <v>0.020979661690996868</v>
      </c>
      <c r="AV26" t="s">
        <v>52</v>
      </c>
    </row>
    <row r="29" spans="3:51" ht="12.75">
      <c r="C29" t="s">
        <v>48</v>
      </c>
      <c r="D29" t="s">
        <v>10</v>
      </c>
      <c r="E29" t="s">
        <v>50</v>
      </c>
      <c r="F29" t="s">
        <v>49</v>
      </c>
      <c r="G29" t="s">
        <v>48</v>
      </c>
      <c r="H29" t="s">
        <v>10</v>
      </c>
      <c r="I29" t="s">
        <v>50</v>
      </c>
      <c r="J29" t="s">
        <v>49</v>
      </c>
      <c r="K29" t="s">
        <v>48</v>
      </c>
      <c r="L29" t="s">
        <v>10</v>
      </c>
      <c r="M29" t="s">
        <v>50</v>
      </c>
      <c r="N29" t="s">
        <v>49</v>
      </c>
      <c r="O29" t="s">
        <v>48</v>
      </c>
      <c r="P29" t="s">
        <v>10</v>
      </c>
      <c r="Q29" t="s">
        <v>50</v>
      </c>
      <c r="R29" t="s">
        <v>49</v>
      </c>
      <c r="S29" t="s">
        <v>48</v>
      </c>
      <c r="T29" t="s">
        <v>10</v>
      </c>
      <c r="U29" t="s">
        <v>50</v>
      </c>
      <c r="V29" t="s">
        <v>49</v>
      </c>
      <c r="W29" t="s">
        <v>48</v>
      </c>
      <c r="X29" t="s">
        <v>10</v>
      </c>
      <c r="Y29" t="s">
        <v>50</v>
      </c>
      <c r="Z29" t="s">
        <v>49</v>
      </c>
      <c r="AA29" t="s">
        <v>48</v>
      </c>
      <c r="AB29" t="s">
        <v>10</v>
      </c>
      <c r="AC29" t="s">
        <v>50</v>
      </c>
      <c r="AD29" t="s">
        <v>49</v>
      </c>
      <c r="AE29" t="s">
        <v>48</v>
      </c>
      <c r="AF29" t="s">
        <v>10</v>
      </c>
      <c r="AG29" t="s">
        <v>50</v>
      </c>
      <c r="AH29" t="s">
        <v>49</v>
      </c>
      <c r="AI29" t="s">
        <v>48</v>
      </c>
      <c r="AJ29" t="s">
        <v>10</v>
      </c>
      <c r="AK29" t="s">
        <v>50</v>
      </c>
      <c r="AL29" t="s">
        <v>49</v>
      </c>
      <c r="AM29" t="s">
        <v>48</v>
      </c>
      <c r="AN29" t="s">
        <v>10</v>
      </c>
      <c r="AO29" t="s">
        <v>50</v>
      </c>
      <c r="AP29" t="s">
        <v>49</v>
      </c>
      <c r="AQ29" t="s">
        <v>135</v>
      </c>
      <c r="AR29" t="s">
        <v>134</v>
      </c>
      <c r="AS29" t="s">
        <v>50</v>
      </c>
      <c r="AT29" t="s">
        <v>140</v>
      </c>
      <c r="AU29" t="s">
        <v>141</v>
      </c>
      <c r="AV29">
        <v>1.2796787729571555E-05</v>
      </c>
      <c r="AW29">
        <f>AV29/$AV$13</f>
        <v>1.0822245247031084</v>
      </c>
      <c r="AX29" s="242">
        <f>(AV29-AV21)/AV21</f>
        <v>0.03969401159246018</v>
      </c>
      <c r="AY29" s="242">
        <f>(AV29-$AV$13)/$AV$13</f>
        <v>0.08222452470310837</v>
      </c>
    </row>
    <row r="30" spans="2:48" ht="12.75">
      <c r="B30" t="s">
        <v>65</v>
      </c>
      <c r="C30">
        <v>0.3060583333333327</v>
      </c>
      <c r="D30">
        <v>0.07166033394150939</v>
      </c>
      <c r="E30">
        <v>232885.23957594577</v>
      </c>
      <c r="F30">
        <v>24.59549775927523</v>
      </c>
      <c r="G30">
        <v>2.419735416666674</v>
      </c>
      <c r="H30">
        <v>0.07642886996895823</v>
      </c>
      <c r="I30">
        <v>204869691.3649333</v>
      </c>
      <c r="J30">
        <v>14.755394800347363</v>
      </c>
      <c r="K30">
        <v>2.673421875</v>
      </c>
      <c r="L30">
        <v>0.07703523324605108</v>
      </c>
      <c r="M30">
        <v>216644461.7653104</v>
      </c>
      <c r="N30">
        <v>12.705945395443386</v>
      </c>
      <c r="O30">
        <v>5.052254166666653</v>
      </c>
      <c r="P30">
        <v>0.08202552090171117</v>
      </c>
      <c r="Q30">
        <v>345382595.4331335</v>
      </c>
      <c r="R30">
        <v>9.798599783490928</v>
      </c>
      <c r="S30">
        <v>5.052254166666653</v>
      </c>
      <c r="T30">
        <v>0.08202552090171117</v>
      </c>
      <c r="U30">
        <v>345382595.4331335</v>
      </c>
      <c r="V30">
        <v>9.798599783490928</v>
      </c>
      <c r="W30">
        <v>7.055951041666655</v>
      </c>
      <c r="X30">
        <v>0.08635889857151575</v>
      </c>
      <c r="Y30">
        <v>471704484.9545668</v>
      </c>
      <c r="Z30">
        <v>9.449391137085662</v>
      </c>
      <c r="AA30">
        <v>7.64629583333332</v>
      </c>
      <c r="AB30">
        <v>0.08740378245186617</v>
      </c>
      <c r="AC30">
        <v>499634543.1841624</v>
      </c>
      <c r="AD30">
        <v>10.485940403221338</v>
      </c>
      <c r="AE30">
        <v>17.139058333333278</v>
      </c>
      <c r="AF30">
        <v>0.10139077881666639</v>
      </c>
      <c r="AG30">
        <v>524990803.7194518</v>
      </c>
      <c r="AH30">
        <v>4.888631895242228</v>
      </c>
      <c r="AI30">
        <v>17.18646979166665</v>
      </c>
      <c r="AJ30">
        <v>0.10194275274772395</v>
      </c>
      <c r="AK30">
        <v>533681165.28238964</v>
      </c>
      <c r="AL30">
        <v>16.61429154704801</v>
      </c>
      <c r="AM30">
        <v>24.18704687499998</v>
      </c>
      <c r="AN30">
        <v>0.1157875819926546</v>
      </c>
      <c r="AO30">
        <v>556020609.7467465</v>
      </c>
      <c r="AP30">
        <v>4.8272333997891295</v>
      </c>
      <c r="AQ30">
        <v>25.34675443054936</v>
      </c>
      <c r="AR30">
        <v>8.56112077777756</v>
      </c>
      <c r="AS30">
        <v>4905721.5365582565</v>
      </c>
      <c r="AT30">
        <v>3.2164</v>
      </c>
      <c r="AU30">
        <v>0.042983006438897624</v>
      </c>
      <c r="AV30" t="s">
        <v>65</v>
      </c>
    </row>
    <row r="31" spans="2:48" ht="12.75">
      <c r="B31" t="s">
        <v>64</v>
      </c>
      <c r="C31">
        <v>0.2604166666666666</v>
      </c>
      <c r="D31">
        <v>0.025148975488609282</v>
      </c>
      <c r="E31">
        <v>10.731550232082778</v>
      </c>
      <c r="F31">
        <v>24.162499361731328</v>
      </c>
      <c r="G31">
        <v>2.13541666666667</v>
      </c>
      <c r="H31">
        <v>0.027336018336390044</v>
      </c>
      <c r="I31">
        <v>16.664837786472077</v>
      </c>
      <c r="J31">
        <v>13.775744733636138</v>
      </c>
      <c r="K31">
        <v>2.442708333333333</v>
      </c>
      <c r="L31">
        <v>0.027595136605672144</v>
      </c>
      <c r="M31">
        <v>17.144183183853244</v>
      </c>
      <c r="N31">
        <v>11.26558736044042</v>
      </c>
      <c r="O31">
        <v>3.9687499999999774</v>
      </c>
      <c r="P31">
        <v>0.029282824437992294</v>
      </c>
      <c r="Q31">
        <v>20.155613545428565</v>
      </c>
      <c r="R31">
        <v>9.241962012508566</v>
      </c>
      <c r="S31">
        <v>3.9687499999999774</v>
      </c>
      <c r="T31">
        <v>0.029282824437992294</v>
      </c>
      <c r="U31">
        <v>20.155613545428565</v>
      </c>
      <c r="V31">
        <v>9.241962012508566</v>
      </c>
      <c r="W31">
        <v>5.729166666666693</v>
      </c>
      <c r="X31">
        <v>0.030988885461169235</v>
      </c>
      <c r="Y31">
        <v>22.468019779189916</v>
      </c>
      <c r="Z31">
        <v>9.097766331725419</v>
      </c>
      <c r="AA31">
        <v>6.333333333333377</v>
      </c>
      <c r="AB31">
        <v>0.03154208652930135</v>
      </c>
      <c r="AC31">
        <v>23.371065271428165</v>
      </c>
      <c r="AD31">
        <v>10.13977991077548</v>
      </c>
      <c r="AE31">
        <v>15.16666666666635</v>
      </c>
      <c r="AF31">
        <v>0.03851833007418959</v>
      </c>
      <c r="AG31">
        <v>24.104748160180915</v>
      </c>
      <c r="AH31">
        <v>4</v>
      </c>
      <c r="AI31">
        <v>15.208333333333014</v>
      </c>
      <c r="AJ31">
        <v>0.038720386771139814</v>
      </c>
      <c r="AK31">
        <v>24.457286887929214</v>
      </c>
      <c r="AL31">
        <v>16.207790921421868</v>
      </c>
      <c r="AM31">
        <v>22.255208333333677</v>
      </c>
      <c r="AN31">
        <v>0.04507260029371285</v>
      </c>
      <c r="AO31">
        <v>25.213296736289138</v>
      </c>
      <c r="AP31">
        <v>4</v>
      </c>
      <c r="AQ31">
        <v>8.735040018064893</v>
      </c>
      <c r="AR31">
        <v>12</v>
      </c>
      <c r="AS31">
        <v>0.0001</v>
      </c>
      <c r="AT31">
        <v>2</v>
      </c>
      <c r="AU31">
        <v>0.0001</v>
      </c>
      <c r="AV31" t="s">
        <v>64</v>
      </c>
    </row>
    <row r="32" spans="2:48" ht="12.75">
      <c r="B32" t="s">
        <v>66</v>
      </c>
      <c r="C32">
        <v>0.1985806089531727</v>
      </c>
      <c r="D32">
        <v>0.20691740515288154</v>
      </c>
      <c r="E32">
        <v>16188646.164128289</v>
      </c>
      <c r="F32">
        <v>6.298991660830175</v>
      </c>
      <c r="G32">
        <v>1.7044569211686906</v>
      </c>
      <c r="H32">
        <v>0.2117363043583546</v>
      </c>
      <c r="I32">
        <v>2712286064.0650725</v>
      </c>
      <c r="J32">
        <v>5.998840694462119</v>
      </c>
      <c r="K32">
        <v>1.7658493743556212</v>
      </c>
      <c r="L32">
        <v>0.21248872930215046</v>
      </c>
      <c r="M32">
        <v>2775273879.966546</v>
      </c>
      <c r="N32">
        <v>6.258334206448723</v>
      </c>
      <c r="O32">
        <v>4.5518753800498875</v>
      </c>
      <c r="P32">
        <v>0.217210482086519</v>
      </c>
      <c r="Q32">
        <v>3485979092.0563493</v>
      </c>
      <c r="R32">
        <v>4.286395306633402</v>
      </c>
      <c r="S32">
        <v>4.5518753800498875</v>
      </c>
      <c r="T32">
        <v>0.217210482086519</v>
      </c>
      <c r="U32">
        <v>3485979092.0563493</v>
      </c>
      <c r="V32">
        <v>4.286395306633402</v>
      </c>
      <c r="W32">
        <v>5.27452131432834</v>
      </c>
      <c r="X32">
        <v>0.22176665171322202</v>
      </c>
      <c r="Y32">
        <v>4121403344.373738</v>
      </c>
      <c r="Z32">
        <v>3.6245708574430906</v>
      </c>
      <c r="AA32">
        <v>5.284881309207516</v>
      </c>
      <c r="AB32">
        <v>0.22257261919267535</v>
      </c>
      <c r="AC32">
        <v>4234696809.94655</v>
      </c>
      <c r="AD32">
        <v>3.5592489175677873</v>
      </c>
      <c r="AE32">
        <v>8.871153748146197</v>
      </c>
      <c r="AF32">
        <v>0.23346583098056714</v>
      </c>
      <c r="AG32">
        <v>4332186649.145469</v>
      </c>
      <c r="AH32">
        <v>1.3560266464353459</v>
      </c>
      <c r="AI32">
        <v>8.871066237347117</v>
      </c>
      <c r="AJ32">
        <v>0.23411141318418502</v>
      </c>
      <c r="AK32">
        <v>4369922091.127535</v>
      </c>
      <c r="AL32">
        <v>6.35338563832421</v>
      </c>
      <c r="AM32">
        <v>9.948659774458099</v>
      </c>
      <c r="AN32">
        <v>0.24558696933204052</v>
      </c>
      <c r="AO32">
        <v>4461006604.919849</v>
      </c>
      <c r="AP32">
        <v>1.3526065098606808</v>
      </c>
      <c r="AQ32">
        <v>53.875628117566805</v>
      </c>
      <c r="AR32">
        <v>3.9086007431805716</v>
      </c>
      <c r="AS32">
        <v>121758109.42832749</v>
      </c>
      <c r="AT32">
        <v>4.497843271992694</v>
      </c>
      <c r="AU32">
        <v>0.46152552366509936</v>
      </c>
      <c r="AV32" t="s">
        <v>66</v>
      </c>
    </row>
    <row r="33" spans="2:48" ht="12.75">
      <c r="B33" t="s">
        <v>51</v>
      </c>
      <c r="C33">
        <v>0.10416666666666667</v>
      </c>
      <c r="D33">
        <v>0.024520422369282126</v>
      </c>
      <c r="E33">
        <v>1.105098302322688</v>
      </c>
      <c r="F33">
        <v>14.982043022216743</v>
      </c>
      <c r="G33">
        <v>0.1979166666666666</v>
      </c>
      <c r="H33">
        <v>0.024765798972147583</v>
      </c>
      <c r="I33">
        <v>1.5695478474877471</v>
      </c>
      <c r="J33">
        <v>6.994654023128469</v>
      </c>
      <c r="K33">
        <v>0.1979166666666666</v>
      </c>
      <c r="L33">
        <v>0.024766894325670967</v>
      </c>
      <c r="M33">
        <v>1.622084948054738</v>
      </c>
      <c r="N33">
        <v>5.397318539889484</v>
      </c>
      <c r="O33">
        <v>1.4791666666666685</v>
      </c>
      <c r="P33">
        <v>0.02605291078250077</v>
      </c>
      <c r="Q33">
        <v>1.9609606202370213</v>
      </c>
      <c r="R33">
        <v>4</v>
      </c>
      <c r="S33">
        <v>1.4791666666666685</v>
      </c>
      <c r="T33">
        <v>0.02605291078250077</v>
      </c>
      <c r="U33">
        <v>1.9609606202370213</v>
      </c>
      <c r="V33">
        <v>4</v>
      </c>
      <c r="W33">
        <v>2.25</v>
      </c>
      <c r="X33">
        <v>0.026736374885403712</v>
      </c>
      <c r="Y33">
        <v>2.0594971436864915</v>
      </c>
      <c r="Z33">
        <v>4</v>
      </c>
      <c r="AA33">
        <v>2.7812499999999942</v>
      </c>
      <c r="AB33">
        <v>0.027151008407415585</v>
      </c>
      <c r="AC33">
        <v>2.0879747737324865</v>
      </c>
      <c r="AD33">
        <v>5.2425671829478855</v>
      </c>
      <c r="AE33">
        <v>7.395833333333407</v>
      </c>
      <c r="AF33">
        <v>0.030506021325572223</v>
      </c>
      <c r="AG33">
        <v>2.12944127170458</v>
      </c>
      <c r="AH33">
        <v>4</v>
      </c>
      <c r="AI33">
        <v>7.447916666666742</v>
      </c>
      <c r="AJ33">
        <v>0.03060745864633509</v>
      </c>
      <c r="AK33">
        <v>2.159951526234365</v>
      </c>
      <c r="AL33">
        <v>7.405194080257716</v>
      </c>
      <c r="AM33">
        <v>12.333333333333178</v>
      </c>
      <c r="AN33">
        <v>0.034145826561961926</v>
      </c>
      <c r="AO33">
        <v>2.1891389374376176</v>
      </c>
      <c r="AP33">
        <v>4</v>
      </c>
      <c r="AQ33">
        <v>1</v>
      </c>
      <c r="AR33">
        <v>0.94</v>
      </c>
      <c r="AS33">
        <v>0.0001</v>
      </c>
      <c r="AT33">
        <v>1</v>
      </c>
      <c r="AU33">
        <v>0.0001</v>
      </c>
      <c r="AV33" t="s">
        <v>51</v>
      </c>
    </row>
    <row r="34" spans="2:48" ht="12.75">
      <c r="B34" t="s">
        <v>52</v>
      </c>
      <c r="C34">
        <v>0.6875</v>
      </c>
      <c r="D34">
        <v>0.051039697154710024</v>
      </c>
      <c r="E34">
        <v>154.5311230736048</v>
      </c>
      <c r="F34">
        <v>35.649096136415956</v>
      </c>
      <c r="G34">
        <v>5.572916666666688</v>
      </c>
      <c r="H34">
        <v>0.1560474818631686</v>
      </c>
      <c r="I34">
        <v>49068.525972765005</v>
      </c>
      <c r="J34">
        <v>26.578654067293005</v>
      </c>
      <c r="K34">
        <v>5.885416666666697</v>
      </c>
      <c r="L34">
        <v>1</v>
      </c>
      <c r="M34">
        <v>71314.92451798002</v>
      </c>
      <c r="N34">
        <v>26.145366232899136</v>
      </c>
      <c r="O34">
        <v>11.772395833333187</v>
      </c>
      <c r="P34">
        <v>1</v>
      </c>
      <c r="Q34">
        <v>2360185.635786364</v>
      </c>
      <c r="R34">
        <v>17.6292180971224</v>
      </c>
      <c r="S34">
        <v>11.772395833333187</v>
      </c>
      <c r="T34">
        <v>1</v>
      </c>
      <c r="U34">
        <v>2360185.635786364</v>
      </c>
      <c r="V34">
        <v>17.6292180971224</v>
      </c>
      <c r="W34">
        <v>15.822916666666313</v>
      </c>
      <c r="X34">
        <v>1</v>
      </c>
      <c r="Y34">
        <v>12892940.175401619</v>
      </c>
      <c r="Z34">
        <v>15.963119243298115</v>
      </c>
      <c r="AA34">
        <v>16.35416666666634</v>
      </c>
      <c r="AB34">
        <v>1</v>
      </c>
      <c r="AC34">
        <v>14756102.956100993</v>
      </c>
      <c r="AD34">
        <v>16.80320850700513</v>
      </c>
      <c r="AE34">
        <v>33.62760416666771</v>
      </c>
      <c r="AF34">
        <v>1</v>
      </c>
      <c r="AG34">
        <v>15502015.529767154</v>
      </c>
      <c r="AH34">
        <v>7.806891080302532</v>
      </c>
      <c r="AI34">
        <v>33.708333333334394</v>
      </c>
      <c r="AJ34">
        <v>1</v>
      </c>
      <c r="AK34">
        <v>15611520.086614199</v>
      </c>
      <c r="AL34">
        <v>27.776157686133168</v>
      </c>
      <c r="AM34">
        <v>42.793749999998965</v>
      </c>
      <c r="AN34">
        <v>1</v>
      </c>
      <c r="AO34">
        <v>15741192.934765795</v>
      </c>
      <c r="AP34">
        <v>7.737657560959659</v>
      </c>
      <c r="AQ34">
        <v>102.50686474582693</v>
      </c>
      <c r="AR34">
        <v>12</v>
      </c>
      <c r="AS34">
        <v>10.885851151436135</v>
      </c>
      <c r="AT34">
        <v>11</v>
      </c>
      <c r="AU34">
        <v>0.025845703162259523</v>
      </c>
      <c r="AV34" t="s">
        <v>52</v>
      </c>
    </row>
    <row r="37" spans="3:51" ht="12.75">
      <c r="C37" t="s">
        <v>48</v>
      </c>
      <c r="D37" t="s">
        <v>10</v>
      </c>
      <c r="E37" t="s">
        <v>50</v>
      </c>
      <c r="F37" t="s">
        <v>49</v>
      </c>
      <c r="G37" t="s">
        <v>48</v>
      </c>
      <c r="H37" t="s">
        <v>10</v>
      </c>
      <c r="I37" t="s">
        <v>50</v>
      </c>
      <c r="J37" t="s">
        <v>49</v>
      </c>
      <c r="K37" t="s">
        <v>48</v>
      </c>
      <c r="L37" t="s">
        <v>10</v>
      </c>
      <c r="M37" t="s">
        <v>50</v>
      </c>
      <c r="N37" t="s">
        <v>49</v>
      </c>
      <c r="O37" t="s">
        <v>48</v>
      </c>
      <c r="P37" t="s">
        <v>10</v>
      </c>
      <c r="Q37" t="s">
        <v>50</v>
      </c>
      <c r="R37" t="s">
        <v>49</v>
      </c>
      <c r="S37" t="s">
        <v>48</v>
      </c>
      <c r="T37" t="s">
        <v>10</v>
      </c>
      <c r="U37" t="s">
        <v>50</v>
      </c>
      <c r="V37" t="s">
        <v>49</v>
      </c>
      <c r="W37" t="s">
        <v>48</v>
      </c>
      <c r="X37" t="s">
        <v>10</v>
      </c>
      <c r="Y37" t="s">
        <v>50</v>
      </c>
      <c r="Z37" t="s">
        <v>49</v>
      </c>
      <c r="AA37" t="s">
        <v>48</v>
      </c>
      <c r="AB37" t="s">
        <v>10</v>
      </c>
      <c r="AC37" t="s">
        <v>50</v>
      </c>
      <c r="AD37" t="s">
        <v>49</v>
      </c>
      <c r="AE37" t="s">
        <v>48</v>
      </c>
      <c r="AF37" t="s">
        <v>10</v>
      </c>
      <c r="AG37" t="s">
        <v>50</v>
      </c>
      <c r="AH37" t="s">
        <v>49</v>
      </c>
      <c r="AI37" t="s">
        <v>48</v>
      </c>
      <c r="AJ37" t="s">
        <v>10</v>
      </c>
      <c r="AK37" t="s">
        <v>50</v>
      </c>
      <c r="AL37" t="s">
        <v>49</v>
      </c>
      <c r="AM37" t="s">
        <v>48</v>
      </c>
      <c r="AN37" t="s">
        <v>10</v>
      </c>
      <c r="AO37" t="s">
        <v>50</v>
      </c>
      <c r="AP37" t="s">
        <v>49</v>
      </c>
      <c r="AQ37" t="s">
        <v>135</v>
      </c>
      <c r="AR37" t="s">
        <v>134</v>
      </c>
      <c r="AS37" t="s">
        <v>50</v>
      </c>
      <c r="AT37" t="s">
        <v>140</v>
      </c>
      <c r="AU37" t="s">
        <v>141</v>
      </c>
      <c r="AV37">
        <v>1.3264916831399507E-05</v>
      </c>
      <c r="AW37">
        <f>AV37/$AV$13</f>
        <v>1.121814209664024</v>
      </c>
      <c r="AX37" s="242">
        <f>(AV37-AV29)/AV29</f>
        <v>0.03658176659023361</v>
      </c>
      <c r="AY37" s="242">
        <f>(AV37-$AV$13)/$AV$13</f>
        <v>0.12181420966402398</v>
      </c>
    </row>
    <row r="38" spans="2:48" ht="12.75">
      <c r="B38" t="s">
        <v>65</v>
      </c>
      <c r="C38">
        <v>0.3034260416666663</v>
      </c>
      <c r="D38">
        <v>0.07180892678838745</v>
      </c>
      <c r="E38">
        <v>407797.0410429115</v>
      </c>
      <c r="F38">
        <v>24.61230347931541</v>
      </c>
      <c r="G38">
        <v>2.4171229166666617</v>
      </c>
      <c r="H38">
        <v>0.07658554191674878</v>
      </c>
      <c r="I38">
        <v>215190894.46653086</v>
      </c>
      <c r="J38">
        <v>14.757810975501235</v>
      </c>
      <c r="K38">
        <v>2.670806770833323</v>
      </c>
      <c r="L38">
        <v>0.07728963252452926</v>
      </c>
      <c r="M38">
        <v>229024698.59232533</v>
      </c>
      <c r="N38">
        <v>12.707728230115485</v>
      </c>
      <c r="O38">
        <v>5.0495937500000245</v>
      </c>
      <c r="P38">
        <v>0.08237900139668822</v>
      </c>
      <c r="Q38">
        <v>368362393.7322378</v>
      </c>
      <c r="R38">
        <v>9.799151433407408</v>
      </c>
      <c r="S38">
        <v>5.0495937500000245</v>
      </c>
      <c r="T38">
        <v>0.08237900139668822</v>
      </c>
      <c r="U38">
        <v>368362393.7322378</v>
      </c>
      <c r="V38">
        <v>9.799151433407408</v>
      </c>
      <c r="W38">
        <v>7.053304687500011</v>
      </c>
      <c r="X38">
        <v>0.08651825542992153</v>
      </c>
      <c r="Y38">
        <v>492864218.64640105</v>
      </c>
      <c r="Z38">
        <v>9.449447820788222</v>
      </c>
      <c r="AA38">
        <v>7.643741145833352</v>
      </c>
      <c r="AB38">
        <v>0.0875629758720943</v>
      </c>
      <c r="AC38">
        <v>524295524.6978027</v>
      </c>
      <c r="AD38">
        <v>10.486189149584261</v>
      </c>
      <c r="AE38">
        <v>17.1364786458333</v>
      </c>
      <c r="AF38">
        <v>0.10193482187284761</v>
      </c>
      <c r="AG38">
        <v>551424769.694749</v>
      </c>
      <c r="AH38">
        <v>4.888635326960153</v>
      </c>
      <c r="AI38">
        <v>17.183876562500025</v>
      </c>
      <c r="AJ38">
        <v>0.1021832848898302</v>
      </c>
      <c r="AK38">
        <v>559750900.0750388</v>
      </c>
      <c r="AL38">
        <v>16.631033960204253</v>
      </c>
      <c r="AM38">
        <v>24.18446666666661</v>
      </c>
      <c r="AN38">
        <v>0.11603582625141312</v>
      </c>
      <c r="AO38">
        <v>585256250.3293905</v>
      </c>
      <c r="AP38">
        <v>4.82723217889007</v>
      </c>
      <c r="AQ38">
        <v>25.34675443054936</v>
      </c>
      <c r="AR38">
        <v>8.56112077777756</v>
      </c>
      <c r="AS38">
        <v>5304288.881080182</v>
      </c>
      <c r="AT38">
        <v>3.2164</v>
      </c>
      <c r="AU38">
        <v>0.044555400747791886</v>
      </c>
      <c r="AV38" t="s">
        <v>65</v>
      </c>
    </row>
    <row r="39" spans="2:48" ht="12.75">
      <c r="B39" t="s">
        <v>64</v>
      </c>
      <c r="C39">
        <v>0.2552083333333335</v>
      </c>
      <c r="D39">
        <v>0.025299739357035833</v>
      </c>
      <c r="E39">
        <v>11.152811186367519</v>
      </c>
      <c r="F39">
        <v>24.186525449086794</v>
      </c>
      <c r="G39">
        <v>2.135416666666659</v>
      </c>
      <c r="H39">
        <v>0.027496969990186915</v>
      </c>
      <c r="I39">
        <v>17.959490678401664</v>
      </c>
      <c r="J39">
        <v>13.77580544760336</v>
      </c>
      <c r="K39">
        <v>2.440104166666667</v>
      </c>
      <c r="L39">
        <v>0.027754630251292933</v>
      </c>
      <c r="M39">
        <v>18.43204560958901</v>
      </c>
      <c r="N39">
        <v>11.265990932427567</v>
      </c>
      <c r="O39">
        <v>3.963541666666711</v>
      </c>
      <c r="P39">
        <v>0.02945443993690755</v>
      </c>
      <c r="Q39">
        <v>22.078905480424694</v>
      </c>
      <c r="R39">
        <v>9.241870198206769</v>
      </c>
      <c r="S39">
        <v>3.963541666666711</v>
      </c>
      <c r="T39">
        <v>0.02945443993690755</v>
      </c>
      <c r="U39">
        <v>22.078905480424694</v>
      </c>
      <c r="V39">
        <v>9.241870198206769</v>
      </c>
      <c r="W39">
        <v>5.729166666666614</v>
      </c>
      <c r="X39">
        <v>0.031159221107061152</v>
      </c>
      <c r="Y39">
        <v>24.111943218794497</v>
      </c>
      <c r="Z39">
        <v>9.09446653191462</v>
      </c>
      <c r="AA39">
        <v>6.328124999999913</v>
      </c>
      <c r="AB39">
        <v>0.03171036343841055</v>
      </c>
      <c r="AC39">
        <v>25.229320915118286</v>
      </c>
      <c r="AD39">
        <v>10.139472607611104</v>
      </c>
      <c r="AE39">
        <v>15.161458333333965</v>
      </c>
      <c r="AF39">
        <v>0.038688946325507345</v>
      </c>
      <c r="AG39">
        <v>25.97045203305108</v>
      </c>
      <c r="AH39">
        <v>4</v>
      </c>
      <c r="AI39">
        <v>15.20833333333397</v>
      </c>
      <c r="AJ39">
        <v>0.03886898871738581</v>
      </c>
      <c r="AK39">
        <v>26.158760929500353</v>
      </c>
      <c r="AL39">
        <v>16.21403241232266</v>
      </c>
      <c r="AM39">
        <v>22.252604166665968</v>
      </c>
      <c r="AN39">
        <v>0.045236319850994855</v>
      </c>
      <c r="AO39">
        <v>26.94539421519002</v>
      </c>
      <c r="AP39">
        <v>4</v>
      </c>
      <c r="AQ39">
        <v>8.735040018064893</v>
      </c>
      <c r="AR39">
        <v>12</v>
      </c>
      <c r="AS39">
        <v>0.0001</v>
      </c>
      <c r="AT39">
        <v>2</v>
      </c>
      <c r="AU39">
        <v>0.0001</v>
      </c>
      <c r="AV39" t="s">
        <v>64</v>
      </c>
    </row>
    <row r="40" spans="2:48" ht="12.75">
      <c r="B40" t="s">
        <v>66</v>
      </c>
      <c r="C40">
        <v>0.19851544662125856</v>
      </c>
      <c r="D40">
        <v>0.20688532074063865</v>
      </c>
      <c r="E40">
        <v>28504267.94552987</v>
      </c>
      <c r="F40">
        <v>6.296352042537234</v>
      </c>
      <c r="G40">
        <v>1.7044167553855503</v>
      </c>
      <c r="H40">
        <v>0.21170149003075855</v>
      </c>
      <c r="I40">
        <v>2770491303.712045</v>
      </c>
      <c r="J40">
        <v>6.002347667340611</v>
      </c>
      <c r="K40">
        <v>1.7658595605902263</v>
      </c>
      <c r="L40">
        <v>0.21265339539794156</v>
      </c>
      <c r="M40">
        <v>2844154240.293432</v>
      </c>
      <c r="N40">
        <v>6.262727894455666</v>
      </c>
      <c r="O40">
        <v>4.551914360437454</v>
      </c>
      <c r="P40">
        <v>0.2175607327181262</v>
      </c>
      <c r="Q40">
        <v>3593357170.5337925</v>
      </c>
      <c r="R40">
        <v>4.287282489143271</v>
      </c>
      <c r="S40">
        <v>4.551914360437454</v>
      </c>
      <c r="T40">
        <v>0.2175607327181262</v>
      </c>
      <c r="U40">
        <v>3593357170.5337925</v>
      </c>
      <c r="V40">
        <v>4.287282489143271</v>
      </c>
      <c r="W40">
        <v>5.274546182439864</v>
      </c>
      <c r="X40">
        <v>0.22172975302142703</v>
      </c>
      <c r="Y40">
        <v>4210984713.1185937</v>
      </c>
      <c r="Z40">
        <v>3.624735162503623</v>
      </c>
      <c r="AA40">
        <v>5.284886808682185</v>
      </c>
      <c r="AB40">
        <v>0.22253555967294655</v>
      </c>
      <c r="AC40">
        <v>4335064488.089159</v>
      </c>
      <c r="AD40">
        <v>3.5596421642554166</v>
      </c>
      <c r="AE40">
        <v>8.871112742046883</v>
      </c>
      <c r="AF40">
        <v>0.23411308373241158</v>
      </c>
      <c r="AG40">
        <v>4442280806.741118</v>
      </c>
      <c r="AH40">
        <v>1.3560284135442449</v>
      </c>
      <c r="AI40">
        <v>8.871047854864816</v>
      </c>
      <c r="AJ40">
        <v>0.2342466851419768</v>
      </c>
      <c r="AK40">
        <v>4475815341.265846</v>
      </c>
      <c r="AL40">
        <v>6.316342972310019</v>
      </c>
      <c r="AM40">
        <v>9.948638366524117</v>
      </c>
      <c r="AN40">
        <v>0.24570429281987552</v>
      </c>
      <c r="AO40">
        <v>4571920111.521114</v>
      </c>
      <c r="AP40">
        <v>1.352606828109796</v>
      </c>
      <c r="AQ40">
        <v>53.875628117566805</v>
      </c>
      <c r="AR40">
        <v>3.9086007431805716</v>
      </c>
      <c r="AS40">
        <v>126483063.59699214</v>
      </c>
      <c r="AT40">
        <v>4.497843271992694</v>
      </c>
      <c r="AU40">
        <v>0.4699876910545085</v>
      </c>
      <c r="AV40" t="s">
        <v>66</v>
      </c>
    </row>
    <row r="41" spans="2:48" ht="12.75">
      <c r="B41" t="s">
        <v>51</v>
      </c>
      <c r="C41">
        <v>0.0989583333333333</v>
      </c>
      <c r="D41">
        <v>0.024616368077004663</v>
      </c>
      <c r="E41">
        <v>1.1792380940705518</v>
      </c>
      <c r="F41">
        <v>14.995805442034253</v>
      </c>
      <c r="G41">
        <v>0.19791666666666674</v>
      </c>
      <c r="H41">
        <v>0.024898788650879022</v>
      </c>
      <c r="I41">
        <v>1.7320645203698912</v>
      </c>
      <c r="J41">
        <v>6.99465402312847</v>
      </c>
      <c r="K41">
        <v>0.19791666666666674</v>
      </c>
      <c r="L41">
        <v>0.02490068729222984</v>
      </c>
      <c r="M41">
        <v>1.7788367609789475</v>
      </c>
      <c r="N41">
        <v>5.394809841922902</v>
      </c>
      <c r="O41">
        <v>1.4739583333333293</v>
      </c>
      <c r="P41">
        <v>0.026170721102403587</v>
      </c>
      <c r="Q41">
        <v>2.055721520127073</v>
      </c>
      <c r="R41">
        <v>4</v>
      </c>
      <c r="S41">
        <v>1.4739583333333293</v>
      </c>
      <c r="T41">
        <v>0.026170721102403587</v>
      </c>
      <c r="U41">
        <v>2.055721520127073</v>
      </c>
      <c r="V41">
        <v>4</v>
      </c>
      <c r="W41">
        <v>2.25</v>
      </c>
      <c r="X41">
        <v>0.02687029353352205</v>
      </c>
      <c r="Y41">
        <v>2.1534764520062453</v>
      </c>
      <c r="Z41">
        <v>4</v>
      </c>
      <c r="AA41">
        <v>2.776041666666677</v>
      </c>
      <c r="AB41">
        <v>0.027281518266363713</v>
      </c>
      <c r="AC41">
        <v>2.187083632030813</v>
      </c>
      <c r="AD41">
        <v>5.2444607470319795</v>
      </c>
      <c r="AE41">
        <v>7.395833333333186</v>
      </c>
      <c r="AF41">
        <v>0.03064073917541746</v>
      </c>
      <c r="AG41">
        <v>2.2242432576507034</v>
      </c>
      <c r="AH41">
        <v>4</v>
      </c>
      <c r="AI41">
        <v>7.442708333333183</v>
      </c>
      <c r="AJ41">
        <v>0.030729819607635718</v>
      </c>
      <c r="AK41">
        <v>2.2307112905703588</v>
      </c>
      <c r="AL41">
        <v>7.43605721265613</v>
      </c>
      <c r="AM41">
        <v>12.328125000000309</v>
      </c>
      <c r="AN41">
        <v>0.034271392160934395</v>
      </c>
      <c r="AO41">
        <v>2.2632167539882757</v>
      </c>
      <c r="AP41">
        <v>4</v>
      </c>
      <c r="AQ41">
        <v>1</v>
      </c>
      <c r="AR41">
        <v>0.94</v>
      </c>
      <c r="AS41">
        <v>0.0001</v>
      </c>
      <c r="AT41">
        <v>1</v>
      </c>
      <c r="AU41">
        <v>0.0001</v>
      </c>
      <c r="AV41" t="s">
        <v>51</v>
      </c>
    </row>
    <row r="42" spans="2:48" ht="12.75">
      <c r="B42" t="s">
        <v>52</v>
      </c>
      <c r="C42">
        <v>0.6822916666666672</v>
      </c>
      <c r="D42">
        <v>0.051277231271281684</v>
      </c>
      <c r="E42">
        <v>169.93750051215576</v>
      </c>
      <c r="F42">
        <v>35.649096136415956</v>
      </c>
      <c r="G42">
        <v>5.567968749999952</v>
      </c>
      <c r="H42">
        <v>0.15748273571556384</v>
      </c>
      <c r="I42">
        <v>92650.25747398425</v>
      </c>
      <c r="J42">
        <v>26.61246185688994</v>
      </c>
      <c r="K42">
        <v>5.880208333333272</v>
      </c>
      <c r="L42">
        <v>1</v>
      </c>
      <c r="M42">
        <v>137643.16967875182</v>
      </c>
      <c r="N42">
        <v>26.153246200044414</v>
      </c>
      <c r="O42">
        <v>11.772135416666893</v>
      </c>
      <c r="P42">
        <v>1</v>
      </c>
      <c r="Q42">
        <v>3947897.989508132</v>
      </c>
      <c r="R42">
        <v>17.634616118814353</v>
      </c>
      <c r="S42">
        <v>11.772135416666893</v>
      </c>
      <c r="T42">
        <v>1</v>
      </c>
      <c r="U42">
        <v>3947897.989508132</v>
      </c>
      <c r="V42">
        <v>17.634616118814353</v>
      </c>
      <c r="W42">
        <v>15.822916666667373</v>
      </c>
      <c r="X42">
        <v>1</v>
      </c>
      <c r="Y42">
        <v>14547792.772109246</v>
      </c>
      <c r="Z42">
        <v>15.973617378232266</v>
      </c>
      <c r="AA42">
        <v>16.35416666666731</v>
      </c>
      <c r="AB42">
        <v>1</v>
      </c>
      <c r="AC42">
        <v>15417866.21503893</v>
      </c>
      <c r="AD42">
        <v>16.804371732275854</v>
      </c>
      <c r="AE42">
        <v>33.62239583333112</v>
      </c>
      <c r="AF42">
        <v>1</v>
      </c>
      <c r="AG42">
        <v>15709817.490877984</v>
      </c>
      <c r="AH42">
        <v>7.806891080019505</v>
      </c>
      <c r="AI42">
        <v>33.7083333333312</v>
      </c>
      <c r="AJ42">
        <v>1</v>
      </c>
      <c r="AK42">
        <v>15720007.790736321</v>
      </c>
      <c r="AL42">
        <v>27.68890020240391</v>
      </c>
      <c r="AM42">
        <v>42.78854166666863</v>
      </c>
      <c r="AN42">
        <v>1</v>
      </c>
      <c r="AO42">
        <v>15787389.137952892</v>
      </c>
      <c r="AP42">
        <v>7.7376575609596605</v>
      </c>
      <c r="AQ42">
        <v>102.50686474582693</v>
      </c>
      <c r="AR42">
        <v>12</v>
      </c>
      <c r="AS42">
        <v>12.308077997056886</v>
      </c>
      <c r="AT42">
        <v>11</v>
      </c>
      <c r="AU42">
        <v>0.028897776710606293</v>
      </c>
      <c r="AV42" t="s">
        <v>52</v>
      </c>
    </row>
    <row r="45" spans="3:51" ht="12.75">
      <c r="C45" t="s">
        <v>48</v>
      </c>
      <c r="D45" t="s">
        <v>10</v>
      </c>
      <c r="E45" t="s">
        <v>50</v>
      </c>
      <c r="F45" t="s">
        <v>49</v>
      </c>
      <c r="G45" t="s">
        <v>48</v>
      </c>
      <c r="H45" t="s">
        <v>10</v>
      </c>
      <c r="I45" t="s">
        <v>50</v>
      </c>
      <c r="J45" t="s">
        <v>49</v>
      </c>
      <c r="K45" t="s">
        <v>48</v>
      </c>
      <c r="L45" t="s">
        <v>10</v>
      </c>
      <c r="M45" t="s">
        <v>50</v>
      </c>
      <c r="N45" t="s">
        <v>49</v>
      </c>
      <c r="O45" t="s">
        <v>48</v>
      </c>
      <c r="P45" t="s">
        <v>10</v>
      </c>
      <c r="Q45" t="s">
        <v>50</v>
      </c>
      <c r="R45" t="s">
        <v>49</v>
      </c>
      <c r="S45" t="s">
        <v>48</v>
      </c>
      <c r="T45" t="s">
        <v>10</v>
      </c>
      <c r="U45" t="s">
        <v>50</v>
      </c>
      <c r="V45" t="s">
        <v>49</v>
      </c>
      <c r="W45" t="s">
        <v>48</v>
      </c>
      <c r="X45" t="s">
        <v>10</v>
      </c>
      <c r="Y45" t="s">
        <v>50</v>
      </c>
      <c r="Z45" t="s">
        <v>49</v>
      </c>
      <c r="AA45" t="s">
        <v>48</v>
      </c>
      <c r="AB45" t="s">
        <v>10</v>
      </c>
      <c r="AC45" t="s">
        <v>50</v>
      </c>
      <c r="AD45" t="s">
        <v>49</v>
      </c>
      <c r="AE45" t="s">
        <v>48</v>
      </c>
      <c r="AF45" t="s">
        <v>10</v>
      </c>
      <c r="AG45" t="s">
        <v>50</v>
      </c>
      <c r="AH45" t="s">
        <v>49</v>
      </c>
      <c r="AI45" t="s">
        <v>48</v>
      </c>
      <c r="AJ45" t="s">
        <v>10</v>
      </c>
      <c r="AK45" t="s">
        <v>50</v>
      </c>
      <c r="AL45" t="s">
        <v>49</v>
      </c>
      <c r="AM45" t="s">
        <v>48</v>
      </c>
      <c r="AN45" t="s">
        <v>10</v>
      </c>
      <c r="AO45" t="s">
        <v>50</v>
      </c>
      <c r="AP45" t="s">
        <v>49</v>
      </c>
      <c r="AQ45" t="s">
        <v>135</v>
      </c>
      <c r="AR45" t="s">
        <v>134</v>
      </c>
      <c r="AS45" t="s">
        <v>50</v>
      </c>
      <c r="AT45" t="s">
        <v>140</v>
      </c>
      <c r="AU45" t="s">
        <v>141</v>
      </c>
      <c r="AV45">
        <v>1.3703801032163674E-05</v>
      </c>
      <c r="AW45">
        <f>AV45/$AV$13</f>
        <v>1.1589306529159593</v>
      </c>
      <c r="AX45" s="242">
        <f>(AV45-AV37)/AV37</f>
        <v>0.033086087635715924</v>
      </c>
      <c r="AY45" s="242">
        <f>(AV45-$AV$13)/$AV$13</f>
        <v>0.1589306529159593</v>
      </c>
    </row>
    <row r="46" spans="2:48" ht="12.75">
      <c r="B46" t="s">
        <v>65</v>
      </c>
      <c r="C46">
        <v>0.3021401041666671</v>
      </c>
      <c r="D46">
        <v>0.07212292750964312</v>
      </c>
      <c r="E46">
        <v>745577.9251215603</v>
      </c>
      <c r="F46">
        <v>24.62145335705008</v>
      </c>
      <c r="G46">
        <v>2.4158106770833294</v>
      </c>
      <c r="H46">
        <v>0.07690345332660196</v>
      </c>
      <c r="I46">
        <v>226114231.62867138</v>
      </c>
      <c r="J46">
        <v>14.759066328228922</v>
      </c>
      <c r="K46">
        <v>2.669491666666667</v>
      </c>
      <c r="L46">
        <v>0.07741319716447666</v>
      </c>
      <c r="M46">
        <v>242336216.87090063</v>
      </c>
      <c r="N46">
        <v>12.708772547261239</v>
      </c>
      <c r="O46">
        <v>5.0482723958332905</v>
      </c>
      <c r="P46">
        <v>0.08260114787235551</v>
      </c>
      <c r="Q46">
        <v>391254122.9789622</v>
      </c>
      <c r="R46">
        <v>9.799370752543666</v>
      </c>
      <c r="S46">
        <v>5.0482723958332905</v>
      </c>
      <c r="T46">
        <v>0.08260114787235551</v>
      </c>
      <c r="U46">
        <v>391254122.9789622</v>
      </c>
      <c r="V46">
        <v>9.799370752543666</v>
      </c>
      <c r="W46">
        <v>7.052002343749945</v>
      </c>
      <c r="X46">
        <v>0.08673895336811342</v>
      </c>
      <c r="Y46">
        <v>514257431.74098116</v>
      </c>
      <c r="Z46">
        <v>9.449449238530699</v>
      </c>
      <c r="AA46">
        <v>7.642421874999933</v>
      </c>
      <c r="AB46">
        <v>0.08788088370934796</v>
      </c>
      <c r="AC46">
        <v>547881402.7793318</v>
      </c>
      <c r="AD46">
        <v>10.486283664005699</v>
      </c>
      <c r="AE46">
        <v>17.13517395833347</v>
      </c>
      <c r="AF46">
        <v>0.10205907259614383</v>
      </c>
      <c r="AG46">
        <v>575867583.2977072</v>
      </c>
      <c r="AH46">
        <v>4.8886382575259</v>
      </c>
      <c r="AI46">
        <v>17.18257031250023</v>
      </c>
      <c r="AJ46">
        <v>0.1023964843583888</v>
      </c>
      <c r="AK46">
        <v>584222356.1401159</v>
      </c>
      <c r="AL46">
        <v>16.63543847702711</v>
      </c>
      <c r="AM46">
        <v>24.183163281250543</v>
      </c>
      <c r="AN46">
        <v>0.11634465195605417</v>
      </c>
      <c r="AO46">
        <v>612629700.8028665</v>
      </c>
      <c r="AP46">
        <v>4.827232497640526</v>
      </c>
      <c r="AQ46">
        <v>25.34675443054936</v>
      </c>
      <c r="AR46">
        <v>8.56112077777756</v>
      </c>
      <c r="AS46">
        <v>5730076.344733143</v>
      </c>
      <c r="AT46">
        <v>3.2164</v>
      </c>
      <c r="AU46">
        <v>0.04602956464157777</v>
      </c>
      <c r="AV46" t="s">
        <v>65</v>
      </c>
    </row>
    <row r="47" spans="2:48" ht="12.75">
      <c r="B47" t="s">
        <v>64</v>
      </c>
      <c r="C47">
        <v>0.2526041666666663</v>
      </c>
      <c r="D47">
        <v>0.025424577641412316</v>
      </c>
      <c r="E47">
        <v>11.791569345566558</v>
      </c>
      <c r="F47">
        <v>24.20393118878649</v>
      </c>
      <c r="G47">
        <v>2.1354166666666816</v>
      </c>
      <c r="H47">
        <v>0.02763150419926591</v>
      </c>
      <c r="I47">
        <v>19.11656354225125</v>
      </c>
      <c r="J47">
        <v>13.776910507708948</v>
      </c>
      <c r="K47">
        <v>2.438802083333332</v>
      </c>
      <c r="L47">
        <v>0.027885531549086295</v>
      </c>
      <c r="M47">
        <v>19.60511608359856</v>
      </c>
      <c r="N47">
        <v>11.265041061022082</v>
      </c>
      <c r="O47">
        <v>3.9635416666665777</v>
      </c>
      <c r="P47">
        <v>0.029586703465114494</v>
      </c>
      <c r="Q47">
        <v>23.415289923120177</v>
      </c>
      <c r="R47">
        <v>9.243827694658691</v>
      </c>
      <c r="S47">
        <v>3.9635416666665777</v>
      </c>
      <c r="T47">
        <v>0.029586703465114494</v>
      </c>
      <c r="U47">
        <v>23.415289923120177</v>
      </c>
      <c r="V47">
        <v>9.243827694658691</v>
      </c>
      <c r="W47">
        <v>5.726562500000105</v>
      </c>
      <c r="X47">
        <v>0.03129424366064526</v>
      </c>
      <c r="Y47">
        <v>25.563880076807337</v>
      </c>
      <c r="Z47">
        <v>9.095726121105752</v>
      </c>
      <c r="AA47">
        <v>6.32682291666684</v>
      </c>
      <c r="AB47">
        <v>0.03184249999262545</v>
      </c>
      <c r="AC47">
        <v>26.56876213190496</v>
      </c>
      <c r="AD47">
        <v>10.139880092177604</v>
      </c>
      <c r="AE47">
        <v>15.158854166665401</v>
      </c>
      <c r="AF47">
        <v>0.03881896821302944</v>
      </c>
      <c r="AG47">
        <v>27.146921006993846</v>
      </c>
      <c r="AH47">
        <v>4</v>
      </c>
      <c r="AI47">
        <v>15.207031249998725</v>
      </c>
      <c r="AJ47">
        <v>0.038987259199256386</v>
      </c>
      <c r="AK47">
        <v>27.35728742295767</v>
      </c>
      <c r="AL47">
        <v>16.26151002136117</v>
      </c>
      <c r="AM47">
        <v>22.25130208333472</v>
      </c>
      <c r="AN47">
        <v>0.045381159730190634</v>
      </c>
      <c r="AO47">
        <v>27.945354586200274</v>
      </c>
      <c r="AP47">
        <v>4</v>
      </c>
      <c r="AQ47">
        <v>8.735040018064893</v>
      </c>
      <c r="AR47">
        <v>12</v>
      </c>
      <c r="AS47">
        <v>0.0001</v>
      </c>
      <c r="AT47">
        <v>2</v>
      </c>
      <c r="AU47">
        <v>0.0001</v>
      </c>
      <c r="AV47" t="s">
        <v>64</v>
      </c>
    </row>
    <row r="48" spans="2:48" ht="12.75">
      <c r="B48" t="s">
        <v>66</v>
      </c>
      <c r="C48">
        <v>0.19850313247980703</v>
      </c>
      <c r="D48">
        <v>0.2072742143519206</v>
      </c>
      <c r="E48">
        <v>52706499.27577408</v>
      </c>
      <c r="F48">
        <v>6.29474209678198</v>
      </c>
      <c r="G48">
        <v>1.7044069403508153</v>
      </c>
      <c r="H48">
        <v>0.21207499513012193</v>
      </c>
      <c r="I48">
        <v>2829510611.8506804</v>
      </c>
      <c r="J48">
        <v>6.004246009688144</v>
      </c>
      <c r="K48">
        <v>1.7658468905626328</v>
      </c>
      <c r="L48">
        <v>0.21262556823360695</v>
      </c>
      <c r="M48">
        <v>2912829307.5733614</v>
      </c>
      <c r="N48">
        <v>6.265113448214226</v>
      </c>
      <c r="O48">
        <v>4.551917536670805</v>
      </c>
      <c r="P48">
        <v>0.21772473707632176</v>
      </c>
      <c r="Q48">
        <v>3692781559.3806</v>
      </c>
      <c r="R48">
        <v>4.287662984197657</v>
      </c>
      <c r="S48">
        <v>4.551917536670805</v>
      </c>
      <c r="T48">
        <v>0.21772473707632176</v>
      </c>
      <c r="U48">
        <v>3692781559.3806</v>
      </c>
      <c r="V48">
        <v>4.287662984197657</v>
      </c>
      <c r="W48">
        <v>5.274547261984416</v>
      </c>
      <c r="X48">
        <v>0.22188798190780867</v>
      </c>
      <c r="Y48">
        <v>4292659798.5468793</v>
      </c>
      <c r="Z48">
        <v>3.6247366602720033</v>
      </c>
      <c r="AA48">
        <v>5.284886351521107</v>
      </c>
      <c r="AB48">
        <v>0.2228784752462595</v>
      </c>
      <c r="AC48">
        <v>4428713927.252539</v>
      </c>
      <c r="AD48">
        <v>3.55962921814948</v>
      </c>
      <c r="AE48">
        <v>8.871118732487126</v>
      </c>
      <c r="AF48">
        <v>0.23408164068701612</v>
      </c>
      <c r="AG48">
        <v>4537866198.607838</v>
      </c>
      <c r="AH48">
        <v>1.3560324349425656</v>
      </c>
      <c r="AI48">
        <v>8.871038329688353</v>
      </c>
      <c r="AJ48">
        <v>0.234388112721797</v>
      </c>
      <c r="AK48">
        <v>4569148973.430971</v>
      </c>
      <c r="AL48">
        <v>6.314967835628794</v>
      </c>
      <c r="AM48">
        <v>9.948633769167554</v>
      </c>
      <c r="AN48">
        <v>0.2459876594397969</v>
      </c>
      <c r="AO48">
        <v>4674320291.260076</v>
      </c>
      <c r="AP48">
        <v>1.3526069273399088</v>
      </c>
      <c r="AQ48">
        <v>53.875628117566805</v>
      </c>
      <c r="AR48">
        <v>3.9086007431805716</v>
      </c>
      <c r="AS48">
        <v>131853209.9772765</v>
      </c>
      <c r="AT48">
        <v>4.497843271992694</v>
      </c>
      <c r="AU48">
        <v>0.4768980491429357</v>
      </c>
      <c r="AV48" t="s">
        <v>66</v>
      </c>
    </row>
    <row r="49" spans="2:48" ht="12.75">
      <c r="B49" t="s">
        <v>51</v>
      </c>
      <c r="C49">
        <v>0.0963541666666667</v>
      </c>
      <c r="D49">
        <v>0.024712951176704096</v>
      </c>
      <c r="E49">
        <v>1.2940327872301247</v>
      </c>
      <c r="F49">
        <v>15.004151370165633</v>
      </c>
      <c r="G49">
        <v>0.1979166666666665</v>
      </c>
      <c r="H49">
        <v>0.02501143335010251</v>
      </c>
      <c r="I49">
        <v>1.8484406635674737</v>
      </c>
      <c r="J49">
        <v>6.994654023128474</v>
      </c>
      <c r="K49">
        <v>0.1979166666666665</v>
      </c>
      <c r="L49">
        <v>0.02501538698103762</v>
      </c>
      <c r="M49">
        <v>1.8812586991136986</v>
      </c>
      <c r="N49">
        <v>5.394792610116981</v>
      </c>
      <c r="O49">
        <v>1.4713541666666743</v>
      </c>
      <c r="P49">
        <v>0.026282430796223187</v>
      </c>
      <c r="Q49">
        <v>2.1086054266912497</v>
      </c>
      <c r="R49">
        <v>4</v>
      </c>
      <c r="S49">
        <v>1.4713541666666743</v>
      </c>
      <c r="T49">
        <v>0.026282430796223187</v>
      </c>
      <c r="U49">
        <v>2.1086054266912497</v>
      </c>
      <c r="V49">
        <v>4</v>
      </c>
      <c r="W49">
        <v>2.247395833333342</v>
      </c>
      <c r="X49">
        <v>0.0269826137991498</v>
      </c>
      <c r="Y49">
        <v>2.202291038506373</v>
      </c>
      <c r="Z49">
        <v>4</v>
      </c>
      <c r="AA49">
        <v>2.7734374999999787</v>
      </c>
      <c r="AB49">
        <v>0.027394865087686782</v>
      </c>
      <c r="AC49">
        <v>2.2452772151856792</v>
      </c>
      <c r="AD49">
        <v>5.243399588205409</v>
      </c>
      <c r="AE49">
        <v>7.395703125000295</v>
      </c>
      <c r="AF49">
        <v>0.030753118301374643</v>
      </c>
      <c r="AG49">
        <v>2.2695952018688628</v>
      </c>
      <c r="AH49">
        <v>4</v>
      </c>
      <c r="AI49">
        <v>7.440104166666966</v>
      </c>
      <c r="AJ49">
        <v>0.03084222730689907</v>
      </c>
      <c r="AK49">
        <v>2.2894164776223818</v>
      </c>
      <c r="AL49">
        <v>7.433064017484918</v>
      </c>
      <c r="AM49">
        <v>12.328124999999378</v>
      </c>
      <c r="AN49">
        <v>0.03439353747420892</v>
      </c>
      <c r="AO49">
        <v>2.304179631952816</v>
      </c>
      <c r="AP49">
        <v>4</v>
      </c>
      <c r="AQ49">
        <v>1</v>
      </c>
      <c r="AR49">
        <v>0.94</v>
      </c>
      <c r="AS49">
        <v>0.0001</v>
      </c>
      <c r="AT49">
        <v>1</v>
      </c>
      <c r="AU49">
        <v>0.0001</v>
      </c>
      <c r="AV49" t="s">
        <v>51</v>
      </c>
    </row>
    <row r="50" spans="2:48" ht="12.75">
      <c r="B50" t="s">
        <v>52</v>
      </c>
      <c r="C50">
        <v>0.6822916666666654</v>
      </c>
      <c r="D50">
        <v>0.05321560336856837</v>
      </c>
      <c r="E50">
        <v>191.76372804649657</v>
      </c>
      <c r="F50">
        <v>35.64909613641596</v>
      </c>
      <c r="G50">
        <v>5.5678385416667515</v>
      </c>
      <c r="H50">
        <v>1</v>
      </c>
      <c r="I50">
        <v>152669.47254246598</v>
      </c>
      <c r="J50">
        <v>26.612461982095947</v>
      </c>
      <c r="K50">
        <v>5.877604166666789</v>
      </c>
      <c r="L50">
        <v>1</v>
      </c>
      <c r="M50">
        <v>258029.38909277937</v>
      </c>
      <c r="N50">
        <v>26.16634251149281</v>
      </c>
      <c r="O50">
        <v>11.769661458332818</v>
      </c>
      <c r="P50">
        <v>1</v>
      </c>
      <c r="Q50">
        <v>6295625.401806459</v>
      </c>
      <c r="R50">
        <v>17.634925770561217</v>
      </c>
      <c r="S50">
        <v>11.769661458332818</v>
      </c>
      <c r="T50">
        <v>1</v>
      </c>
      <c r="U50">
        <v>6295625.401806459</v>
      </c>
      <c r="V50">
        <v>17.634925770561217</v>
      </c>
      <c r="W50">
        <v>15.820442708331916</v>
      </c>
      <c r="X50">
        <v>1</v>
      </c>
      <c r="Y50">
        <v>15274727.4737674</v>
      </c>
      <c r="Z50">
        <v>15.973445280150274</v>
      </c>
      <c r="AA50">
        <v>16.351562499998703</v>
      </c>
      <c r="AB50">
        <v>1</v>
      </c>
      <c r="AC50">
        <v>15644495.934816796</v>
      </c>
      <c r="AD50">
        <v>16.804372205029683</v>
      </c>
      <c r="AE50">
        <v>33.62239583333764</v>
      </c>
      <c r="AF50">
        <v>1</v>
      </c>
      <c r="AG50">
        <v>15761402.407172076</v>
      </c>
      <c r="AH50">
        <v>7.806891079865823</v>
      </c>
      <c r="AI50">
        <v>33.705859375004266</v>
      </c>
      <c r="AJ50">
        <v>1</v>
      </c>
      <c r="AK50">
        <v>15777426.342653058</v>
      </c>
      <c r="AL50">
        <v>27.750351330101665</v>
      </c>
      <c r="AM50">
        <v>42.788411458329314</v>
      </c>
      <c r="AN50">
        <v>1</v>
      </c>
      <c r="AO50">
        <v>15801743.299294256</v>
      </c>
      <c r="AP50">
        <v>7.737657560959666</v>
      </c>
      <c r="AQ50">
        <v>102.50686474582693</v>
      </c>
      <c r="AR50">
        <v>12</v>
      </c>
      <c r="AS50">
        <v>12.851961499575918</v>
      </c>
      <c r="AT50">
        <v>11</v>
      </c>
      <c r="AU50">
        <v>0.03142460402770981</v>
      </c>
      <c r="AV50" t="s">
        <v>52</v>
      </c>
    </row>
    <row r="53" spans="3:48" ht="12.75">
      <c r="C53" t="s">
        <v>48</v>
      </c>
      <c r="D53" t="s">
        <v>10</v>
      </c>
      <c r="E53" t="s">
        <v>50</v>
      </c>
      <c r="F53" t="s">
        <v>49</v>
      </c>
      <c r="G53" t="s">
        <v>48</v>
      </c>
      <c r="H53" t="s">
        <v>10</v>
      </c>
      <c r="I53" t="s">
        <v>50</v>
      </c>
      <c r="J53" t="s">
        <v>49</v>
      </c>
      <c r="K53" t="s">
        <v>48</v>
      </c>
      <c r="L53" t="s">
        <v>10</v>
      </c>
      <c r="M53" t="s">
        <v>50</v>
      </c>
      <c r="N53" t="s">
        <v>49</v>
      </c>
      <c r="O53" t="s">
        <v>48</v>
      </c>
      <c r="P53" t="s">
        <v>10</v>
      </c>
      <c r="Q53" t="s">
        <v>50</v>
      </c>
      <c r="R53" t="s">
        <v>49</v>
      </c>
      <c r="S53" t="s">
        <v>48</v>
      </c>
      <c r="T53" t="s">
        <v>10</v>
      </c>
      <c r="U53" t="s">
        <v>50</v>
      </c>
      <c r="V53" t="s">
        <v>49</v>
      </c>
      <c r="W53" t="s">
        <v>48</v>
      </c>
      <c r="X53" t="s">
        <v>10</v>
      </c>
      <c r="Y53" t="s">
        <v>50</v>
      </c>
      <c r="Z53" t="s">
        <v>49</v>
      </c>
      <c r="AA53" t="s">
        <v>48</v>
      </c>
      <c r="AB53" t="s">
        <v>10</v>
      </c>
      <c r="AC53" t="s">
        <v>50</v>
      </c>
      <c r="AD53" t="s">
        <v>49</v>
      </c>
      <c r="AE53" t="s">
        <v>48</v>
      </c>
      <c r="AF53" t="s">
        <v>10</v>
      </c>
      <c r="AG53" t="s">
        <v>50</v>
      </c>
      <c r="AH53" t="s">
        <v>49</v>
      </c>
      <c r="AI53" t="s">
        <v>48</v>
      </c>
      <c r="AJ53" t="s">
        <v>10</v>
      </c>
      <c r="AK53" t="s">
        <v>50</v>
      </c>
      <c r="AL53" t="s">
        <v>49</v>
      </c>
      <c r="AM53" t="s">
        <v>48</v>
      </c>
      <c r="AN53" t="s">
        <v>10</v>
      </c>
      <c r="AO53" t="s">
        <v>50</v>
      </c>
      <c r="AP53" t="s">
        <v>49</v>
      </c>
      <c r="AQ53" t="s">
        <v>135</v>
      </c>
      <c r="AR53" t="s">
        <v>134</v>
      </c>
      <c r="AS53" t="s">
        <v>50</v>
      </c>
      <c r="AT53" t="s">
        <v>140</v>
      </c>
      <c r="AU53" t="s">
        <v>141</v>
      </c>
      <c r="AV53">
        <v>7.949237215846194E-06</v>
      </c>
    </row>
    <row r="54" spans="2:48" ht="12.75">
      <c r="B54" t="s">
        <v>65</v>
      </c>
      <c r="C54">
        <v>0.32162916666666747</v>
      </c>
      <c r="D54">
        <v>0.07087575995342313</v>
      </c>
      <c r="E54">
        <v>75883.80842081612</v>
      </c>
      <c r="F54">
        <v>24.516582309425942</v>
      </c>
      <c r="G54">
        <v>2.4352749999999976</v>
      </c>
      <c r="H54">
        <v>0.07561189006792032</v>
      </c>
      <c r="I54">
        <v>144065841.6516545</v>
      </c>
      <c r="J54">
        <v>14.744712533062591</v>
      </c>
      <c r="K54">
        <v>2.6890125000000014</v>
      </c>
      <c r="L54">
        <v>0.07660533541663057</v>
      </c>
      <c r="M54">
        <v>148243149.92079717</v>
      </c>
      <c r="N54">
        <v>12.697789961865753</v>
      </c>
      <c r="O54">
        <v>5.0678874999999834</v>
      </c>
      <c r="P54">
        <v>0.08167847484435206</v>
      </c>
      <c r="Q54">
        <v>215011199.57260615</v>
      </c>
      <c r="R54">
        <v>9.795677171818133</v>
      </c>
      <c r="S54">
        <v>5.0678874999999834</v>
      </c>
      <c r="T54">
        <v>0.08167847484435206</v>
      </c>
      <c r="U54">
        <v>215011199.57260615</v>
      </c>
      <c r="V54">
        <v>9.795677171818133</v>
      </c>
      <c r="W54">
        <v>7.071716666666642</v>
      </c>
      <c r="X54">
        <v>0.08572020248178265</v>
      </c>
      <c r="Y54">
        <v>319853283.6143811</v>
      </c>
      <c r="Z54">
        <v>9.45014073108657</v>
      </c>
      <c r="AA54">
        <v>7.66181666666666</v>
      </c>
      <c r="AB54">
        <v>0.08667229930265372</v>
      </c>
      <c r="AC54">
        <v>328919941.5519443</v>
      </c>
      <c r="AD54">
        <v>10.484836253229908</v>
      </c>
      <c r="AE54">
        <v>17.15476250000007</v>
      </c>
      <c r="AF54">
        <v>0.1007520396434961</v>
      </c>
      <c r="AG54">
        <v>351856017.20992076</v>
      </c>
      <c r="AH54">
        <v>4.88862956411487</v>
      </c>
      <c r="AI54">
        <v>17.20214999999998</v>
      </c>
      <c r="AJ54">
        <v>0.1015160759773315</v>
      </c>
      <c r="AK54">
        <v>356663788.3553697</v>
      </c>
      <c r="AL54">
        <v>16.16744683723919</v>
      </c>
      <c r="AM54">
        <v>24.20299166666677</v>
      </c>
      <c r="AN54">
        <v>0.114860688374344</v>
      </c>
      <c r="AO54">
        <v>370469932.94252753</v>
      </c>
      <c r="AP54">
        <v>4.8272330880338</v>
      </c>
      <c r="AQ54">
        <v>25.34675443054936</v>
      </c>
      <c r="AR54">
        <v>8.56112077777756</v>
      </c>
      <c r="AS54">
        <v>3337218.188350741</v>
      </c>
      <c r="AT54">
        <v>3.2164</v>
      </c>
      <c r="AU54">
        <v>0.026700615940003662</v>
      </c>
      <c r="AV54" t="s">
        <v>65</v>
      </c>
    </row>
    <row r="55" spans="2:48" ht="12.75">
      <c r="B55" t="s">
        <v>64</v>
      </c>
      <c r="C55">
        <v>0.29166666666666663</v>
      </c>
      <c r="D55">
        <v>0.024889576269329527</v>
      </c>
      <c r="E55">
        <v>9.465904925277464</v>
      </c>
      <c r="F55">
        <v>24.064258274549147</v>
      </c>
      <c r="G55">
        <v>2.1666666666666674</v>
      </c>
      <c r="H55">
        <v>0.027043051084386815</v>
      </c>
      <c r="I55">
        <v>11.05326420488511</v>
      </c>
      <c r="J55">
        <v>13.777159352651331</v>
      </c>
      <c r="K55">
        <v>2.458333333333333</v>
      </c>
      <c r="L55">
        <v>0.02729410032766233</v>
      </c>
      <c r="M55">
        <v>10.949726391490241</v>
      </c>
      <c r="N55">
        <v>11.261317199322622</v>
      </c>
      <c r="O55">
        <v>3.9999999999999942</v>
      </c>
      <c r="P55">
        <v>0.028966794660329587</v>
      </c>
      <c r="Q55">
        <v>11.744658580872043</v>
      </c>
      <c r="R55">
        <v>9.234262704287875</v>
      </c>
      <c r="S55">
        <v>3.9999999999999942</v>
      </c>
      <c r="T55">
        <v>0.028966794660329587</v>
      </c>
      <c r="U55">
        <v>11.744658580872043</v>
      </c>
      <c r="V55">
        <v>9.234262704287875</v>
      </c>
      <c r="W55">
        <v>5.750000000000006</v>
      </c>
      <c r="X55">
        <v>0.030627462070987932</v>
      </c>
      <c r="Y55">
        <v>12.29160927218796</v>
      </c>
      <c r="Z55">
        <v>9.102120887452424</v>
      </c>
      <c r="AA55">
        <v>6.333333333333344</v>
      </c>
      <c r="AB55">
        <v>0.03121187451240759</v>
      </c>
      <c r="AC55">
        <v>12.514470622851437</v>
      </c>
      <c r="AD55">
        <v>10.14324214518675</v>
      </c>
      <c r="AE55">
        <v>15.166666666666586</v>
      </c>
      <c r="AF55">
        <v>0.03816493284435496</v>
      </c>
      <c r="AG55">
        <v>12.721951586253649</v>
      </c>
      <c r="AH55">
        <v>4</v>
      </c>
      <c r="AI55">
        <v>15.208333333333252</v>
      </c>
      <c r="AJ55">
        <v>0.03851572677371412</v>
      </c>
      <c r="AK55">
        <v>12.788091325911235</v>
      </c>
      <c r="AL55">
        <v>16.257602302918823</v>
      </c>
      <c r="AM55">
        <v>22.27083333333342</v>
      </c>
      <c r="AN55">
        <v>0.044838241366164266</v>
      </c>
      <c r="AO55">
        <v>12.91682208112775</v>
      </c>
      <c r="AP55">
        <v>4</v>
      </c>
      <c r="AQ55">
        <v>8.735040018064893</v>
      </c>
      <c r="AR55">
        <v>12</v>
      </c>
      <c r="AS55">
        <v>0.0001</v>
      </c>
      <c r="AT55">
        <v>2</v>
      </c>
      <c r="AU55">
        <v>0.0001</v>
      </c>
      <c r="AV55" t="s">
        <v>64</v>
      </c>
    </row>
    <row r="56" spans="2:48" ht="12.75">
      <c r="B56" t="s">
        <v>66</v>
      </c>
      <c r="C56">
        <v>0.19871929260064097</v>
      </c>
      <c r="D56">
        <v>0.20593791263414993</v>
      </c>
      <c r="E56">
        <v>6354634.970565932</v>
      </c>
      <c r="F56">
        <v>6.316185456058406</v>
      </c>
      <c r="G56">
        <v>1.7044930889138583</v>
      </c>
      <c r="H56">
        <v>0.21080097851036944</v>
      </c>
      <c r="I56">
        <v>2342964032.960697</v>
      </c>
      <c r="J56">
        <v>5.983963001906667</v>
      </c>
      <c r="K56">
        <v>1.7660204826609638</v>
      </c>
      <c r="L56">
        <v>0.21236180716093836</v>
      </c>
      <c r="M56">
        <v>2374208462.190342</v>
      </c>
      <c r="N56">
        <v>6.240650147615072</v>
      </c>
      <c r="O56">
        <v>4.551943869836444</v>
      </c>
      <c r="P56">
        <v>0.21728616464818146</v>
      </c>
      <c r="Q56">
        <v>2846527177.2341514</v>
      </c>
      <c r="R56">
        <v>4.284754582833727</v>
      </c>
      <c r="S56">
        <v>4.551943869836444</v>
      </c>
      <c r="T56">
        <v>0.21728616464818146</v>
      </c>
      <c r="U56">
        <v>2846527177.2341514</v>
      </c>
      <c r="V56">
        <v>4.284754582833727</v>
      </c>
      <c r="W56">
        <v>5.274510497481734</v>
      </c>
      <c r="X56">
        <v>0.22128085444367104</v>
      </c>
      <c r="Y56">
        <v>3480026074.6363864</v>
      </c>
      <c r="Z56">
        <v>3.624641485126294</v>
      </c>
      <c r="AA56">
        <v>5.284972286654806</v>
      </c>
      <c r="AB56">
        <v>0.22190248374954677</v>
      </c>
      <c r="AC56">
        <v>3519408923.8476925</v>
      </c>
      <c r="AD56">
        <v>3.558908733898522</v>
      </c>
      <c r="AE56">
        <v>8.87114817022521</v>
      </c>
      <c r="AF56">
        <v>0.2330329774323352</v>
      </c>
      <c r="AG56">
        <v>3634783055.576015</v>
      </c>
      <c r="AH56">
        <v>1.3560842359263743</v>
      </c>
      <c r="AI56">
        <v>8.871177303684672</v>
      </c>
      <c r="AJ56">
        <v>0.23382390667030872</v>
      </c>
      <c r="AK56">
        <v>3664154213.9555097</v>
      </c>
      <c r="AL56">
        <v>7.148832983257819</v>
      </c>
      <c r="AM56">
        <v>9.948625998613073</v>
      </c>
      <c r="AN56">
        <v>0.24454221892212308</v>
      </c>
      <c r="AO56">
        <v>3734395703.5769014</v>
      </c>
      <c r="AP56">
        <v>1.3526079907333037</v>
      </c>
      <c r="AQ56">
        <v>53.875628117566805</v>
      </c>
      <c r="AR56">
        <v>3.9086007431805716</v>
      </c>
      <c r="AS56">
        <v>103364472.33774158</v>
      </c>
      <c r="AT56">
        <v>4.497843271992694</v>
      </c>
      <c r="AU56">
        <v>0.31934036618173706</v>
      </c>
      <c r="AV56" t="s">
        <v>66</v>
      </c>
    </row>
    <row r="57" spans="2:48" ht="12.75">
      <c r="B57" t="s">
        <v>51</v>
      </c>
      <c r="C57">
        <v>0.125</v>
      </c>
      <c r="D57">
        <v>0.024378382654471537</v>
      </c>
      <c r="E57">
        <v>1</v>
      </c>
      <c r="F57">
        <v>14.87165173795306</v>
      </c>
      <c r="G57">
        <v>0.20833333333333331</v>
      </c>
      <c r="H57">
        <v>0.024574660017484123</v>
      </c>
      <c r="I57">
        <v>1</v>
      </c>
      <c r="J57">
        <v>6.994654023128468</v>
      </c>
      <c r="K57">
        <v>0.20833333333333331</v>
      </c>
      <c r="L57">
        <v>0.024575323937415343</v>
      </c>
      <c r="M57">
        <v>1</v>
      </c>
      <c r="N57">
        <v>5.399568204978823</v>
      </c>
      <c r="O57">
        <v>1.5</v>
      </c>
      <c r="P57">
        <v>0.025866396809874286</v>
      </c>
      <c r="Q57">
        <v>1</v>
      </c>
      <c r="R57">
        <v>4</v>
      </c>
      <c r="S57">
        <v>1.5</v>
      </c>
      <c r="T57">
        <v>0.025866396809874286</v>
      </c>
      <c r="U57">
        <v>1</v>
      </c>
      <c r="V57">
        <v>4</v>
      </c>
      <c r="W57">
        <v>2.25</v>
      </c>
      <c r="X57">
        <v>0.026497682217898645</v>
      </c>
      <c r="Y57">
        <v>1</v>
      </c>
      <c r="Z57">
        <v>4</v>
      </c>
      <c r="AA57">
        <v>2.791666666666665</v>
      </c>
      <c r="AB57">
        <v>0.02691271762666366</v>
      </c>
      <c r="AC57">
        <v>1</v>
      </c>
      <c r="AD57">
        <v>5.246403537017159</v>
      </c>
      <c r="AE57">
        <v>7.416666666666685</v>
      </c>
      <c r="AF57">
        <v>0.03025596504036986</v>
      </c>
      <c r="AG57">
        <v>1</v>
      </c>
      <c r="AH57">
        <v>4</v>
      </c>
      <c r="AI57">
        <v>7.458333333333352</v>
      </c>
      <c r="AJ57">
        <v>0.03039245729575136</v>
      </c>
      <c r="AK57">
        <v>1</v>
      </c>
      <c r="AL57">
        <v>4.167921933870836</v>
      </c>
      <c r="AM57">
        <v>12.333333333333293</v>
      </c>
      <c r="AN57">
        <v>0.03392711965458979</v>
      </c>
      <c r="AO57">
        <v>1</v>
      </c>
      <c r="AP57">
        <v>4</v>
      </c>
      <c r="AQ57">
        <v>1</v>
      </c>
      <c r="AR57">
        <v>0.94</v>
      </c>
      <c r="AS57">
        <v>0.0001</v>
      </c>
      <c r="AT57">
        <v>1</v>
      </c>
      <c r="AU57">
        <v>0.0001</v>
      </c>
      <c r="AV57" t="s">
        <v>51</v>
      </c>
    </row>
    <row r="58" spans="2:48" ht="12.75">
      <c r="B58" t="s">
        <v>52</v>
      </c>
      <c r="C58">
        <v>0.7083333333333331</v>
      </c>
      <c r="D58">
        <v>0.04810497443481937</v>
      </c>
      <c r="E58">
        <v>117.77083566785177</v>
      </c>
      <c r="F58">
        <v>35.643524615239585</v>
      </c>
      <c r="G58">
        <v>5.583333333333338</v>
      </c>
      <c r="H58">
        <v>0.0786423479094479</v>
      </c>
      <c r="I58">
        <v>380.2475996191469</v>
      </c>
      <c r="J58">
        <v>26.462692505793402</v>
      </c>
      <c r="K58">
        <v>5.916666666666674</v>
      </c>
      <c r="L58">
        <v>1</v>
      </c>
      <c r="M58">
        <v>372.7683688035846</v>
      </c>
      <c r="N58">
        <v>26.047932238643558</v>
      </c>
      <c r="O58">
        <v>11.793749999999937</v>
      </c>
      <c r="P58">
        <v>1</v>
      </c>
      <c r="Q58">
        <v>4876.1596680622</v>
      </c>
      <c r="R58">
        <v>17.623530408364466</v>
      </c>
      <c r="S58">
        <v>11.793749999999937</v>
      </c>
      <c r="T58">
        <v>1</v>
      </c>
      <c r="U58">
        <v>4876.1596680622</v>
      </c>
      <c r="V58">
        <v>17.623530408364466</v>
      </c>
      <c r="W58">
        <v>15.833333333333243</v>
      </c>
      <c r="X58">
        <v>1</v>
      </c>
      <c r="Y58">
        <v>148687.97136431554</v>
      </c>
      <c r="Z58">
        <v>15.962490661389673</v>
      </c>
      <c r="AA58">
        <v>16.37499999999992</v>
      </c>
      <c r="AB58">
        <v>1</v>
      </c>
      <c r="AC58">
        <v>344590.31958857266</v>
      </c>
      <c r="AD58">
        <v>16.787974856838563</v>
      </c>
      <c r="AE58">
        <v>33.629166666666876</v>
      </c>
      <c r="AF58">
        <v>1</v>
      </c>
      <c r="AG58">
        <v>723755.7356244067</v>
      </c>
      <c r="AH58">
        <v>7.806891087331465</v>
      </c>
      <c r="AI58">
        <v>33.7083333333336</v>
      </c>
      <c r="AJ58">
        <v>1</v>
      </c>
      <c r="AK58">
        <v>1097503.1093975164</v>
      </c>
      <c r="AL58">
        <v>28.071166273781895</v>
      </c>
      <c r="AM58">
        <v>42.79374999999972</v>
      </c>
      <c r="AN58">
        <v>1</v>
      </c>
      <c r="AO58">
        <v>1609512.5630051233</v>
      </c>
      <c r="AP58">
        <v>7.737657560959656</v>
      </c>
      <c r="AQ58">
        <v>102.50686474582693</v>
      </c>
      <c r="AR58">
        <v>12</v>
      </c>
      <c r="AS58">
        <v>2.3607935354893064</v>
      </c>
      <c r="AT58">
        <v>11</v>
      </c>
      <c r="AU58">
        <v>0.005976964373340769</v>
      </c>
      <c r="AV58" t="s">
        <v>52</v>
      </c>
    </row>
    <row r="61" spans="3:51" ht="12.75">
      <c r="C61" t="s">
        <v>48</v>
      </c>
      <c r="D61" t="s">
        <v>10</v>
      </c>
      <c r="E61" t="s">
        <v>50</v>
      </c>
      <c r="F61" t="s">
        <v>49</v>
      </c>
      <c r="G61" t="s">
        <v>48</v>
      </c>
      <c r="H61" t="s">
        <v>10</v>
      </c>
      <c r="I61" t="s">
        <v>50</v>
      </c>
      <c r="J61" t="s">
        <v>49</v>
      </c>
      <c r="K61" t="s">
        <v>48</v>
      </c>
      <c r="L61" t="s">
        <v>10</v>
      </c>
      <c r="M61" t="s">
        <v>50</v>
      </c>
      <c r="N61" t="s">
        <v>49</v>
      </c>
      <c r="O61" t="s">
        <v>48</v>
      </c>
      <c r="P61" t="s">
        <v>10</v>
      </c>
      <c r="Q61" t="s">
        <v>50</v>
      </c>
      <c r="R61" t="s">
        <v>49</v>
      </c>
      <c r="S61" t="s">
        <v>48</v>
      </c>
      <c r="T61" t="s">
        <v>10</v>
      </c>
      <c r="U61" t="s">
        <v>50</v>
      </c>
      <c r="V61" t="s">
        <v>49</v>
      </c>
      <c r="W61" t="s">
        <v>48</v>
      </c>
      <c r="X61" t="s">
        <v>10</v>
      </c>
      <c r="Y61" t="s">
        <v>50</v>
      </c>
      <c r="Z61" t="s">
        <v>49</v>
      </c>
      <c r="AA61" t="s">
        <v>48</v>
      </c>
      <c r="AB61" t="s">
        <v>10</v>
      </c>
      <c r="AC61" t="s">
        <v>50</v>
      </c>
      <c r="AD61" t="s">
        <v>49</v>
      </c>
      <c r="AE61" t="s">
        <v>48</v>
      </c>
      <c r="AF61" t="s">
        <v>10</v>
      </c>
      <c r="AG61" t="s">
        <v>50</v>
      </c>
      <c r="AH61" t="s">
        <v>49</v>
      </c>
      <c r="AI61" t="s">
        <v>48</v>
      </c>
      <c r="AJ61" t="s">
        <v>10</v>
      </c>
      <c r="AK61" t="s">
        <v>50</v>
      </c>
      <c r="AL61" t="s">
        <v>49</v>
      </c>
      <c r="AM61" t="s">
        <v>48</v>
      </c>
      <c r="AN61" t="s">
        <v>10</v>
      </c>
      <c r="AO61" t="s">
        <v>50</v>
      </c>
      <c r="AP61" t="s">
        <v>49</v>
      </c>
      <c r="AQ61" t="s">
        <v>135</v>
      </c>
      <c r="AR61" t="s">
        <v>134</v>
      </c>
      <c r="AS61" t="s">
        <v>50</v>
      </c>
      <c r="AT61" t="s">
        <v>140</v>
      </c>
      <c r="AU61" t="s">
        <v>141</v>
      </c>
      <c r="AV61">
        <v>8.146577217651768E-06</v>
      </c>
      <c r="AW61">
        <f>AV61/$AV$53</f>
        <v>1.0248250236402798</v>
      </c>
      <c r="AX61" s="242">
        <f>(AV61-AV53)/AV53</f>
        <v>0.02482502364027989</v>
      </c>
      <c r="AY61" s="242">
        <f>(AV61-$AV$53)/$AV$53</f>
        <v>0.02482502364027989</v>
      </c>
    </row>
    <row r="62" spans="2:48" ht="12.75">
      <c r="B62" t="s">
        <v>65</v>
      </c>
      <c r="C62">
        <v>0.311235416666667</v>
      </c>
      <c r="D62">
        <v>0.07121328373368228</v>
      </c>
      <c r="E62">
        <v>96826.69449599262</v>
      </c>
      <c r="F62">
        <v>24.566111141678473</v>
      </c>
      <c r="G62">
        <v>2.4249208333333336</v>
      </c>
      <c r="H62">
        <v>0.07606456683666882</v>
      </c>
      <c r="I62">
        <v>147881628.51692578</v>
      </c>
      <c r="J62">
        <v>14.75139975324192</v>
      </c>
      <c r="K62">
        <v>2.6786229166666695</v>
      </c>
      <c r="L62">
        <v>0.07686482202918435</v>
      </c>
      <c r="M62">
        <v>152001271.45155483</v>
      </c>
      <c r="N62">
        <v>12.701070966275452</v>
      </c>
      <c r="O62">
        <v>5.057477083333332</v>
      </c>
      <c r="P62">
        <v>0.08185000177388647</v>
      </c>
      <c r="Q62">
        <v>225288650.80054277</v>
      </c>
      <c r="R62">
        <v>9.796870725235241</v>
      </c>
      <c r="S62">
        <v>5.057477083333332</v>
      </c>
      <c r="T62">
        <v>0.08185000177388647</v>
      </c>
      <c r="U62">
        <v>225288650.80054277</v>
      </c>
      <c r="V62">
        <v>9.796870725235241</v>
      </c>
      <c r="W62">
        <v>7.061141666666657</v>
      </c>
      <c r="X62">
        <v>0.08608645512802854</v>
      </c>
      <c r="Y62">
        <v>330827960.00684714</v>
      </c>
      <c r="Z62">
        <v>9.449400820050148</v>
      </c>
      <c r="AA62">
        <v>7.651393750000003</v>
      </c>
      <c r="AB62">
        <v>0.08713246115158611</v>
      </c>
      <c r="AC62">
        <v>349741908.58905053</v>
      </c>
      <c r="AD62">
        <v>10.485526510231688</v>
      </c>
      <c r="AE62">
        <v>17.14421875</v>
      </c>
      <c r="AF62">
        <v>0.10102302798532992</v>
      </c>
      <c r="AG62">
        <v>373085938.6958298</v>
      </c>
      <c r="AH62">
        <v>4.888620658225056</v>
      </c>
      <c r="AI62">
        <v>17.191662500000017</v>
      </c>
      <c r="AJ62">
        <v>0.10161000760749207</v>
      </c>
      <c r="AK62">
        <v>375190860.855783</v>
      </c>
      <c r="AL62">
        <v>16.527112815433192</v>
      </c>
      <c r="AM62">
        <v>24.192329166666685</v>
      </c>
      <c r="AN62">
        <v>0.11525891379364157</v>
      </c>
      <c r="AO62">
        <v>388724237.7019709</v>
      </c>
      <c r="AP62">
        <v>4.827231762688862</v>
      </c>
      <c r="AQ62">
        <v>25.34675443054936</v>
      </c>
      <c r="AR62">
        <v>8.56112077777756</v>
      </c>
      <c r="AS62">
        <v>3430122.5418911437</v>
      </c>
      <c r="AT62">
        <v>3.2164</v>
      </c>
      <c r="AU62">
        <v>0.027363459361924292</v>
      </c>
      <c r="AV62" t="s">
        <v>65</v>
      </c>
    </row>
    <row r="63" spans="2:48" ht="12.75">
      <c r="B63" t="s">
        <v>64</v>
      </c>
      <c r="C63">
        <v>0.2708333333333333</v>
      </c>
      <c r="D63">
        <v>0.025004866650251478</v>
      </c>
      <c r="E63">
        <v>9.55321014846716</v>
      </c>
      <c r="F63">
        <v>24.122029956944978</v>
      </c>
      <c r="G63">
        <v>2.1458333333333313</v>
      </c>
      <c r="H63">
        <v>0.02717315848585461</v>
      </c>
      <c r="I63">
        <v>11.137564323848958</v>
      </c>
      <c r="J63">
        <v>13.775744733636138</v>
      </c>
      <c r="K63">
        <v>2.447916666666667</v>
      </c>
      <c r="L63">
        <v>0.02743846992139115</v>
      </c>
      <c r="M63">
        <v>11.101262571193276</v>
      </c>
      <c r="N63">
        <v>11.25602442202754</v>
      </c>
      <c r="O63">
        <v>3.9791666666666776</v>
      </c>
      <c r="P63">
        <v>0.029120067258861793</v>
      </c>
      <c r="Q63">
        <v>11.852142878241889</v>
      </c>
      <c r="R63">
        <v>9.24031796430851</v>
      </c>
      <c r="S63">
        <v>3.9791666666666776</v>
      </c>
      <c r="T63">
        <v>0.029120067258861793</v>
      </c>
      <c r="U63">
        <v>11.852142878241889</v>
      </c>
      <c r="V63">
        <v>9.24031796430851</v>
      </c>
      <c r="W63">
        <v>5.729166666666653</v>
      </c>
      <c r="X63">
        <v>0.03080080106895855</v>
      </c>
      <c r="Y63">
        <v>12.412815650355878</v>
      </c>
      <c r="Z63">
        <v>9.099436270653527</v>
      </c>
      <c r="AA63">
        <v>6.333333333333311</v>
      </c>
      <c r="AB63">
        <v>0.03138031893925036</v>
      </c>
      <c r="AC63">
        <v>12.619033961698495</v>
      </c>
      <c r="AD63">
        <v>10.14049268783112</v>
      </c>
      <c r="AE63">
        <v>15.166666666666824</v>
      </c>
      <c r="AF63">
        <v>0.03834269253628486</v>
      </c>
      <c r="AG63">
        <v>12.894026216140237</v>
      </c>
      <c r="AH63">
        <v>4</v>
      </c>
      <c r="AI63">
        <v>15.208333333333492</v>
      </c>
      <c r="AJ63">
        <v>0.03859716144053993</v>
      </c>
      <c r="AK63">
        <v>12.961016690710363</v>
      </c>
      <c r="AL63">
        <v>15.994867942520568</v>
      </c>
      <c r="AM63">
        <v>22.260416666666494</v>
      </c>
      <c r="AN63">
        <v>0.04490204800120867</v>
      </c>
      <c r="AO63">
        <v>13.050946539780327</v>
      </c>
      <c r="AP63">
        <v>4</v>
      </c>
      <c r="AQ63">
        <v>8.735040018064893</v>
      </c>
      <c r="AR63">
        <v>12</v>
      </c>
      <c r="AS63">
        <v>0.0001</v>
      </c>
      <c r="AT63">
        <v>2</v>
      </c>
      <c r="AU63">
        <v>0.0001</v>
      </c>
      <c r="AV63" t="s">
        <v>64</v>
      </c>
    </row>
    <row r="64" spans="2:48" ht="12.75">
      <c r="B64" t="s">
        <v>66</v>
      </c>
      <c r="C64">
        <v>0.1986540079606066</v>
      </c>
      <c r="D64">
        <v>0.20632600136140383</v>
      </c>
      <c r="E64">
        <v>8012871.080284417</v>
      </c>
      <c r="F64">
        <v>6.3049080407069455</v>
      </c>
      <c r="G64">
        <v>1.7044846635995468</v>
      </c>
      <c r="H64">
        <v>0.21137163992813787</v>
      </c>
      <c r="I64">
        <v>2369493914.6497693</v>
      </c>
      <c r="J64">
        <v>5.993310923030214</v>
      </c>
      <c r="K64">
        <v>1.7658444152710369</v>
      </c>
      <c r="L64">
        <v>0.21252667260542465</v>
      </c>
      <c r="M64">
        <v>2399565091.5006003</v>
      </c>
      <c r="N64">
        <v>6.251228324501779</v>
      </c>
      <c r="O64">
        <v>4.551793210970458</v>
      </c>
      <c r="P64">
        <v>0.21724981962680437</v>
      </c>
      <c r="Q64">
        <v>2901288464.224665</v>
      </c>
      <c r="R64">
        <v>4.285360658760201</v>
      </c>
      <c r="S64">
        <v>4.551793210970458</v>
      </c>
      <c r="T64">
        <v>0.21724981962680437</v>
      </c>
      <c r="U64">
        <v>2901288464.224665</v>
      </c>
      <c r="V64">
        <v>4.285360658760201</v>
      </c>
      <c r="W64">
        <v>5.274473540958245</v>
      </c>
      <c r="X64">
        <v>0.2216193455440806</v>
      </c>
      <c r="Y64">
        <v>3528552817.4156103</v>
      </c>
      <c r="Z64">
        <v>3.624874474836368</v>
      </c>
      <c r="AA64">
        <v>5.2849597309616145</v>
      </c>
      <c r="AB64">
        <v>0.22242639211225373</v>
      </c>
      <c r="AC64">
        <v>3630904079.6910815</v>
      </c>
      <c r="AD64">
        <v>3.5594970257773815</v>
      </c>
      <c r="AE64">
        <v>8.871118116756625</v>
      </c>
      <c r="AF64">
        <v>0.2331645242952982</v>
      </c>
      <c r="AG64">
        <v>3753172972.723046</v>
      </c>
      <c r="AH64">
        <v>1.3560296364083835</v>
      </c>
      <c r="AI64">
        <v>8.87107235618765</v>
      </c>
      <c r="AJ64">
        <v>0.23380299340947713</v>
      </c>
      <c r="AK64">
        <v>3763007170.0476003</v>
      </c>
      <c r="AL64">
        <v>6.48181571787998</v>
      </c>
      <c r="AM64">
        <v>9.94862869087433</v>
      </c>
      <c r="AN64">
        <v>0.24499215025281668</v>
      </c>
      <c r="AO64">
        <v>3825139383.1003947</v>
      </c>
      <c r="AP64">
        <v>1.3526091531884292</v>
      </c>
      <c r="AQ64">
        <v>53.875628117566805</v>
      </c>
      <c r="AR64">
        <v>3.9086007431805716</v>
      </c>
      <c r="AS64">
        <v>104005276.20750557</v>
      </c>
      <c r="AT64">
        <v>4.497843271992694</v>
      </c>
      <c r="AU64">
        <v>0.32188210443402965</v>
      </c>
      <c r="AV64" t="s">
        <v>66</v>
      </c>
    </row>
    <row r="65" spans="2:48" ht="12.75">
      <c r="B65" t="s">
        <v>51</v>
      </c>
      <c r="C65">
        <v>0.10416666666666666</v>
      </c>
      <c r="D65">
        <v>0.024438730620109102</v>
      </c>
      <c r="E65">
        <v>1</v>
      </c>
      <c r="F65">
        <v>14.947580933327004</v>
      </c>
      <c r="G65">
        <v>0.20833333333333334</v>
      </c>
      <c r="H65">
        <v>0.02466275036255608</v>
      </c>
      <c r="I65">
        <v>1</v>
      </c>
      <c r="J65">
        <v>6.994654023128469</v>
      </c>
      <c r="K65">
        <v>0.20833333333333334</v>
      </c>
      <c r="L65">
        <v>0.02466433763083557</v>
      </c>
      <c r="M65">
        <v>1</v>
      </c>
      <c r="N65">
        <v>5.402673694015051</v>
      </c>
      <c r="O65">
        <v>1.4791666666666656</v>
      </c>
      <c r="P65">
        <v>0.025952298707041483</v>
      </c>
      <c r="Q65">
        <v>1</v>
      </c>
      <c r="R65">
        <v>4</v>
      </c>
      <c r="S65">
        <v>1.4791666666666656</v>
      </c>
      <c r="T65">
        <v>0.025952298707041483</v>
      </c>
      <c r="U65">
        <v>1</v>
      </c>
      <c r="V65">
        <v>4</v>
      </c>
      <c r="W65">
        <v>2.25</v>
      </c>
      <c r="X65">
        <v>0.026615729659578934</v>
      </c>
      <c r="Y65">
        <v>1</v>
      </c>
      <c r="Z65">
        <v>4</v>
      </c>
      <c r="AA65">
        <v>2.791666666666669</v>
      </c>
      <c r="AB65">
        <v>0.027024273311391112</v>
      </c>
      <c r="AC65">
        <v>1</v>
      </c>
      <c r="AD65">
        <v>5.244583819862584</v>
      </c>
      <c r="AE65">
        <v>7.395833333333296</v>
      </c>
      <c r="AF65">
        <v>0.030380061984046202</v>
      </c>
      <c r="AG65">
        <v>1</v>
      </c>
      <c r="AH65">
        <v>4</v>
      </c>
      <c r="AI65">
        <v>7.458333333333295</v>
      </c>
      <c r="AJ65">
        <v>0.03048141909367607</v>
      </c>
      <c r="AK65">
        <v>1</v>
      </c>
      <c r="AL65">
        <v>7.267533988307578</v>
      </c>
      <c r="AM65">
        <v>12.33333333333341</v>
      </c>
      <c r="AN65">
        <v>0.03405110077298292</v>
      </c>
      <c r="AO65">
        <v>1</v>
      </c>
      <c r="AP65">
        <v>4</v>
      </c>
      <c r="AQ65">
        <v>1</v>
      </c>
      <c r="AR65">
        <v>0.94</v>
      </c>
      <c r="AS65">
        <v>0.0001</v>
      </c>
      <c r="AT65">
        <v>1</v>
      </c>
      <c r="AU65">
        <v>0.0001</v>
      </c>
      <c r="AV65" t="s">
        <v>51</v>
      </c>
    </row>
    <row r="66" spans="2:48" ht="12.75">
      <c r="B66" t="s">
        <v>52</v>
      </c>
      <c r="C66">
        <v>0.6875</v>
      </c>
      <c r="D66">
        <v>0.04933856213271214</v>
      </c>
      <c r="E66">
        <v>119.53973871429059</v>
      </c>
      <c r="F66">
        <v>35.64352779636573</v>
      </c>
      <c r="G66">
        <v>5.5833333333333215</v>
      </c>
      <c r="H66">
        <v>0.09547715902074906</v>
      </c>
      <c r="I66">
        <v>445.144628586204</v>
      </c>
      <c r="J66">
        <v>26.561852445300914</v>
      </c>
      <c r="K66">
        <v>5.895833333333317</v>
      </c>
      <c r="L66">
        <v>1</v>
      </c>
      <c r="M66">
        <v>432.63511776938327</v>
      </c>
      <c r="N66">
        <v>26.10173351023234</v>
      </c>
      <c r="O66">
        <v>11.772916666666697</v>
      </c>
      <c r="P66">
        <v>1</v>
      </c>
      <c r="Q66">
        <v>9033.875533762195</v>
      </c>
      <c r="R66">
        <v>17.6246838269891</v>
      </c>
      <c r="S66">
        <v>11.772916666666697</v>
      </c>
      <c r="T66">
        <v>1</v>
      </c>
      <c r="U66">
        <v>9033.875533762195</v>
      </c>
      <c r="V66">
        <v>17.6246838269891</v>
      </c>
      <c r="W66">
        <v>15.83333333333351</v>
      </c>
      <c r="X66">
        <v>1</v>
      </c>
      <c r="Y66">
        <v>245814.40141411845</v>
      </c>
      <c r="Z66">
        <v>15.977524242481035</v>
      </c>
      <c r="AA66">
        <v>16.354166666666828</v>
      </c>
      <c r="AB66">
        <v>1</v>
      </c>
      <c r="AC66">
        <v>677512.3705710056</v>
      </c>
      <c r="AD66">
        <v>16.783019458334305</v>
      </c>
      <c r="AE66">
        <v>33.62812499999941</v>
      </c>
      <c r="AF66">
        <v>1</v>
      </c>
      <c r="AG66">
        <v>1249746.8040669404</v>
      </c>
      <c r="AH66">
        <v>7.806891080302531</v>
      </c>
      <c r="AI66">
        <v>33.708333333332796</v>
      </c>
      <c r="AJ66">
        <v>1</v>
      </c>
      <c r="AK66">
        <v>1692929.109772437</v>
      </c>
      <c r="AL66">
        <v>27.932949967848277</v>
      </c>
      <c r="AM66">
        <v>42.793750000000465</v>
      </c>
      <c r="AN66">
        <v>1</v>
      </c>
      <c r="AO66">
        <v>2613217.7443584986</v>
      </c>
      <c r="AP66">
        <v>7.737657560959657</v>
      </c>
      <c r="AQ66">
        <v>102.50686474582693</v>
      </c>
      <c r="AR66">
        <v>12</v>
      </c>
      <c r="AS66">
        <v>2.404836987769541</v>
      </c>
      <c r="AT66">
        <v>11</v>
      </c>
      <c r="AU66">
        <v>0.006075170225067792</v>
      </c>
      <c r="AV66" t="s">
        <v>52</v>
      </c>
    </row>
    <row r="69" spans="3:51" ht="12.75">
      <c r="C69" t="s">
        <v>48</v>
      </c>
      <c r="D69" t="s">
        <v>10</v>
      </c>
      <c r="E69" t="s">
        <v>50</v>
      </c>
      <c r="F69" t="s">
        <v>49</v>
      </c>
      <c r="G69" t="s">
        <v>48</v>
      </c>
      <c r="H69" t="s">
        <v>10</v>
      </c>
      <c r="I69" t="s">
        <v>50</v>
      </c>
      <c r="J69" t="s">
        <v>49</v>
      </c>
      <c r="K69" t="s">
        <v>48</v>
      </c>
      <c r="L69" t="s">
        <v>10</v>
      </c>
      <c r="M69" t="s">
        <v>50</v>
      </c>
      <c r="N69" t="s">
        <v>49</v>
      </c>
      <c r="O69" t="s">
        <v>48</v>
      </c>
      <c r="P69" t="s">
        <v>10</v>
      </c>
      <c r="Q69" t="s">
        <v>50</v>
      </c>
      <c r="R69" t="s">
        <v>49</v>
      </c>
      <c r="S69" t="s">
        <v>48</v>
      </c>
      <c r="T69" t="s">
        <v>10</v>
      </c>
      <c r="U69" t="s">
        <v>50</v>
      </c>
      <c r="V69" t="s">
        <v>49</v>
      </c>
      <c r="W69" t="s">
        <v>48</v>
      </c>
      <c r="X69" t="s">
        <v>10</v>
      </c>
      <c r="Y69" t="s">
        <v>50</v>
      </c>
      <c r="Z69" t="s">
        <v>49</v>
      </c>
      <c r="AA69" t="s">
        <v>48</v>
      </c>
      <c r="AB69" t="s">
        <v>10</v>
      </c>
      <c r="AC69" t="s">
        <v>50</v>
      </c>
      <c r="AD69" t="s">
        <v>49</v>
      </c>
      <c r="AE69" t="s">
        <v>48</v>
      </c>
      <c r="AF69" t="s">
        <v>10</v>
      </c>
      <c r="AG69" t="s">
        <v>50</v>
      </c>
      <c r="AH69" t="s">
        <v>49</v>
      </c>
      <c r="AI69" t="s">
        <v>48</v>
      </c>
      <c r="AJ69" t="s">
        <v>10</v>
      </c>
      <c r="AK69" t="s">
        <v>50</v>
      </c>
      <c r="AL69" t="s">
        <v>49</v>
      </c>
      <c r="AM69" t="s">
        <v>48</v>
      </c>
      <c r="AN69" t="s">
        <v>10</v>
      </c>
      <c r="AO69" t="s">
        <v>50</v>
      </c>
      <c r="AP69" t="s">
        <v>49</v>
      </c>
      <c r="AQ69" t="s">
        <v>135</v>
      </c>
      <c r="AR69" t="s">
        <v>134</v>
      </c>
      <c r="AS69" t="s">
        <v>50</v>
      </c>
      <c r="AT69" t="s">
        <v>140</v>
      </c>
      <c r="AU69" t="s">
        <v>141</v>
      </c>
      <c r="AV69">
        <v>8.293421160246311E-06</v>
      </c>
      <c r="AW69">
        <f>AV69/$AV$53</f>
        <v>1.0432977322294539</v>
      </c>
      <c r="AX69" s="242">
        <f>(AV69-AV61)/AV61</f>
        <v>0.018025231784014245</v>
      </c>
      <c r="AY69" s="242">
        <f>(AV69-$AV$53)/$AV$53</f>
        <v>0.04329773222945381</v>
      </c>
    </row>
    <row r="70" spans="2:48" ht="12.75">
      <c r="B70" t="s">
        <v>65</v>
      </c>
      <c r="C70">
        <v>0.3060583333333327</v>
      </c>
      <c r="D70">
        <v>0.07166033394150939</v>
      </c>
      <c r="E70">
        <v>112155.69401166063</v>
      </c>
      <c r="F70">
        <v>24.59549775927523</v>
      </c>
      <c r="G70">
        <v>2.419735416666674</v>
      </c>
      <c r="H70">
        <v>0.07642886996895823</v>
      </c>
      <c r="I70">
        <v>151697779.90694845</v>
      </c>
      <c r="J70">
        <v>14.755394800347363</v>
      </c>
      <c r="K70">
        <v>2.673421875</v>
      </c>
      <c r="L70">
        <v>0.07703523324605108</v>
      </c>
      <c r="M70">
        <v>155187421.90764123</v>
      </c>
      <c r="N70">
        <v>12.705945395443386</v>
      </c>
      <c r="O70">
        <v>5.052254166666653</v>
      </c>
      <c r="P70">
        <v>0.08202552090171117</v>
      </c>
      <c r="Q70">
        <v>235376016.72551343</v>
      </c>
      <c r="R70">
        <v>9.798599783490928</v>
      </c>
      <c r="S70">
        <v>5.052254166666653</v>
      </c>
      <c r="T70">
        <v>0.08202552090171117</v>
      </c>
      <c r="U70">
        <v>235376016.72551343</v>
      </c>
      <c r="V70">
        <v>9.798599783490928</v>
      </c>
      <c r="W70">
        <v>7.055951041666655</v>
      </c>
      <c r="X70">
        <v>0.08635889857151575</v>
      </c>
      <c r="Y70">
        <v>340152733.39568186</v>
      </c>
      <c r="Z70">
        <v>9.449391137085662</v>
      </c>
      <c r="AA70">
        <v>7.64629583333332</v>
      </c>
      <c r="AB70">
        <v>0.08740378245186617</v>
      </c>
      <c r="AC70">
        <v>360080031.59790456</v>
      </c>
      <c r="AD70">
        <v>10.485940403221338</v>
      </c>
      <c r="AE70">
        <v>17.139058333333278</v>
      </c>
      <c r="AF70">
        <v>0.10139077881666639</v>
      </c>
      <c r="AG70">
        <v>380196128.28143215</v>
      </c>
      <c r="AH70">
        <v>4.888631895242228</v>
      </c>
      <c r="AI70">
        <v>17.18646979166665</v>
      </c>
      <c r="AJ70">
        <v>0.10194275274772395</v>
      </c>
      <c r="AK70">
        <v>382161367.2706196</v>
      </c>
      <c r="AL70">
        <v>16.61429154704801</v>
      </c>
      <c r="AM70">
        <v>24.18704687499998</v>
      </c>
      <c r="AN70">
        <v>0.1157875819926546</v>
      </c>
      <c r="AO70">
        <v>397460943.4768163</v>
      </c>
      <c r="AP70">
        <v>4.8272333997891295</v>
      </c>
      <c r="AQ70">
        <v>25.34675443054936</v>
      </c>
      <c r="AR70">
        <v>8.56112077777756</v>
      </c>
      <c r="AS70">
        <v>3581820.957131794</v>
      </c>
      <c r="AT70">
        <v>3.2164</v>
      </c>
      <c r="AU70">
        <v>0.027856692059335428</v>
      </c>
      <c r="AV70" t="s">
        <v>65</v>
      </c>
    </row>
    <row r="71" spans="2:48" ht="12.75">
      <c r="B71" t="s">
        <v>64</v>
      </c>
      <c r="C71">
        <v>0.2604166666666666</v>
      </c>
      <c r="D71">
        <v>0.025148975488609282</v>
      </c>
      <c r="E71">
        <v>9.617964892717158</v>
      </c>
      <c r="F71">
        <v>24.162499361731328</v>
      </c>
      <c r="G71">
        <v>2.13541666666667</v>
      </c>
      <c r="H71">
        <v>0.027336018336390044</v>
      </c>
      <c r="I71">
        <v>11.18929810514242</v>
      </c>
      <c r="J71">
        <v>13.775744733636138</v>
      </c>
      <c r="K71">
        <v>2.442708333333333</v>
      </c>
      <c r="L71">
        <v>0.027595136605672144</v>
      </c>
      <c r="M71">
        <v>11.158898239896677</v>
      </c>
      <c r="N71">
        <v>11.26558736044042</v>
      </c>
      <c r="O71">
        <v>3.9687499999999774</v>
      </c>
      <c r="P71">
        <v>0.029282824437992294</v>
      </c>
      <c r="Q71">
        <v>11.903136967735406</v>
      </c>
      <c r="R71">
        <v>9.241962012508566</v>
      </c>
      <c r="S71">
        <v>3.9687499999999774</v>
      </c>
      <c r="T71">
        <v>0.029282824437992294</v>
      </c>
      <c r="U71">
        <v>11.903136967735406</v>
      </c>
      <c r="V71">
        <v>9.241962012508566</v>
      </c>
      <c r="W71">
        <v>5.729166666666693</v>
      </c>
      <c r="X71">
        <v>0.030988885461169235</v>
      </c>
      <c r="Y71">
        <v>12.514470622851437</v>
      </c>
      <c r="Z71">
        <v>9.097766331725419</v>
      </c>
      <c r="AA71">
        <v>6.333333333333377</v>
      </c>
      <c r="AB71">
        <v>0.03154208652930135</v>
      </c>
      <c r="AC71">
        <v>12.710267682887912</v>
      </c>
      <c r="AD71">
        <v>10.13977991077548</v>
      </c>
      <c r="AE71">
        <v>15.16666666666635</v>
      </c>
      <c r="AF71">
        <v>0.03851833007418959</v>
      </c>
      <c r="AG71">
        <v>12.982342358561588</v>
      </c>
      <c r="AH71">
        <v>4</v>
      </c>
      <c r="AI71">
        <v>15.208333333333014</v>
      </c>
      <c r="AJ71">
        <v>0.038720386771139814</v>
      </c>
      <c r="AK71">
        <v>13.0184693018373</v>
      </c>
      <c r="AL71">
        <v>16.207790921421868</v>
      </c>
      <c r="AM71">
        <v>22.255208333333677</v>
      </c>
      <c r="AN71">
        <v>0.04507260029371285</v>
      </c>
      <c r="AO71">
        <v>13.143678686842549</v>
      </c>
      <c r="AP71">
        <v>4</v>
      </c>
      <c r="AQ71">
        <v>8.735040018064893</v>
      </c>
      <c r="AR71">
        <v>12</v>
      </c>
      <c r="AS71">
        <v>0.0001</v>
      </c>
      <c r="AT71">
        <v>2</v>
      </c>
      <c r="AU71">
        <v>0.0001</v>
      </c>
      <c r="AV71" t="s">
        <v>64</v>
      </c>
    </row>
    <row r="72" spans="2:48" ht="12.75">
      <c r="B72" t="s">
        <v>66</v>
      </c>
      <c r="C72">
        <v>0.1985806089531727</v>
      </c>
      <c r="D72">
        <v>0.20691740515288154</v>
      </c>
      <c r="E72">
        <v>9227449.902224556</v>
      </c>
      <c r="F72">
        <v>6.298991660830175</v>
      </c>
      <c r="G72">
        <v>1.7044569211686906</v>
      </c>
      <c r="H72">
        <v>0.2117363043583546</v>
      </c>
      <c r="I72">
        <v>2398487052.341478</v>
      </c>
      <c r="J72">
        <v>5.998840694462119</v>
      </c>
      <c r="K72">
        <v>1.7658493743556212</v>
      </c>
      <c r="L72">
        <v>0.21248872930215046</v>
      </c>
      <c r="M72">
        <v>2411795531.317252</v>
      </c>
      <c r="N72">
        <v>6.258334206448723</v>
      </c>
      <c r="O72">
        <v>4.5518753800498875</v>
      </c>
      <c r="P72">
        <v>0.217210482086519</v>
      </c>
      <c r="Q72">
        <v>2960597516.4125066</v>
      </c>
      <c r="R72">
        <v>4.286395306633402</v>
      </c>
      <c r="S72">
        <v>4.5518753800498875</v>
      </c>
      <c r="T72">
        <v>0.217210482086519</v>
      </c>
      <c r="U72">
        <v>2960597516.4125066</v>
      </c>
      <c r="V72">
        <v>4.286395306633402</v>
      </c>
      <c r="W72">
        <v>5.27452131432834</v>
      </c>
      <c r="X72">
        <v>0.22176665171322202</v>
      </c>
      <c r="Y72">
        <v>3575656809.267202</v>
      </c>
      <c r="Z72">
        <v>3.6245708574430906</v>
      </c>
      <c r="AA72">
        <v>5.284881309207516</v>
      </c>
      <c r="AB72">
        <v>0.22257261919267535</v>
      </c>
      <c r="AC72">
        <v>3674934363.1502547</v>
      </c>
      <c r="AD72">
        <v>3.5592489175677873</v>
      </c>
      <c r="AE72">
        <v>8.871153748146197</v>
      </c>
      <c r="AF72">
        <v>0.23346583098056714</v>
      </c>
      <c r="AG72">
        <v>3776460369.074036</v>
      </c>
      <c r="AH72">
        <v>1.3560266464353459</v>
      </c>
      <c r="AI72">
        <v>8.871066237347117</v>
      </c>
      <c r="AJ72">
        <v>0.23411141318418502</v>
      </c>
      <c r="AK72">
        <v>3781675685.566112</v>
      </c>
      <c r="AL72">
        <v>6.35338563832421</v>
      </c>
      <c r="AM72">
        <v>9.948659774458099</v>
      </c>
      <c r="AN72">
        <v>0.24558696933204052</v>
      </c>
      <c r="AO72">
        <v>3852241243.427576</v>
      </c>
      <c r="AP72">
        <v>1.3526065098606808</v>
      </c>
      <c r="AQ72">
        <v>53.875628117566805</v>
      </c>
      <c r="AR72">
        <v>3.9086007431805716</v>
      </c>
      <c r="AS72">
        <v>105788193.4905706</v>
      </c>
      <c r="AT72">
        <v>4.497843271992694</v>
      </c>
      <c r="AU72">
        <v>0.32385498349129854</v>
      </c>
      <c r="AV72" t="s">
        <v>66</v>
      </c>
    </row>
    <row r="73" spans="2:48" ht="12.75">
      <c r="B73" t="s">
        <v>51</v>
      </c>
      <c r="C73">
        <v>0.10416666666666667</v>
      </c>
      <c r="D73">
        <v>0.024520422369282126</v>
      </c>
      <c r="E73">
        <v>1</v>
      </c>
      <c r="F73">
        <v>14.982043022216743</v>
      </c>
      <c r="G73">
        <v>0.1979166666666666</v>
      </c>
      <c r="H73">
        <v>0.024765798972147583</v>
      </c>
      <c r="I73">
        <v>1</v>
      </c>
      <c r="J73">
        <v>6.994654023128469</v>
      </c>
      <c r="K73">
        <v>0.1979166666666666</v>
      </c>
      <c r="L73">
        <v>0.024766894325670967</v>
      </c>
      <c r="M73">
        <v>1</v>
      </c>
      <c r="N73">
        <v>5.397318539889484</v>
      </c>
      <c r="O73">
        <v>1.4791666666666685</v>
      </c>
      <c r="P73">
        <v>0.02605291078250077</v>
      </c>
      <c r="Q73">
        <v>1</v>
      </c>
      <c r="R73">
        <v>4</v>
      </c>
      <c r="S73">
        <v>1.4791666666666685</v>
      </c>
      <c r="T73">
        <v>0.02605291078250077</v>
      </c>
      <c r="U73">
        <v>1</v>
      </c>
      <c r="V73">
        <v>4</v>
      </c>
      <c r="W73">
        <v>2.25</v>
      </c>
      <c r="X73">
        <v>0.026736374885403712</v>
      </c>
      <c r="Y73">
        <v>1</v>
      </c>
      <c r="Z73">
        <v>4</v>
      </c>
      <c r="AA73">
        <v>2.7812499999999942</v>
      </c>
      <c r="AB73">
        <v>0.027151008407415585</v>
      </c>
      <c r="AC73">
        <v>1</v>
      </c>
      <c r="AD73">
        <v>5.2425671829478855</v>
      </c>
      <c r="AE73">
        <v>7.395833333333407</v>
      </c>
      <c r="AF73">
        <v>0.030506021325572223</v>
      </c>
      <c r="AG73">
        <v>1</v>
      </c>
      <c r="AH73">
        <v>4</v>
      </c>
      <c r="AI73">
        <v>7.447916666666742</v>
      </c>
      <c r="AJ73">
        <v>0.03060745864633509</v>
      </c>
      <c r="AK73">
        <v>1</v>
      </c>
      <c r="AL73">
        <v>7.405194080257716</v>
      </c>
      <c r="AM73">
        <v>12.333333333333178</v>
      </c>
      <c r="AN73">
        <v>0.034145826561961926</v>
      </c>
      <c r="AO73">
        <v>1</v>
      </c>
      <c r="AP73">
        <v>4</v>
      </c>
      <c r="AQ73">
        <v>1</v>
      </c>
      <c r="AR73">
        <v>0.94</v>
      </c>
      <c r="AS73">
        <v>0.0001</v>
      </c>
      <c r="AT73">
        <v>1</v>
      </c>
      <c r="AU73">
        <v>0.0001</v>
      </c>
      <c r="AV73" t="s">
        <v>51</v>
      </c>
    </row>
    <row r="74" spans="2:48" ht="12.75">
      <c r="B74" t="s">
        <v>52</v>
      </c>
      <c r="C74">
        <v>0.6875</v>
      </c>
      <c r="D74">
        <v>0.051039697154710024</v>
      </c>
      <c r="E74">
        <v>120.82163791029797</v>
      </c>
      <c r="F74">
        <v>35.649096136415956</v>
      </c>
      <c r="G74">
        <v>5.572916666666688</v>
      </c>
      <c r="H74">
        <v>0.1560474818631686</v>
      </c>
      <c r="I74">
        <v>492.9413721695971</v>
      </c>
      <c r="J74">
        <v>26.578654067293005</v>
      </c>
      <c r="K74">
        <v>5.885416666666697</v>
      </c>
      <c r="L74">
        <v>1</v>
      </c>
      <c r="M74">
        <v>484.23276537469116</v>
      </c>
      <c r="N74">
        <v>26.145366232899136</v>
      </c>
      <c r="O74">
        <v>11.772395833333187</v>
      </c>
      <c r="P74">
        <v>1</v>
      </c>
      <c r="Q74">
        <v>12547.220421442764</v>
      </c>
      <c r="R74">
        <v>17.6292180971224</v>
      </c>
      <c r="S74">
        <v>11.772395833333187</v>
      </c>
      <c r="T74">
        <v>1</v>
      </c>
      <c r="U74">
        <v>12547.220421442764</v>
      </c>
      <c r="V74">
        <v>17.6292180971224</v>
      </c>
      <c r="W74">
        <v>15.822916666666313</v>
      </c>
      <c r="X74">
        <v>1</v>
      </c>
      <c r="Y74">
        <v>341773.00310247875</v>
      </c>
      <c r="Z74">
        <v>15.963119243298115</v>
      </c>
      <c r="AA74">
        <v>16.35416666666634</v>
      </c>
      <c r="AB74">
        <v>1</v>
      </c>
      <c r="AC74">
        <v>879066.6741987326</v>
      </c>
      <c r="AD74">
        <v>16.80320850700513</v>
      </c>
      <c r="AE74">
        <v>33.62760416666771</v>
      </c>
      <c r="AF74">
        <v>1</v>
      </c>
      <c r="AG74">
        <v>1986413.3541913661</v>
      </c>
      <c r="AH74">
        <v>7.806891080302532</v>
      </c>
      <c r="AI74">
        <v>33.708333333334394</v>
      </c>
      <c r="AJ74">
        <v>1</v>
      </c>
      <c r="AK74">
        <v>2300100.7625255208</v>
      </c>
      <c r="AL74">
        <v>27.776157686133168</v>
      </c>
      <c r="AM74">
        <v>42.793749999998965</v>
      </c>
      <c r="AN74">
        <v>1</v>
      </c>
      <c r="AO74">
        <v>3496501.690697664</v>
      </c>
      <c r="AP74">
        <v>7.737657560959659</v>
      </c>
      <c r="AQ74">
        <v>102.50686474582693</v>
      </c>
      <c r="AR74">
        <v>12</v>
      </c>
      <c r="AS74">
        <v>2.531683064757425</v>
      </c>
      <c r="AT74">
        <v>11</v>
      </c>
      <c r="AU74">
        <v>0.006426034559176919</v>
      </c>
      <c r="AV74" t="s">
        <v>52</v>
      </c>
    </row>
    <row r="77" spans="3:51" ht="12.75">
      <c r="C77" t="s">
        <v>48</v>
      </c>
      <c r="D77" t="s">
        <v>10</v>
      </c>
      <c r="E77" t="s">
        <v>50</v>
      </c>
      <c r="F77" t="s">
        <v>49</v>
      </c>
      <c r="G77" t="s">
        <v>48</v>
      </c>
      <c r="H77" t="s">
        <v>10</v>
      </c>
      <c r="I77" t="s">
        <v>50</v>
      </c>
      <c r="J77" t="s">
        <v>49</v>
      </c>
      <c r="K77" t="s">
        <v>48</v>
      </c>
      <c r="L77" t="s">
        <v>10</v>
      </c>
      <c r="M77" t="s">
        <v>50</v>
      </c>
      <c r="N77" t="s">
        <v>49</v>
      </c>
      <c r="O77" t="s">
        <v>48</v>
      </c>
      <c r="P77" t="s">
        <v>10</v>
      </c>
      <c r="Q77" t="s">
        <v>50</v>
      </c>
      <c r="R77" t="s">
        <v>49</v>
      </c>
      <c r="S77" t="s">
        <v>48</v>
      </c>
      <c r="T77" t="s">
        <v>10</v>
      </c>
      <c r="U77" t="s">
        <v>50</v>
      </c>
      <c r="V77" t="s">
        <v>49</v>
      </c>
      <c r="W77" t="s">
        <v>48</v>
      </c>
      <c r="X77" t="s">
        <v>10</v>
      </c>
      <c r="Y77" t="s">
        <v>50</v>
      </c>
      <c r="Z77" t="s">
        <v>49</v>
      </c>
      <c r="AA77" t="s">
        <v>48</v>
      </c>
      <c r="AB77" t="s">
        <v>10</v>
      </c>
      <c r="AC77" t="s">
        <v>50</v>
      </c>
      <c r="AD77" t="s">
        <v>49</v>
      </c>
      <c r="AE77" t="s">
        <v>48</v>
      </c>
      <c r="AF77" t="s">
        <v>10</v>
      </c>
      <c r="AG77" t="s">
        <v>50</v>
      </c>
      <c r="AH77" t="s">
        <v>49</v>
      </c>
      <c r="AI77" t="s">
        <v>48</v>
      </c>
      <c r="AJ77" t="s">
        <v>10</v>
      </c>
      <c r="AK77" t="s">
        <v>50</v>
      </c>
      <c r="AL77" t="s">
        <v>49</v>
      </c>
      <c r="AM77" t="s">
        <v>48</v>
      </c>
      <c r="AN77" t="s">
        <v>10</v>
      </c>
      <c r="AO77" t="s">
        <v>50</v>
      </c>
      <c r="AP77" t="s">
        <v>49</v>
      </c>
      <c r="AQ77" t="s">
        <v>135</v>
      </c>
      <c r="AR77" t="s">
        <v>134</v>
      </c>
      <c r="AS77" t="s">
        <v>50</v>
      </c>
      <c r="AT77" t="s">
        <v>140</v>
      </c>
      <c r="AU77" t="s">
        <v>141</v>
      </c>
      <c r="AV77">
        <v>8.387390889594845E-06</v>
      </c>
      <c r="AW77">
        <f>AV77/$AV$53</f>
        <v>1.055118958190759</v>
      </c>
      <c r="AX77" s="242">
        <f>(AV77-AV69)/AV69</f>
        <v>0.011330635154400253</v>
      </c>
      <c r="AY77" s="242">
        <f>(AV77-$AV$53)/$AV$53</f>
        <v>0.055118958190758925</v>
      </c>
    </row>
    <row r="78" spans="2:48" ht="12.75">
      <c r="B78" t="s">
        <v>65</v>
      </c>
      <c r="C78">
        <v>0.3034260416666663</v>
      </c>
      <c r="D78">
        <v>0.07180892678838745</v>
      </c>
      <c r="E78">
        <v>122374.871440237</v>
      </c>
      <c r="F78">
        <v>24.61230347931541</v>
      </c>
      <c r="G78">
        <v>2.4171229166666617</v>
      </c>
      <c r="H78">
        <v>0.07658554191674878</v>
      </c>
      <c r="I78">
        <v>153154096.45573536</v>
      </c>
      <c r="J78">
        <v>14.757810975501235</v>
      </c>
      <c r="K78">
        <v>2.670806770833323</v>
      </c>
      <c r="L78">
        <v>0.07728963252452926</v>
      </c>
      <c r="M78">
        <v>158114286.45536727</v>
      </c>
      <c r="N78">
        <v>12.707728230115485</v>
      </c>
      <c r="O78">
        <v>5.0495937500000245</v>
      </c>
      <c r="P78">
        <v>0.08237900139668822</v>
      </c>
      <c r="Q78">
        <v>243617292.20753896</v>
      </c>
      <c r="R78">
        <v>9.799151433407408</v>
      </c>
      <c r="S78">
        <v>5.0495937500000245</v>
      </c>
      <c r="T78">
        <v>0.08237900139668822</v>
      </c>
      <c r="U78">
        <v>243617292.20753896</v>
      </c>
      <c r="V78">
        <v>9.799151433407408</v>
      </c>
      <c r="W78">
        <v>7.053304687500011</v>
      </c>
      <c r="X78">
        <v>0.08651825542992153</v>
      </c>
      <c r="Y78">
        <v>347634602.340158</v>
      </c>
      <c r="Z78">
        <v>9.449447820788222</v>
      </c>
      <c r="AA78">
        <v>7.643741145833352</v>
      </c>
      <c r="AB78">
        <v>0.0875629758720943</v>
      </c>
      <c r="AC78">
        <v>367958941.0112673</v>
      </c>
      <c r="AD78">
        <v>10.486189149584261</v>
      </c>
      <c r="AE78">
        <v>17.1364786458333</v>
      </c>
      <c r="AF78">
        <v>0.10193482187284761</v>
      </c>
      <c r="AG78">
        <v>387786459.6395275</v>
      </c>
      <c r="AH78">
        <v>4.888635326960153</v>
      </c>
      <c r="AI78">
        <v>17.183876562500025</v>
      </c>
      <c r="AJ78">
        <v>0.1021832848898302</v>
      </c>
      <c r="AK78">
        <v>390460208.32444584</v>
      </c>
      <c r="AL78">
        <v>16.631033960204253</v>
      </c>
      <c r="AM78">
        <v>24.18446666666661</v>
      </c>
      <c r="AN78">
        <v>0.11603582625141312</v>
      </c>
      <c r="AO78">
        <v>407728413.2408292</v>
      </c>
      <c r="AP78">
        <v>4.82723217889007</v>
      </c>
      <c r="AQ78">
        <v>25.34675443054936</v>
      </c>
      <c r="AR78">
        <v>8.56112077777756</v>
      </c>
      <c r="AS78">
        <v>3709518.1594077605</v>
      </c>
      <c r="AT78">
        <v>3.2164</v>
      </c>
      <c r="AU78">
        <v>0.02817232607366824</v>
      </c>
      <c r="AV78" t="s">
        <v>65</v>
      </c>
    </row>
    <row r="79" spans="2:48" ht="12.75">
      <c r="B79" t="s">
        <v>64</v>
      </c>
      <c r="C79">
        <v>0.2552083333333335</v>
      </c>
      <c r="D79">
        <v>0.025299739357035833</v>
      </c>
      <c r="E79">
        <v>9.621683574867633</v>
      </c>
      <c r="F79">
        <v>24.186525449086794</v>
      </c>
      <c r="G79">
        <v>2.135416666666659</v>
      </c>
      <c r="H79">
        <v>0.027496969990186915</v>
      </c>
      <c r="I79">
        <v>11.20837022220725</v>
      </c>
      <c r="J79">
        <v>13.77580544760336</v>
      </c>
      <c r="K79">
        <v>2.440104166666667</v>
      </c>
      <c r="L79">
        <v>0.027754630251292933</v>
      </c>
      <c r="M79">
        <v>11.190542231708925</v>
      </c>
      <c r="N79">
        <v>11.265990932427567</v>
      </c>
      <c r="O79">
        <v>3.963541666666711</v>
      </c>
      <c r="P79">
        <v>0.02945443993690755</v>
      </c>
      <c r="Q79">
        <v>11.998221498981717</v>
      </c>
      <c r="R79">
        <v>9.241870198206769</v>
      </c>
      <c r="S79">
        <v>3.963541666666711</v>
      </c>
      <c r="T79">
        <v>0.02945443993690755</v>
      </c>
      <c r="U79">
        <v>11.998221498981717</v>
      </c>
      <c r="V79">
        <v>9.241870198206769</v>
      </c>
      <c r="W79">
        <v>5.729166666666614</v>
      </c>
      <c r="X79">
        <v>0.031159221107061152</v>
      </c>
      <c r="Y79">
        <v>12.583081684497898</v>
      </c>
      <c r="Z79">
        <v>9.09446653191462</v>
      </c>
      <c r="AA79">
        <v>6.328124999999913</v>
      </c>
      <c r="AB79">
        <v>0.03171036343841055</v>
      </c>
      <c r="AC79">
        <v>12.761166335944981</v>
      </c>
      <c r="AD79">
        <v>10.139472607611104</v>
      </c>
      <c r="AE79">
        <v>15.161458333333965</v>
      </c>
      <c r="AF79">
        <v>0.038688946325507345</v>
      </c>
      <c r="AG79">
        <v>13.050946539780327</v>
      </c>
      <c r="AH79">
        <v>4</v>
      </c>
      <c r="AI79">
        <v>15.20833333333397</v>
      </c>
      <c r="AJ79">
        <v>0.03886898871738581</v>
      </c>
      <c r="AK79">
        <v>13.061484753542352</v>
      </c>
      <c r="AL79">
        <v>16.21403241232266</v>
      </c>
      <c r="AM79">
        <v>22.252604166665968</v>
      </c>
      <c r="AN79">
        <v>0.045236319850994855</v>
      </c>
      <c r="AO79">
        <v>13.176683018620158</v>
      </c>
      <c r="AP79">
        <v>4</v>
      </c>
      <c r="AQ79">
        <v>8.735040018064893</v>
      </c>
      <c r="AR79">
        <v>12</v>
      </c>
      <c r="AS79">
        <v>0.0001</v>
      </c>
      <c r="AT79">
        <v>2</v>
      </c>
      <c r="AU79">
        <v>0.0001</v>
      </c>
      <c r="AV79" t="s">
        <v>64</v>
      </c>
    </row>
    <row r="80" spans="2:48" ht="12.75">
      <c r="B80" t="s">
        <v>66</v>
      </c>
      <c r="C80">
        <v>0.19851544662125856</v>
      </c>
      <c r="D80">
        <v>0.20688532074063865</v>
      </c>
      <c r="E80">
        <v>10021583.229221882</v>
      </c>
      <c r="F80">
        <v>6.296352042537234</v>
      </c>
      <c r="G80">
        <v>1.7044167553855503</v>
      </c>
      <c r="H80">
        <v>0.21170149003075855</v>
      </c>
      <c r="I80">
        <v>2402514540.1430035</v>
      </c>
      <c r="J80">
        <v>6.002347667340611</v>
      </c>
      <c r="K80">
        <v>1.7658595605902263</v>
      </c>
      <c r="L80">
        <v>0.21265339539794156</v>
      </c>
      <c r="M80">
        <v>2427954413.071013</v>
      </c>
      <c r="N80">
        <v>6.262727894455666</v>
      </c>
      <c r="O80">
        <v>4.551914360437454</v>
      </c>
      <c r="P80">
        <v>0.2175607327181262</v>
      </c>
      <c r="Q80">
        <v>3011022729.81573</v>
      </c>
      <c r="R80">
        <v>4.287282489143271</v>
      </c>
      <c r="S80">
        <v>4.551914360437454</v>
      </c>
      <c r="T80">
        <v>0.2175607327181262</v>
      </c>
      <c r="U80">
        <v>3011022729.81573</v>
      </c>
      <c r="V80">
        <v>4.287282489143271</v>
      </c>
      <c r="W80">
        <v>5.274546182439864</v>
      </c>
      <c r="X80">
        <v>0.22172975302142703</v>
      </c>
      <c r="Y80">
        <v>3610439384.8838325</v>
      </c>
      <c r="Z80">
        <v>3.624735162503623</v>
      </c>
      <c r="AA80">
        <v>5.284886808682185</v>
      </c>
      <c r="AB80">
        <v>0.22253555967294655</v>
      </c>
      <c r="AC80">
        <v>3706218695.867105</v>
      </c>
      <c r="AD80">
        <v>3.5596421642554166</v>
      </c>
      <c r="AE80">
        <v>8.871112742046883</v>
      </c>
      <c r="AF80">
        <v>0.23411308373241158</v>
      </c>
      <c r="AG80">
        <v>3800510279.3986235</v>
      </c>
      <c r="AH80">
        <v>1.3560284135442449</v>
      </c>
      <c r="AI80">
        <v>8.871047854864816</v>
      </c>
      <c r="AJ80">
        <v>0.2342466851419768</v>
      </c>
      <c r="AK80">
        <v>3808811485.105052</v>
      </c>
      <c r="AL80">
        <v>6.316342972310019</v>
      </c>
      <c r="AM80">
        <v>9.948638366524117</v>
      </c>
      <c r="AN80">
        <v>0.24570429281987552</v>
      </c>
      <c r="AO80">
        <v>3889134275.6460767</v>
      </c>
      <c r="AP80">
        <v>1.352606828109796</v>
      </c>
      <c r="AQ80">
        <v>53.875628117566805</v>
      </c>
      <c r="AR80">
        <v>3.9086007431805716</v>
      </c>
      <c r="AS80">
        <v>108041134.56182653</v>
      </c>
      <c r="AT80">
        <v>4.497843271992694</v>
      </c>
      <c r="AU80">
        <v>0.32514367714749065</v>
      </c>
      <c r="AV80" t="s">
        <v>66</v>
      </c>
    </row>
    <row r="81" spans="2:48" ht="12.75">
      <c r="B81" t="s">
        <v>51</v>
      </c>
      <c r="C81">
        <v>0.0989583333333333</v>
      </c>
      <c r="D81">
        <v>0.024616368077004663</v>
      </c>
      <c r="E81">
        <v>1</v>
      </c>
      <c r="F81">
        <v>14.995805442034253</v>
      </c>
      <c r="G81">
        <v>0.19791666666666674</v>
      </c>
      <c r="H81">
        <v>0.024898788650879022</v>
      </c>
      <c r="I81">
        <v>1</v>
      </c>
      <c r="J81">
        <v>6.99465402312847</v>
      </c>
      <c r="K81">
        <v>0.19791666666666674</v>
      </c>
      <c r="L81">
        <v>0.02490068729222984</v>
      </c>
      <c r="M81">
        <v>1</v>
      </c>
      <c r="N81">
        <v>5.394809841922902</v>
      </c>
      <c r="O81">
        <v>1.4739583333333293</v>
      </c>
      <c r="P81">
        <v>0.026170721102403587</v>
      </c>
      <c r="Q81">
        <v>1</v>
      </c>
      <c r="R81">
        <v>4</v>
      </c>
      <c r="S81">
        <v>1.4739583333333293</v>
      </c>
      <c r="T81">
        <v>0.026170721102403587</v>
      </c>
      <c r="U81">
        <v>1</v>
      </c>
      <c r="V81">
        <v>4</v>
      </c>
      <c r="W81">
        <v>2.25</v>
      </c>
      <c r="X81">
        <v>0.02687029353352205</v>
      </c>
      <c r="Y81">
        <v>1</v>
      </c>
      <c r="Z81">
        <v>4</v>
      </c>
      <c r="AA81">
        <v>2.776041666666677</v>
      </c>
      <c r="AB81">
        <v>0.027281518266363713</v>
      </c>
      <c r="AC81">
        <v>1</v>
      </c>
      <c r="AD81">
        <v>5.2444607470319795</v>
      </c>
      <c r="AE81">
        <v>7.395833333333186</v>
      </c>
      <c r="AF81">
        <v>0.03064073917541746</v>
      </c>
      <c r="AG81">
        <v>1</v>
      </c>
      <c r="AH81">
        <v>4</v>
      </c>
      <c r="AI81">
        <v>7.442708333333183</v>
      </c>
      <c r="AJ81">
        <v>0.030729819607635718</v>
      </c>
      <c r="AK81">
        <v>1</v>
      </c>
      <c r="AL81">
        <v>7.43605721265613</v>
      </c>
      <c r="AM81">
        <v>12.328125000000309</v>
      </c>
      <c r="AN81">
        <v>0.034271392160934395</v>
      </c>
      <c r="AO81">
        <v>1</v>
      </c>
      <c r="AP81">
        <v>4</v>
      </c>
      <c r="AQ81">
        <v>1</v>
      </c>
      <c r="AR81">
        <v>0.94</v>
      </c>
      <c r="AS81">
        <v>0.0001</v>
      </c>
      <c r="AT81">
        <v>1</v>
      </c>
      <c r="AU81">
        <v>0.0001</v>
      </c>
      <c r="AV81" t="s">
        <v>51</v>
      </c>
    </row>
    <row r="82" spans="2:48" ht="12.75">
      <c r="B82" t="s">
        <v>52</v>
      </c>
      <c r="C82">
        <v>0.6822916666666672</v>
      </c>
      <c r="D82">
        <v>0.051277231271281684</v>
      </c>
      <c r="E82">
        <v>121.11821624401155</v>
      </c>
      <c r="F82">
        <v>35.649096136415956</v>
      </c>
      <c r="G82">
        <v>5.567968749999952</v>
      </c>
      <c r="H82">
        <v>0.15748273571556384</v>
      </c>
      <c r="I82">
        <v>532.3983716109351</v>
      </c>
      <c r="J82">
        <v>26.61246185688994</v>
      </c>
      <c r="K82">
        <v>5.880208333333272</v>
      </c>
      <c r="L82">
        <v>1</v>
      </c>
      <c r="M82">
        <v>547.8043984434155</v>
      </c>
      <c r="N82">
        <v>26.153246200044414</v>
      </c>
      <c r="O82">
        <v>11.772135416666893</v>
      </c>
      <c r="P82">
        <v>1</v>
      </c>
      <c r="Q82">
        <v>16811.113176815892</v>
      </c>
      <c r="R82">
        <v>17.634616118814353</v>
      </c>
      <c r="S82">
        <v>11.772135416666893</v>
      </c>
      <c r="T82">
        <v>1</v>
      </c>
      <c r="U82">
        <v>16811.113176815892</v>
      </c>
      <c r="V82">
        <v>17.634616118814353</v>
      </c>
      <c r="W82">
        <v>15.822916666667373</v>
      </c>
      <c r="X82">
        <v>1</v>
      </c>
      <c r="Y82">
        <v>466579.2761915109</v>
      </c>
      <c r="Z82">
        <v>15.973617378232266</v>
      </c>
      <c r="AA82">
        <v>16.35416666666731</v>
      </c>
      <c r="AB82">
        <v>1</v>
      </c>
      <c r="AC82">
        <v>1156635.5503671505</v>
      </c>
      <c r="AD82">
        <v>16.804371732275854</v>
      </c>
      <c r="AE82">
        <v>33.62239583333112</v>
      </c>
      <c r="AF82">
        <v>1</v>
      </c>
      <c r="AG82">
        <v>2373885.479293113</v>
      </c>
      <c r="AH82">
        <v>7.806891080019505</v>
      </c>
      <c r="AI82">
        <v>33.7083333333312</v>
      </c>
      <c r="AJ82">
        <v>1</v>
      </c>
      <c r="AK82">
        <v>3029184.2478419244</v>
      </c>
      <c r="AL82">
        <v>27.68890020240391</v>
      </c>
      <c r="AM82">
        <v>42.78854166666863</v>
      </c>
      <c r="AN82">
        <v>1</v>
      </c>
      <c r="AO82">
        <v>4197486.261800543</v>
      </c>
      <c r="AP82">
        <v>7.7376575609596605</v>
      </c>
      <c r="AQ82">
        <v>102.50686474582693</v>
      </c>
      <c r="AR82">
        <v>12</v>
      </c>
      <c r="AS82">
        <v>2.5466731537450675</v>
      </c>
      <c r="AT82">
        <v>11</v>
      </c>
      <c r="AU82">
        <v>0.006508475419329792</v>
      </c>
      <c r="AV82" t="s">
        <v>52</v>
      </c>
    </row>
    <row r="85" spans="3:51" ht="12.75">
      <c r="C85" t="s">
        <v>48</v>
      </c>
      <c r="D85" t="s">
        <v>10</v>
      </c>
      <c r="E85" t="s">
        <v>50</v>
      </c>
      <c r="F85" t="s">
        <v>49</v>
      </c>
      <c r="G85" t="s">
        <v>48</v>
      </c>
      <c r="H85" t="s">
        <v>10</v>
      </c>
      <c r="I85" t="s">
        <v>50</v>
      </c>
      <c r="J85" t="s">
        <v>49</v>
      </c>
      <c r="K85" t="s">
        <v>48</v>
      </c>
      <c r="L85" t="s">
        <v>10</v>
      </c>
      <c r="M85" t="s">
        <v>50</v>
      </c>
      <c r="N85" t="s">
        <v>49</v>
      </c>
      <c r="O85" t="s">
        <v>48</v>
      </c>
      <c r="P85" t="s">
        <v>10</v>
      </c>
      <c r="Q85" t="s">
        <v>50</v>
      </c>
      <c r="R85" t="s">
        <v>49</v>
      </c>
      <c r="S85" t="s">
        <v>48</v>
      </c>
      <c r="T85" t="s">
        <v>10</v>
      </c>
      <c r="U85" t="s">
        <v>50</v>
      </c>
      <c r="V85" t="s">
        <v>49</v>
      </c>
      <c r="W85" t="s">
        <v>48</v>
      </c>
      <c r="X85" t="s">
        <v>10</v>
      </c>
      <c r="Y85" t="s">
        <v>50</v>
      </c>
      <c r="Z85" t="s">
        <v>49</v>
      </c>
      <c r="AA85" t="s">
        <v>48</v>
      </c>
      <c r="AB85" t="s">
        <v>10</v>
      </c>
      <c r="AC85" t="s">
        <v>50</v>
      </c>
      <c r="AD85" t="s">
        <v>49</v>
      </c>
      <c r="AE85" t="s">
        <v>48</v>
      </c>
      <c r="AF85" t="s">
        <v>10</v>
      </c>
      <c r="AG85" t="s">
        <v>50</v>
      </c>
      <c r="AH85" t="s">
        <v>49</v>
      </c>
      <c r="AI85" t="s">
        <v>48</v>
      </c>
      <c r="AJ85" t="s">
        <v>10</v>
      </c>
      <c r="AK85" t="s">
        <v>50</v>
      </c>
      <c r="AL85" t="s">
        <v>49</v>
      </c>
      <c r="AM85" t="s">
        <v>48</v>
      </c>
      <c r="AN85" t="s">
        <v>10</v>
      </c>
      <c r="AO85" t="s">
        <v>50</v>
      </c>
      <c r="AP85" t="s">
        <v>49</v>
      </c>
      <c r="AQ85" t="s">
        <v>135</v>
      </c>
      <c r="AR85" t="s">
        <v>134</v>
      </c>
      <c r="AS85" t="s">
        <v>50</v>
      </c>
      <c r="AT85" t="s">
        <v>140</v>
      </c>
      <c r="AU85" t="s">
        <v>141</v>
      </c>
      <c r="AV85">
        <v>8.447143094238495E-06</v>
      </c>
      <c r="AW85">
        <f>AV85/$AV$53</f>
        <v>1.062635679986976</v>
      </c>
      <c r="AX85" s="242">
        <f>(AV85-AV77)/AV77</f>
        <v>0.007124051499468989</v>
      </c>
      <c r="AY85" s="242">
        <f>(AV85-$AV$53)/$AV$53</f>
        <v>0.06263567998697596</v>
      </c>
    </row>
    <row r="86" spans="2:48" ht="12.75">
      <c r="B86" t="s">
        <v>65</v>
      </c>
      <c r="C86">
        <v>0.3021401041666671</v>
      </c>
      <c r="D86">
        <v>0.07212292750964312</v>
      </c>
      <c r="E86">
        <v>136432.15274968446</v>
      </c>
      <c r="F86">
        <v>24.62145335705008</v>
      </c>
      <c r="G86">
        <v>2.4158106770833294</v>
      </c>
      <c r="H86">
        <v>0.07690345332660196</v>
      </c>
      <c r="I86">
        <v>154263581.4939087</v>
      </c>
      <c r="J86">
        <v>14.759066328228922</v>
      </c>
      <c r="K86">
        <v>2.669491666666667</v>
      </c>
      <c r="L86">
        <v>0.07741319716447666</v>
      </c>
      <c r="M86">
        <v>160507328.95433763</v>
      </c>
      <c r="N86">
        <v>12.708772547261239</v>
      </c>
      <c r="O86">
        <v>5.0482723958332905</v>
      </c>
      <c r="P86">
        <v>0.08260114787235551</v>
      </c>
      <c r="Q86">
        <v>249189106.4044646</v>
      </c>
      <c r="R86">
        <v>9.799370752543666</v>
      </c>
      <c r="S86">
        <v>5.0482723958332905</v>
      </c>
      <c r="T86">
        <v>0.08260114787235551</v>
      </c>
      <c r="U86">
        <v>249189106.4044646</v>
      </c>
      <c r="V86">
        <v>9.799370752543666</v>
      </c>
      <c r="W86">
        <v>7.052002343749945</v>
      </c>
      <c r="X86">
        <v>0.08673895336811342</v>
      </c>
      <c r="Y86">
        <v>352077646.0136295</v>
      </c>
      <c r="Z86">
        <v>9.449449238530699</v>
      </c>
      <c r="AA86">
        <v>7.642421874999933</v>
      </c>
      <c r="AB86">
        <v>0.08788088370934796</v>
      </c>
      <c r="AC86">
        <v>374027524.7693177</v>
      </c>
      <c r="AD86">
        <v>10.486283664005699</v>
      </c>
      <c r="AE86">
        <v>17.13517395833347</v>
      </c>
      <c r="AF86">
        <v>0.10205907259614383</v>
      </c>
      <c r="AG86">
        <v>396051559.0053224</v>
      </c>
      <c r="AH86">
        <v>4.8886382575259</v>
      </c>
      <c r="AI86">
        <v>17.18257031250023</v>
      </c>
      <c r="AJ86">
        <v>0.1023964843583888</v>
      </c>
      <c r="AK86">
        <v>398723764.9087728</v>
      </c>
      <c r="AL86">
        <v>16.63543847702711</v>
      </c>
      <c r="AM86">
        <v>24.183163281250543</v>
      </c>
      <c r="AN86">
        <v>0.11634465195605417</v>
      </c>
      <c r="AO86">
        <v>416689813.1681501</v>
      </c>
      <c r="AP86">
        <v>4.827232497640526</v>
      </c>
      <c r="AQ86">
        <v>25.34675443054936</v>
      </c>
      <c r="AR86">
        <v>8.56112077777756</v>
      </c>
      <c r="AS86">
        <v>3794533.1129450174</v>
      </c>
      <c r="AT86">
        <v>3.2164</v>
      </c>
      <c r="AU86">
        <v>0.028373027175476885</v>
      </c>
      <c r="AV86" t="s">
        <v>65</v>
      </c>
    </row>
    <row r="87" spans="2:48" ht="12.75">
      <c r="B87" t="s">
        <v>64</v>
      </c>
      <c r="C87">
        <v>0.2526041666666663</v>
      </c>
      <c r="D87">
        <v>0.025424577641412316</v>
      </c>
      <c r="E87">
        <v>9.64286791292957</v>
      </c>
      <c r="F87">
        <v>24.20393118878649</v>
      </c>
      <c r="G87">
        <v>2.1354166666666816</v>
      </c>
      <c r="H87">
        <v>0.02763150419926591</v>
      </c>
      <c r="I87">
        <v>11.232826957800832</v>
      </c>
      <c r="J87">
        <v>13.776910507708948</v>
      </c>
      <c r="K87">
        <v>2.438802083333332</v>
      </c>
      <c r="L87">
        <v>0.027885531549086295</v>
      </c>
      <c r="M87">
        <v>11.212590992529922</v>
      </c>
      <c r="N87">
        <v>11.265041061022082</v>
      </c>
      <c r="O87">
        <v>3.9635416666665777</v>
      </c>
      <c r="P87">
        <v>0.029586703465114494</v>
      </c>
      <c r="Q87">
        <v>12.08134551766441</v>
      </c>
      <c r="R87">
        <v>9.243827694658691</v>
      </c>
      <c r="S87">
        <v>3.9635416666665777</v>
      </c>
      <c r="T87">
        <v>0.029586703465114494</v>
      </c>
      <c r="U87">
        <v>12.08134551766441</v>
      </c>
      <c r="V87">
        <v>9.243827694658691</v>
      </c>
      <c r="W87">
        <v>5.726562500000105</v>
      </c>
      <c r="X87">
        <v>0.03129424366064526</v>
      </c>
      <c r="Y87">
        <v>12.597457985229111</v>
      </c>
      <c r="Z87">
        <v>9.095726121105752</v>
      </c>
      <c r="AA87">
        <v>6.32682291666684</v>
      </c>
      <c r="AB87">
        <v>0.03184249999262545</v>
      </c>
      <c r="AC87">
        <v>12.82022661775825</v>
      </c>
      <c r="AD87">
        <v>10.139880092177604</v>
      </c>
      <c r="AE87">
        <v>15.158854166665401</v>
      </c>
      <c r="AF87">
        <v>0.03881896821302944</v>
      </c>
      <c r="AG87">
        <v>13.071728792052888</v>
      </c>
      <c r="AH87">
        <v>4</v>
      </c>
      <c r="AI87">
        <v>15.207031249998725</v>
      </c>
      <c r="AJ87">
        <v>0.038987259199256386</v>
      </c>
      <c r="AK87">
        <v>13.073732065474868</v>
      </c>
      <c r="AL87">
        <v>16.26151002136117</v>
      </c>
      <c r="AM87">
        <v>22.25130208333472</v>
      </c>
      <c r="AN87">
        <v>0.045381159730190634</v>
      </c>
      <c r="AO87">
        <v>13.192329646595107</v>
      </c>
      <c r="AP87">
        <v>4</v>
      </c>
      <c r="AQ87">
        <v>8.735040018064893</v>
      </c>
      <c r="AR87">
        <v>12</v>
      </c>
      <c r="AS87">
        <v>0.0001</v>
      </c>
      <c r="AT87">
        <v>2</v>
      </c>
      <c r="AU87">
        <v>0.0001</v>
      </c>
      <c r="AV87" t="s">
        <v>64</v>
      </c>
    </row>
    <row r="88" spans="2:48" ht="12.75">
      <c r="B88" t="s">
        <v>66</v>
      </c>
      <c r="C88">
        <v>0.19850313247980703</v>
      </c>
      <c r="D88">
        <v>0.2072742143519206</v>
      </c>
      <c r="E88">
        <v>11263655.014758999</v>
      </c>
      <c r="F88">
        <v>6.29474209678198</v>
      </c>
      <c r="G88">
        <v>1.7044069403508153</v>
      </c>
      <c r="H88">
        <v>0.21207499513012193</v>
      </c>
      <c r="I88">
        <v>2406500824.0128884</v>
      </c>
      <c r="J88">
        <v>6.004246009688144</v>
      </c>
      <c r="K88">
        <v>1.7658468905626328</v>
      </c>
      <c r="L88">
        <v>0.21262556823360695</v>
      </c>
      <c r="M88">
        <v>2445941952.8010106</v>
      </c>
      <c r="N88">
        <v>6.265113448214226</v>
      </c>
      <c r="O88">
        <v>4.551917536670805</v>
      </c>
      <c r="P88">
        <v>0.21772473707632176</v>
      </c>
      <c r="Q88">
        <v>3044610256.7900743</v>
      </c>
      <c r="R88">
        <v>4.287662984197657</v>
      </c>
      <c r="S88">
        <v>4.551917536670805</v>
      </c>
      <c r="T88">
        <v>0.21772473707632176</v>
      </c>
      <c r="U88">
        <v>3044610256.7900743</v>
      </c>
      <c r="V88">
        <v>4.287662984197657</v>
      </c>
      <c r="W88">
        <v>5.274547261984416</v>
      </c>
      <c r="X88">
        <v>0.22188798190780867</v>
      </c>
      <c r="Y88">
        <v>3629209941.142309</v>
      </c>
      <c r="Z88">
        <v>3.6247366602720033</v>
      </c>
      <c r="AA88">
        <v>5.284886351521107</v>
      </c>
      <c r="AB88">
        <v>0.2228784752462595</v>
      </c>
      <c r="AC88">
        <v>3727321161.396968</v>
      </c>
      <c r="AD88">
        <v>3.55962921814948</v>
      </c>
      <c r="AE88">
        <v>8.871118732487126</v>
      </c>
      <c r="AF88">
        <v>0.23408164068701612</v>
      </c>
      <c r="AG88">
        <v>3839623361.359155</v>
      </c>
      <c r="AH88">
        <v>1.3560324349425656</v>
      </c>
      <c r="AI88">
        <v>8.871038329688353</v>
      </c>
      <c r="AJ88">
        <v>0.234388112721797</v>
      </c>
      <c r="AK88">
        <v>3846032804.855234</v>
      </c>
      <c r="AL88">
        <v>6.314967835628794</v>
      </c>
      <c r="AM88">
        <v>9.948633769167554</v>
      </c>
      <c r="AN88">
        <v>0.2459876594397969</v>
      </c>
      <c r="AO88">
        <v>3930939042.2779617</v>
      </c>
      <c r="AP88">
        <v>1.3526069273399088</v>
      </c>
      <c r="AQ88">
        <v>53.875628117566805</v>
      </c>
      <c r="AR88">
        <v>3.9086007431805716</v>
      </c>
      <c r="AS88">
        <v>110227802.53455283</v>
      </c>
      <c r="AT88">
        <v>4.497843271992694</v>
      </c>
      <c r="AU88">
        <v>0.3259782493772481</v>
      </c>
      <c r="AV88" t="s">
        <v>66</v>
      </c>
    </row>
    <row r="89" spans="2:48" ht="12.75">
      <c r="B89" t="s">
        <v>51</v>
      </c>
      <c r="C89">
        <v>0.0963541666666667</v>
      </c>
      <c r="D89">
        <v>0.024712951176704096</v>
      </c>
      <c r="E89">
        <v>1</v>
      </c>
      <c r="F89">
        <v>15.004151370165633</v>
      </c>
      <c r="G89">
        <v>0.1979166666666665</v>
      </c>
      <c r="H89">
        <v>0.02501143335010251</v>
      </c>
      <c r="I89">
        <v>1</v>
      </c>
      <c r="J89">
        <v>6.994654023128474</v>
      </c>
      <c r="K89">
        <v>0.1979166666666665</v>
      </c>
      <c r="L89">
        <v>0.02501538698103762</v>
      </c>
      <c r="M89">
        <v>1</v>
      </c>
      <c r="N89">
        <v>5.394792610116981</v>
      </c>
      <c r="O89">
        <v>1.4713541666666743</v>
      </c>
      <c r="P89">
        <v>0.026282430796223187</v>
      </c>
      <c r="Q89">
        <v>1</v>
      </c>
      <c r="R89">
        <v>4</v>
      </c>
      <c r="S89">
        <v>1.4713541666666743</v>
      </c>
      <c r="T89">
        <v>0.026282430796223187</v>
      </c>
      <c r="U89">
        <v>1</v>
      </c>
      <c r="V89">
        <v>4</v>
      </c>
      <c r="W89">
        <v>2.247395833333342</v>
      </c>
      <c r="X89">
        <v>0.0269826137991498</v>
      </c>
      <c r="Y89">
        <v>1</v>
      </c>
      <c r="Z89">
        <v>4</v>
      </c>
      <c r="AA89">
        <v>2.7734374999999787</v>
      </c>
      <c r="AB89">
        <v>0.027394865087686782</v>
      </c>
      <c r="AC89">
        <v>1</v>
      </c>
      <c r="AD89">
        <v>5.243399588205409</v>
      </c>
      <c r="AE89">
        <v>7.395703125000295</v>
      </c>
      <c r="AF89">
        <v>0.030753118301374643</v>
      </c>
      <c r="AG89">
        <v>1</v>
      </c>
      <c r="AH89">
        <v>4</v>
      </c>
      <c r="AI89">
        <v>7.440104166666966</v>
      </c>
      <c r="AJ89">
        <v>0.03084222730689907</v>
      </c>
      <c r="AK89">
        <v>1</v>
      </c>
      <c r="AL89">
        <v>7.433064017484918</v>
      </c>
      <c r="AM89">
        <v>12.328124999999378</v>
      </c>
      <c r="AN89">
        <v>0.03439353747420892</v>
      </c>
      <c r="AO89">
        <v>1</v>
      </c>
      <c r="AP89">
        <v>4</v>
      </c>
      <c r="AQ89">
        <v>1</v>
      </c>
      <c r="AR89">
        <v>0.94</v>
      </c>
      <c r="AS89">
        <v>0.0001</v>
      </c>
      <c r="AT89">
        <v>1</v>
      </c>
      <c r="AU89">
        <v>0.0001</v>
      </c>
      <c r="AV89" t="s">
        <v>51</v>
      </c>
    </row>
    <row r="90" spans="2:48" ht="12.75">
      <c r="B90" t="s">
        <v>52</v>
      </c>
      <c r="C90">
        <v>0.6822916666666654</v>
      </c>
      <c r="D90">
        <v>0.05321560336856837</v>
      </c>
      <c r="E90">
        <v>120.90248507001715</v>
      </c>
      <c r="F90">
        <v>35.64909613641596</v>
      </c>
      <c r="G90">
        <v>5.5678385416667515</v>
      </c>
      <c r="H90">
        <v>1</v>
      </c>
      <c r="I90">
        <v>581.3234747191509</v>
      </c>
      <c r="J90">
        <v>26.612461982095947</v>
      </c>
      <c r="K90">
        <v>5.877604166666789</v>
      </c>
      <c r="L90">
        <v>1</v>
      </c>
      <c r="M90">
        <v>594.8445091521351</v>
      </c>
      <c r="N90">
        <v>26.16634251149281</v>
      </c>
      <c r="O90">
        <v>11.769661458332818</v>
      </c>
      <c r="P90">
        <v>1</v>
      </c>
      <c r="Q90">
        <v>18219.413847855223</v>
      </c>
      <c r="R90">
        <v>17.634925770561217</v>
      </c>
      <c r="S90">
        <v>11.769661458332818</v>
      </c>
      <c r="T90">
        <v>1</v>
      </c>
      <c r="U90">
        <v>18219.413847855223</v>
      </c>
      <c r="V90">
        <v>17.634925770561217</v>
      </c>
      <c r="W90">
        <v>15.820442708331916</v>
      </c>
      <c r="X90">
        <v>1</v>
      </c>
      <c r="Y90">
        <v>545576.2948600965</v>
      </c>
      <c r="Z90">
        <v>15.973445280150274</v>
      </c>
      <c r="AA90">
        <v>16.351562499998703</v>
      </c>
      <c r="AB90">
        <v>1</v>
      </c>
      <c r="AC90">
        <v>1231897.7262615496</v>
      </c>
      <c r="AD90">
        <v>16.804372205029683</v>
      </c>
      <c r="AE90">
        <v>33.62239583333764</v>
      </c>
      <c r="AF90">
        <v>1</v>
      </c>
      <c r="AG90">
        <v>2765559.907962792</v>
      </c>
      <c r="AH90">
        <v>7.806891079865823</v>
      </c>
      <c r="AI90">
        <v>33.705859375004266</v>
      </c>
      <c r="AJ90">
        <v>1</v>
      </c>
      <c r="AK90">
        <v>3336549.0707356273</v>
      </c>
      <c r="AL90">
        <v>27.750351330101665</v>
      </c>
      <c r="AM90">
        <v>42.788411458329314</v>
      </c>
      <c r="AN90">
        <v>1</v>
      </c>
      <c r="AO90">
        <v>4606428.313082953</v>
      </c>
      <c r="AP90">
        <v>7.737657560959666</v>
      </c>
      <c r="AQ90">
        <v>102.50686474582693</v>
      </c>
      <c r="AR90">
        <v>12</v>
      </c>
      <c r="AS90">
        <v>2.546673785820329</v>
      </c>
      <c r="AT90">
        <v>11</v>
      </c>
      <c r="AU90">
        <v>0.006508477027800537</v>
      </c>
      <c r="AV90" t="s">
        <v>52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C2:R71"/>
  <sheetViews>
    <sheetView workbookViewId="0" topLeftCell="A1">
      <selection activeCell="A1" sqref="A1"/>
    </sheetView>
  </sheetViews>
  <sheetFormatPr defaultColWidth="9.140625" defaultRowHeight="12.75"/>
  <cols>
    <col min="8" max="8" width="18.421875" style="0" bestFit="1" customWidth="1"/>
    <col min="14" max="14" width="24.28125" style="0" bestFit="1" customWidth="1"/>
    <col min="15" max="15" width="11.00390625" style="0" customWidth="1"/>
    <col min="16" max="16" width="10.00390625" style="0" customWidth="1"/>
  </cols>
  <sheetData>
    <row r="2" spans="3:18" ht="12.75">
      <c r="C2" t="s">
        <v>22</v>
      </c>
      <c r="D2" t="s">
        <v>396</v>
      </c>
      <c r="E2" t="s">
        <v>397</v>
      </c>
      <c r="F2" t="s">
        <v>397</v>
      </c>
      <c r="G2" t="e">
        <f>CORREL(E3:E65536,F3:F65536)</f>
        <v>#DIV/0!</v>
      </c>
      <c r="N2" s="324" t="s">
        <v>433</v>
      </c>
      <c r="O2" s="325"/>
      <c r="P2" s="325"/>
      <c r="Q2" s="325"/>
      <c r="R2" s="326"/>
    </row>
    <row r="3" spans="14:18" ht="12.75">
      <c r="N3" s="327" t="s">
        <v>437</v>
      </c>
      <c r="O3" s="327" t="s">
        <v>436</v>
      </c>
      <c r="P3" s="327"/>
      <c r="Q3" s="327"/>
      <c r="R3" s="327"/>
    </row>
    <row r="4" spans="11:18" ht="12.75">
      <c r="K4" t="s">
        <v>48</v>
      </c>
      <c r="L4">
        <v>0.023000396670966036</v>
      </c>
      <c r="N4" s="327"/>
      <c r="O4" s="112" t="s">
        <v>427</v>
      </c>
      <c r="P4" s="112" t="s">
        <v>49</v>
      </c>
      <c r="Q4" s="112" t="s">
        <v>10</v>
      </c>
      <c r="R4" s="112" t="s">
        <v>50</v>
      </c>
    </row>
    <row r="5" spans="8:18" ht="12.75">
      <c r="H5" t="s">
        <v>398</v>
      </c>
      <c r="I5" s="19" t="e">
        <v>#DIV/0!</v>
      </c>
      <c r="K5" t="s">
        <v>10</v>
      </c>
      <c r="L5">
        <v>0.09010705244967493</v>
      </c>
      <c r="N5" s="185" t="s">
        <v>386</v>
      </c>
      <c r="O5" s="189">
        <f>L4</f>
        <v>0.023000396670966036</v>
      </c>
      <c r="P5" s="189">
        <f>L7</f>
        <v>0.014147967186752855</v>
      </c>
      <c r="Q5" s="189">
        <f>L5</f>
        <v>0.09010705244967493</v>
      </c>
      <c r="R5" s="189">
        <f>L6</f>
        <v>0.14969975322467155</v>
      </c>
    </row>
    <row r="6" spans="8:18" ht="12.75">
      <c r="H6" t="s">
        <v>399</v>
      </c>
      <c r="I6" s="19" t="e">
        <v>#DIV/0!</v>
      </c>
      <c r="K6" t="s">
        <v>50</v>
      </c>
      <c r="L6">
        <v>0.14969975322467155</v>
      </c>
      <c r="N6" s="185" t="s">
        <v>428</v>
      </c>
      <c r="O6" s="189">
        <f>L8</f>
        <v>0.03361665020149792</v>
      </c>
      <c r="P6" s="189">
        <f>L11</f>
        <v>0.048073636121578264</v>
      </c>
      <c r="Q6" s="189">
        <f>L9</f>
        <v>0.11974196981136156</v>
      </c>
      <c r="R6" s="189">
        <f>L10</f>
        <v>0.3257224774341565</v>
      </c>
    </row>
    <row r="7" spans="8:18" ht="12.75">
      <c r="H7" t="s">
        <v>400</v>
      </c>
      <c r="I7" s="19" t="e">
        <v>#DIV/0!</v>
      </c>
      <c r="K7" t="s">
        <v>49</v>
      </c>
      <c r="L7">
        <v>0.014147967186752855</v>
      </c>
      <c r="N7" s="185" t="s">
        <v>431</v>
      </c>
      <c r="O7" s="189">
        <f>L12</f>
        <v>0.03331808288706783</v>
      </c>
      <c r="P7" s="189">
        <f>L15</f>
        <v>0.017723412131296825</v>
      </c>
      <c r="Q7" s="189">
        <f>L13</f>
        <v>0.12040453018307991</v>
      </c>
      <c r="R7" s="189">
        <f>L14</f>
        <v>0.33536746266136214</v>
      </c>
    </row>
    <row r="8" spans="8:18" ht="12.75">
      <c r="H8" t="s">
        <v>401</v>
      </c>
      <c r="I8" s="19">
        <v>0.021062636338578182</v>
      </c>
      <c r="K8" t="s">
        <v>48</v>
      </c>
      <c r="L8">
        <v>0.03361665020149792</v>
      </c>
      <c r="N8" s="185" t="s">
        <v>429</v>
      </c>
      <c r="O8" s="189">
        <f>L16</f>
        <v>0.05401261210781169</v>
      </c>
      <c r="P8" s="189">
        <f>L19</f>
        <v>0.04054414649714349</v>
      </c>
      <c r="Q8" s="189">
        <f>L17</f>
        <v>0.14699197449823861</v>
      </c>
      <c r="R8" s="189">
        <f>L18</f>
        <v>0.4023197592237888</v>
      </c>
    </row>
    <row r="9" spans="8:18" ht="12.75">
      <c r="H9" t="s">
        <v>402</v>
      </c>
      <c r="I9" s="19">
        <v>0.03153505055774923</v>
      </c>
      <c r="K9" t="s">
        <v>10</v>
      </c>
      <c r="L9">
        <v>0.11974196981136156</v>
      </c>
      <c r="N9" s="185" t="s">
        <v>430</v>
      </c>
      <c r="O9" s="189">
        <f>L24</f>
        <v>0.05974178600126936</v>
      </c>
      <c r="P9" s="189">
        <f>L27</f>
        <v>0.04091397467858782</v>
      </c>
      <c r="Q9" s="189">
        <f>L25</f>
        <v>0.1542056637325862</v>
      </c>
      <c r="R9" s="189">
        <f>L26</f>
        <v>0.426316599249161</v>
      </c>
    </row>
    <row r="10" spans="8:18" ht="12.75">
      <c r="H10" t="s">
        <v>403</v>
      </c>
      <c r="I10" s="19">
        <v>-0.004806120311580739</v>
      </c>
      <c r="K10" t="s">
        <v>50</v>
      </c>
      <c r="L10">
        <v>0.3257224774341565</v>
      </c>
      <c r="N10" s="185" t="s">
        <v>54</v>
      </c>
      <c r="O10" s="189">
        <f>L28</f>
        <v>0.06068835596695048</v>
      </c>
      <c r="P10" s="189">
        <f>L31</f>
        <v>0.027945328167631102</v>
      </c>
      <c r="Q10" s="189">
        <f>L29</f>
        <v>0.15627480580645572</v>
      </c>
      <c r="R10" s="189">
        <f>L30</f>
        <v>0.4320995037859791</v>
      </c>
    </row>
    <row r="11" spans="8:18" ht="12.75">
      <c r="H11" t="s">
        <v>404</v>
      </c>
      <c r="I11" s="19">
        <v>-0.004806120311580739</v>
      </c>
      <c r="K11" t="s">
        <v>49</v>
      </c>
      <c r="L11">
        <v>0.048073636121578264</v>
      </c>
      <c r="N11" s="185" t="s">
        <v>53</v>
      </c>
      <c r="O11" s="189">
        <f>L32</f>
        <v>0.03326165437588458</v>
      </c>
      <c r="P11" s="189">
        <f>L35</f>
        <v>0.0235258671552685</v>
      </c>
      <c r="Q11" s="189">
        <f>L33</f>
        <v>0.1445677316419035</v>
      </c>
      <c r="R11" s="189">
        <f>L34</f>
        <v>0.436961420285443</v>
      </c>
    </row>
    <row r="12" spans="8:18" ht="12.75">
      <c r="H12" t="s">
        <v>405</v>
      </c>
      <c r="I12" s="19">
        <v>-0.0003604243883977357</v>
      </c>
      <c r="K12" t="s">
        <v>48</v>
      </c>
      <c r="L12">
        <v>0.03331808288706783</v>
      </c>
      <c r="N12" s="185" t="s">
        <v>59</v>
      </c>
      <c r="O12" s="189">
        <f>L36</f>
        <v>0.03325855126521946</v>
      </c>
      <c r="P12" s="189">
        <f>L39</f>
        <v>0.007402979681582079</v>
      </c>
      <c r="Q12" s="189">
        <f>L37</f>
        <v>0.14468482356800846</v>
      </c>
      <c r="R12" s="189">
        <f>L38</f>
        <v>0.4380850166011188</v>
      </c>
    </row>
    <row r="13" spans="8:18" ht="12.75">
      <c r="H13" t="s">
        <v>406</v>
      </c>
      <c r="I13" s="19">
        <v>-0.004806120311580739</v>
      </c>
      <c r="K13" t="s">
        <v>10</v>
      </c>
      <c r="L13">
        <v>0.12040453018307991</v>
      </c>
      <c r="N13" s="185" t="s">
        <v>432</v>
      </c>
      <c r="O13" s="189">
        <f>L40</f>
        <v>0.03082395197790546</v>
      </c>
      <c r="P13" s="189">
        <f>L43</f>
        <v>0.01461387913497975</v>
      </c>
      <c r="Q13" s="189">
        <f>L41</f>
        <v>0.14399020645737964</v>
      </c>
      <c r="R13" s="189">
        <f>L42</f>
        <v>0.44095640507760453</v>
      </c>
    </row>
    <row r="14" spans="8:12" ht="12.75">
      <c r="H14" t="s">
        <v>407</v>
      </c>
      <c r="I14" s="19">
        <v>0.02791163504710126</v>
      </c>
      <c r="K14" t="s">
        <v>50</v>
      </c>
      <c r="L14">
        <v>0.33536746266136214</v>
      </c>
    </row>
    <row r="15" spans="8:14" ht="12.75">
      <c r="H15" t="s">
        <v>408</v>
      </c>
      <c r="I15" s="19">
        <v>0.02791163504710126</v>
      </c>
      <c r="K15" t="s">
        <v>49</v>
      </c>
      <c r="L15">
        <v>0.017723412131296825</v>
      </c>
      <c r="N15" t="s">
        <v>434</v>
      </c>
    </row>
    <row r="16" spans="8:17" ht="12.75">
      <c r="H16" t="s">
        <v>409</v>
      </c>
      <c r="I16" s="19">
        <v>0.02791163504710126</v>
      </c>
      <c r="K16" t="s">
        <v>48</v>
      </c>
      <c r="L16">
        <v>0.05401261210781169</v>
      </c>
      <c r="N16" s="327" t="s">
        <v>437</v>
      </c>
      <c r="O16" s="327" t="s">
        <v>436</v>
      </c>
      <c r="P16" s="327"/>
      <c r="Q16" s="327"/>
    </row>
    <row r="17" spans="8:17" ht="12.75">
      <c r="H17" t="s">
        <v>410</v>
      </c>
      <c r="I17" s="19">
        <v>0.02791163504710126</v>
      </c>
      <c r="K17" t="s">
        <v>10</v>
      </c>
      <c r="L17">
        <v>0.14699197449823861</v>
      </c>
      <c r="N17" s="327"/>
      <c r="O17" s="112" t="s">
        <v>14</v>
      </c>
      <c r="P17" s="112" t="s">
        <v>15</v>
      </c>
      <c r="Q17" s="112" t="s">
        <v>8</v>
      </c>
    </row>
    <row r="18" spans="8:17" ht="12.75">
      <c r="H18" t="s">
        <v>411</v>
      </c>
      <c r="I18" s="19">
        <v>0.02102104134077946</v>
      </c>
      <c r="K18" t="s">
        <v>50</v>
      </c>
      <c r="L18">
        <v>0.4023197592237888</v>
      </c>
      <c r="N18" s="185" t="s">
        <v>386</v>
      </c>
      <c r="O18" s="189">
        <f>O41</f>
        <v>0.02337315957123158</v>
      </c>
      <c r="P18" s="189">
        <f>O42</f>
        <v>0.014955335435688034</v>
      </c>
      <c r="Q18" s="244" t="s">
        <v>440</v>
      </c>
    </row>
    <row r="19" spans="8:17" ht="12.75">
      <c r="H19" t="s">
        <v>412</v>
      </c>
      <c r="I19" s="19">
        <v>0.001644741678112099</v>
      </c>
      <c r="K19" t="s">
        <v>49</v>
      </c>
      <c r="L19">
        <v>0.04054414649714349</v>
      </c>
      <c r="N19" s="185" t="s">
        <v>428</v>
      </c>
      <c r="O19" s="189">
        <f>O44</f>
        <v>0.03209405750977408</v>
      </c>
      <c r="P19" s="189">
        <f>O45</f>
        <v>0.0418177362160894</v>
      </c>
      <c r="Q19" s="189">
        <f>O46</f>
        <v>-0.004619778801151777</v>
      </c>
    </row>
    <row r="20" spans="8:17" ht="12.75">
      <c r="H20" t="s">
        <v>425</v>
      </c>
      <c r="I20" s="19">
        <v>0.010005154198778135</v>
      </c>
      <c r="K20" t="s">
        <v>48</v>
      </c>
      <c r="L20" t="e">
        <v>#N/A</v>
      </c>
      <c r="N20" s="185" t="s">
        <v>431</v>
      </c>
      <c r="O20" s="189">
        <f>O47</f>
        <v>-0.002212980869772131</v>
      </c>
      <c r="P20" s="189">
        <f>O48</f>
        <v>0.004358346774942127</v>
      </c>
      <c r="Q20" s="189">
        <f>O49</f>
        <v>-0.004619778801151777</v>
      </c>
    </row>
    <row r="21" spans="8:17" ht="12.75">
      <c r="H21" t="s">
        <v>413</v>
      </c>
      <c r="I21" s="19">
        <v>0.006591316773876537</v>
      </c>
      <c r="K21" t="s">
        <v>10</v>
      </c>
      <c r="L21" t="e">
        <v>#N/A</v>
      </c>
      <c r="N21" s="185" t="s">
        <v>429</v>
      </c>
      <c r="O21" s="189">
        <f>O50</f>
        <v>0.0339279465610396</v>
      </c>
      <c r="P21" s="189">
        <f>O51</f>
        <v>0.037962038216683675</v>
      </c>
      <c r="Q21" s="189">
        <f>O52</f>
        <v>-0.009149538325731933</v>
      </c>
    </row>
    <row r="22" spans="8:17" ht="12.75">
      <c r="H22" t="s">
        <v>414</v>
      </c>
      <c r="I22" s="19">
        <v>0.001644741678112099</v>
      </c>
      <c r="K22" t="s">
        <v>50</v>
      </c>
      <c r="L22" t="e">
        <v>#N/A</v>
      </c>
      <c r="N22" s="185" t="s">
        <v>430</v>
      </c>
      <c r="O22" s="189">
        <f>O53</f>
        <v>0.020735312658540384</v>
      </c>
      <c r="P22" s="189">
        <f>O54</f>
        <v>0.02102104134077946</v>
      </c>
      <c r="Q22" s="189">
        <f>O55</f>
        <v>0.001644741678112099</v>
      </c>
    </row>
    <row r="23" spans="8:17" ht="12.75">
      <c r="H23" t="s">
        <v>415</v>
      </c>
      <c r="I23" s="19">
        <v>-0.0027743825048161625</v>
      </c>
      <c r="K23" t="s">
        <v>49</v>
      </c>
      <c r="L23" t="e">
        <v>#N/A</v>
      </c>
      <c r="N23" s="185" t="s">
        <v>54</v>
      </c>
      <c r="O23" s="189">
        <f>O56</f>
        <v>0.010005154198778135</v>
      </c>
      <c r="P23" s="189">
        <f>O57</f>
        <v>0.006591316773876537</v>
      </c>
      <c r="Q23" s="189">
        <f>O58</f>
        <v>0.001644741678112099</v>
      </c>
    </row>
    <row r="24" spans="8:17" ht="12.75">
      <c r="H24" t="s">
        <v>416</v>
      </c>
      <c r="I24" s="19">
        <v>0.019389461093196576</v>
      </c>
      <c r="K24" t="s">
        <v>48</v>
      </c>
      <c r="L24">
        <v>0.05974178600126936</v>
      </c>
      <c r="N24" s="185" t="s">
        <v>53</v>
      </c>
      <c r="O24" s="189">
        <f>O59</f>
        <v>-0.0027743825048161625</v>
      </c>
      <c r="P24" s="189">
        <f>O60</f>
        <v>0.019389461093196576</v>
      </c>
      <c r="Q24" s="189">
        <f>O61</f>
        <v>-0.004087597562718501</v>
      </c>
    </row>
    <row r="25" spans="8:17" ht="12.75">
      <c r="H25" t="s">
        <v>417</v>
      </c>
      <c r="I25" s="19">
        <v>-0.004087597562718501</v>
      </c>
      <c r="K25" t="s">
        <v>10</v>
      </c>
      <c r="L25">
        <v>0.1542056637325862</v>
      </c>
      <c r="N25" s="185" t="s">
        <v>59</v>
      </c>
      <c r="O25" s="189">
        <f>O62</f>
        <v>0.0006336193595236305</v>
      </c>
      <c r="P25" s="189">
        <f>O63</f>
        <v>0.003313856156941361</v>
      </c>
      <c r="Q25" s="189">
        <f>O64</f>
        <v>-0.0023974558419413133</v>
      </c>
    </row>
    <row r="26" spans="8:17" ht="12.75">
      <c r="H26" t="s">
        <v>418</v>
      </c>
      <c r="I26" s="19">
        <v>0.0006336193595236305</v>
      </c>
      <c r="K26" t="s">
        <v>50</v>
      </c>
      <c r="L26">
        <v>0.426316599249161</v>
      </c>
      <c r="N26" s="185" t="s">
        <v>432</v>
      </c>
      <c r="O26" s="189">
        <f>O65</f>
        <v>0.0028316944252641555</v>
      </c>
      <c r="P26" s="189">
        <f>O66</f>
        <v>0.01043732236503279</v>
      </c>
      <c r="Q26" s="189">
        <f>O67</f>
        <v>-0.0023974558419413133</v>
      </c>
    </row>
    <row r="27" spans="8:12" ht="12.75">
      <c r="H27" t="s">
        <v>419</v>
      </c>
      <c r="I27" s="19">
        <v>0.003313856156941361</v>
      </c>
      <c r="K27" t="s">
        <v>49</v>
      </c>
      <c r="L27">
        <v>0.04091397467858782</v>
      </c>
    </row>
    <row r="28" spans="8:14" ht="12.75">
      <c r="H28" t="s">
        <v>420</v>
      </c>
      <c r="I28" s="19">
        <v>-0.0023974558419413133</v>
      </c>
      <c r="K28" t="s">
        <v>48</v>
      </c>
      <c r="L28">
        <v>0.06068835596695048</v>
      </c>
      <c r="N28" t="s">
        <v>435</v>
      </c>
    </row>
    <row r="29" spans="8:15" ht="12.75">
      <c r="H29" t="s">
        <v>421</v>
      </c>
      <c r="I29" s="19">
        <v>0.0028316944252641555</v>
      </c>
      <c r="K29" t="s">
        <v>10</v>
      </c>
      <c r="L29">
        <v>0.15627480580645572</v>
      </c>
      <c r="N29" s="112" t="s">
        <v>438</v>
      </c>
      <c r="O29" s="112" t="s">
        <v>439</v>
      </c>
    </row>
    <row r="30" spans="8:15" ht="12.75">
      <c r="H30" t="s">
        <v>422</v>
      </c>
      <c r="I30" s="19">
        <v>0.01043732236503279</v>
      </c>
      <c r="K30" t="s">
        <v>50</v>
      </c>
      <c r="L30">
        <v>0.4320995037859791</v>
      </c>
      <c r="N30" s="185" t="str">
        <f aca="true" t="shared" si="0" ref="N30:O33">H32</f>
        <v>Egg Type</v>
      </c>
      <c r="O30" s="189">
        <f t="shared" si="0"/>
        <v>0.14690762935311202</v>
      </c>
    </row>
    <row r="31" spans="8:15" ht="12.75">
      <c r="H31" t="s">
        <v>423</v>
      </c>
      <c r="I31" s="19">
        <v>-0.0023974558419413133</v>
      </c>
      <c r="K31" t="s">
        <v>49</v>
      </c>
      <c r="L31">
        <v>0.027945328167631102</v>
      </c>
      <c r="N31" s="185" t="str">
        <f t="shared" si="0"/>
        <v>Initial Bact</v>
      </c>
      <c r="O31" s="189">
        <f t="shared" si="0"/>
        <v>0.0641437304857836</v>
      </c>
    </row>
    <row r="32" spans="8:15" ht="12.75">
      <c r="H32" t="s">
        <v>111</v>
      </c>
      <c r="I32" s="19">
        <v>0.14690762935311202</v>
      </c>
      <c r="K32" t="s">
        <v>48</v>
      </c>
      <c r="L32">
        <v>0.03326165437588458</v>
      </c>
      <c r="N32" s="185" t="str">
        <f t="shared" si="0"/>
        <v>Servings</v>
      </c>
      <c r="O32" s="189">
        <f t="shared" si="0"/>
        <v>0.0008145590840498071</v>
      </c>
    </row>
    <row r="33" spans="8:15" ht="12.75">
      <c r="H33" t="s">
        <v>424</v>
      </c>
      <c r="I33" s="19">
        <v>0.0641437304857836</v>
      </c>
      <c r="K33" t="s">
        <v>10</v>
      </c>
      <c r="L33">
        <v>0.1445677316419035</v>
      </c>
      <c r="N33" s="185" t="str">
        <f t="shared" si="0"/>
        <v>Cooking</v>
      </c>
      <c r="O33" s="189">
        <f t="shared" si="0"/>
        <v>-0.8627148711043832</v>
      </c>
    </row>
    <row r="34" spans="8:12" ht="12.75">
      <c r="H34" t="s">
        <v>140</v>
      </c>
      <c r="I34" s="19">
        <v>0.0008145590840498071</v>
      </c>
      <c r="K34" t="s">
        <v>50</v>
      </c>
      <c r="L34">
        <v>0.436961420285443</v>
      </c>
    </row>
    <row r="35" spans="8:12" ht="12.75">
      <c r="H35" t="s">
        <v>134</v>
      </c>
      <c r="I35" s="19">
        <v>-0.8627148711043832</v>
      </c>
      <c r="K35" t="s">
        <v>49</v>
      </c>
      <c r="L35">
        <v>0.0235258671552685</v>
      </c>
    </row>
    <row r="36" spans="11:12" ht="12.75">
      <c r="K36" t="s">
        <v>48</v>
      </c>
      <c r="L36">
        <v>0.03325855126521946</v>
      </c>
    </row>
    <row r="37" spans="11:12" ht="12.75">
      <c r="K37" t="s">
        <v>10</v>
      </c>
      <c r="L37">
        <v>0.14468482356800846</v>
      </c>
    </row>
    <row r="38" spans="11:12" ht="12.75">
      <c r="K38" t="s">
        <v>50</v>
      </c>
      <c r="L38">
        <v>0.4380850166011188</v>
      </c>
    </row>
    <row r="39" spans="11:12" ht="12.75">
      <c r="K39" t="s">
        <v>49</v>
      </c>
      <c r="L39">
        <v>0.007402979681582079</v>
      </c>
    </row>
    <row r="40" spans="11:12" ht="12.75">
      <c r="K40" t="s">
        <v>48</v>
      </c>
      <c r="L40">
        <v>0.03082395197790546</v>
      </c>
    </row>
    <row r="41" spans="11:15" ht="12.75">
      <c r="K41" t="s">
        <v>10</v>
      </c>
      <c r="L41">
        <v>0.14399020645737964</v>
      </c>
      <c r="N41" t="s">
        <v>398</v>
      </c>
      <c r="O41" s="19">
        <v>0.02337315957123158</v>
      </c>
    </row>
    <row r="42" spans="11:15" ht="12.75">
      <c r="K42" t="s">
        <v>50</v>
      </c>
      <c r="L42">
        <v>0.44095640507760453</v>
      </c>
      <c r="N42" t="s">
        <v>399</v>
      </c>
      <c r="O42" s="19">
        <v>0.014955335435688034</v>
      </c>
    </row>
    <row r="43" spans="11:15" ht="12.75">
      <c r="K43" t="s">
        <v>49</v>
      </c>
      <c r="L43">
        <v>0.01461387913497975</v>
      </c>
      <c r="N43" t="s">
        <v>400</v>
      </c>
      <c r="O43" s="19" t="s">
        <v>426</v>
      </c>
    </row>
    <row r="44" spans="11:15" ht="12.75">
      <c r="K44" t="s">
        <v>135</v>
      </c>
      <c r="L44">
        <v>0.0641437304857836</v>
      </c>
      <c r="N44" t="s">
        <v>401</v>
      </c>
      <c r="O44" s="19">
        <v>0.03209405750977408</v>
      </c>
    </row>
    <row r="45" spans="11:15" ht="12.75">
      <c r="K45" t="s">
        <v>134</v>
      </c>
      <c r="L45">
        <v>-0.8627148711043832</v>
      </c>
      <c r="N45" t="s">
        <v>402</v>
      </c>
      <c r="O45" s="19">
        <v>0.0418177362160894</v>
      </c>
    </row>
    <row r="46" spans="11:15" ht="12.75">
      <c r="K46" t="s">
        <v>50</v>
      </c>
      <c r="L46">
        <v>0.9999935803629135</v>
      </c>
      <c r="N46" t="s">
        <v>403</v>
      </c>
      <c r="O46" s="19">
        <v>-0.004619778801151777</v>
      </c>
    </row>
    <row r="47" spans="14:15" ht="12.75">
      <c r="N47" t="s">
        <v>404</v>
      </c>
      <c r="O47" s="19">
        <v>-0.002212980869772131</v>
      </c>
    </row>
    <row r="48" spans="14:15" ht="12.75">
      <c r="N48" t="s">
        <v>405</v>
      </c>
      <c r="O48" s="19">
        <v>0.004358346774942127</v>
      </c>
    </row>
    <row r="49" spans="14:15" ht="12.75">
      <c r="N49" t="s">
        <v>406</v>
      </c>
      <c r="O49" s="19">
        <v>-0.004619778801151777</v>
      </c>
    </row>
    <row r="50" spans="14:15" ht="12.75">
      <c r="N50" t="s">
        <v>407</v>
      </c>
      <c r="O50" s="19">
        <v>0.0339279465610396</v>
      </c>
    </row>
    <row r="51" spans="14:15" ht="12.75">
      <c r="N51" t="s">
        <v>408</v>
      </c>
      <c r="O51" s="19">
        <v>0.037962038216683675</v>
      </c>
    </row>
    <row r="52" spans="14:15" ht="12.75">
      <c r="N52" t="s">
        <v>409</v>
      </c>
      <c r="O52" s="19">
        <v>-0.009149538325731933</v>
      </c>
    </row>
    <row r="53" spans="14:15" ht="12.75">
      <c r="N53" t="s">
        <v>410</v>
      </c>
      <c r="O53" s="19">
        <v>0.020735312658540384</v>
      </c>
    </row>
    <row r="54" spans="14:15" ht="12.75">
      <c r="N54" t="s">
        <v>411</v>
      </c>
      <c r="O54" s="19">
        <v>0.02102104134077946</v>
      </c>
    </row>
    <row r="55" spans="14:15" ht="12.75">
      <c r="N55" t="s">
        <v>412</v>
      </c>
      <c r="O55" s="19">
        <v>0.001644741678112099</v>
      </c>
    </row>
    <row r="56" spans="14:15" ht="12.75">
      <c r="N56" t="s">
        <v>425</v>
      </c>
      <c r="O56" s="19">
        <v>0.010005154198778135</v>
      </c>
    </row>
    <row r="57" spans="14:15" ht="12.75">
      <c r="N57" t="s">
        <v>413</v>
      </c>
      <c r="O57" s="19">
        <v>0.006591316773876537</v>
      </c>
    </row>
    <row r="58" spans="14:15" ht="12.75">
      <c r="N58" t="s">
        <v>414</v>
      </c>
      <c r="O58" s="19">
        <v>0.001644741678112099</v>
      </c>
    </row>
    <row r="59" spans="14:15" ht="12.75">
      <c r="N59" t="s">
        <v>415</v>
      </c>
      <c r="O59" s="19">
        <v>-0.0027743825048161625</v>
      </c>
    </row>
    <row r="60" spans="14:15" ht="12.75">
      <c r="N60" t="s">
        <v>416</v>
      </c>
      <c r="O60" s="19">
        <v>0.019389461093196576</v>
      </c>
    </row>
    <row r="61" spans="14:15" ht="12.75">
      <c r="N61" t="s">
        <v>417</v>
      </c>
      <c r="O61" s="19">
        <v>-0.004087597562718501</v>
      </c>
    </row>
    <row r="62" spans="14:15" ht="12.75">
      <c r="N62" t="s">
        <v>418</v>
      </c>
      <c r="O62" s="19">
        <v>0.0006336193595236305</v>
      </c>
    </row>
    <row r="63" spans="14:15" ht="12.75">
      <c r="N63" t="s">
        <v>419</v>
      </c>
      <c r="O63" s="19">
        <v>0.003313856156941361</v>
      </c>
    </row>
    <row r="64" spans="14:15" ht="12.75">
      <c r="N64" t="s">
        <v>420</v>
      </c>
      <c r="O64" s="19">
        <v>-0.0023974558419413133</v>
      </c>
    </row>
    <row r="65" spans="14:15" ht="12.75">
      <c r="N65" t="s">
        <v>421</v>
      </c>
      <c r="O65" s="19">
        <v>0.0028316944252641555</v>
      </c>
    </row>
    <row r="66" spans="14:15" ht="12.75">
      <c r="N66" t="s">
        <v>422</v>
      </c>
      <c r="O66" s="19">
        <v>0.01043732236503279</v>
      </c>
    </row>
    <row r="67" spans="14:15" ht="12.75">
      <c r="N67" t="s">
        <v>423</v>
      </c>
      <c r="O67" s="19">
        <v>-0.0023974558419413133</v>
      </c>
    </row>
    <row r="68" spans="14:15" ht="12.75">
      <c r="N68" t="s">
        <v>111</v>
      </c>
      <c r="O68" s="19">
        <v>0.14690762935311202</v>
      </c>
    </row>
    <row r="69" spans="14:15" ht="12.75">
      <c r="N69" t="s">
        <v>424</v>
      </c>
      <c r="O69" s="19">
        <v>0.0641437304857836</v>
      </c>
    </row>
    <row r="70" spans="14:15" ht="12.75">
      <c r="N70" t="s">
        <v>140</v>
      </c>
      <c r="O70" s="19">
        <v>0.0008145590840498071</v>
      </c>
    </row>
    <row r="71" spans="14:15" ht="12.75">
      <c r="N71" t="s">
        <v>134</v>
      </c>
      <c r="O71" s="19">
        <v>-0.8627148711043832</v>
      </c>
    </row>
  </sheetData>
  <mergeCells count="5">
    <mergeCell ref="N2:R2"/>
    <mergeCell ref="O3:R3"/>
    <mergeCell ref="N3:N4"/>
    <mergeCell ref="N16:N17"/>
    <mergeCell ref="O16:Q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L205"/>
  <sheetViews>
    <sheetView workbookViewId="0" topLeftCell="A1">
      <selection activeCell="V45" sqref="V45"/>
    </sheetView>
  </sheetViews>
  <sheetFormatPr defaultColWidth="9.140625" defaultRowHeight="12.75"/>
  <cols>
    <col min="1" max="1" width="31.57421875" style="0" bestFit="1" customWidth="1"/>
    <col min="2" max="3" width="12.421875" style="0" bestFit="1" customWidth="1"/>
    <col min="4" max="4" width="11.8515625" style="217" customWidth="1"/>
    <col min="5" max="5" width="13.00390625" style="217" customWidth="1"/>
    <col min="6" max="6" width="10.421875" style="0" customWidth="1"/>
    <col min="10" max="10" width="12.421875" style="0" bestFit="1" customWidth="1"/>
  </cols>
  <sheetData>
    <row r="1" spans="1:8" ht="12.75">
      <c r="A1" s="109" t="s">
        <v>235</v>
      </c>
      <c r="B1" s="109">
        <v>5.91226101306573E-06</v>
      </c>
      <c r="C1" s="109">
        <v>2.364904405226292E-05</v>
      </c>
      <c r="D1" s="220">
        <f>B1/$C$98</f>
        <v>0.5000000000000006</v>
      </c>
      <c r="E1" s="220">
        <f>C1/$C$98</f>
        <v>2.000000000000002</v>
      </c>
      <c r="F1" s="109">
        <f>$C$98</f>
        <v>1.1824522026131448E-05</v>
      </c>
      <c r="H1" t="s">
        <v>303</v>
      </c>
    </row>
    <row r="2" spans="1:8" ht="12.75">
      <c r="A2" s="109" t="s">
        <v>236</v>
      </c>
      <c r="B2" s="109">
        <v>5.91226101306573E-06</v>
      </c>
      <c r="C2" s="109">
        <v>2.364904405226292E-05</v>
      </c>
      <c r="D2" s="220">
        <f aca="true" t="shared" si="0" ref="D2:D65">B2/$C$98</f>
        <v>0.5000000000000006</v>
      </c>
      <c r="E2" s="220">
        <f aca="true" t="shared" si="1" ref="E2:E65">C2/$C$98</f>
        <v>2.000000000000002</v>
      </c>
      <c r="F2" s="109">
        <f aca="true" t="shared" si="2" ref="F2:F65">$C$98</f>
        <v>1.1824522026131448E-05</v>
      </c>
      <c r="H2" t="s">
        <v>304</v>
      </c>
    </row>
    <row r="3" spans="1:8" ht="12.75">
      <c r="A3" s="109" t="s">
        <v>237</v>
      </c>
      <c r="B3" s="109">
        <v>5.91226101306573E-06</v>
      </c>
      <c r="C3" s="109">
        <v>2.364904405226292E-05</v>
      </c>
      <c r="D3" s="220">
        <f t="shared" si="0"/>
        <v>0.5000000000000006</v>
      </c>
      <c r="E3" s="220">
        <f t="shared" si="1"/>
        <v>2.000000000000002</v>
      </c>
      <c r="F3" s="109">
        <f t="shared" si="2"/>
        <v>1.1824522026131448E-05</v>
      </c>
      <c r="H3" t="s">
        <v>305</v>
      </c>
    </row>
    <row r="4" spans="1:8" ht="12.75">
      <c r="A4" s="109" t="s">
        <v>238</v>
      </c>
      <c r="B4" s="109">
        <v>1.0944657776085143E-05</v>
      </c>
      <c r="C4" s="109">
        <v>1.358425052622409E-05</v>
      </c>
      <c r="D4" s="220">
        <f t="shared" si="0"/>
        <v>0.925589867556434</v>
      </c>
      <c r="E4" s="220">
        <f t="shared" si="1"/>
        <v>1.1488202648871348</v>
      </c>
      <c r="F4" s="109">
        <f t="shared" si="2"/>
        <v>1.1824522026131448E-05</v>
      </c>
      <c r="H4" t="s">
        <v>306</v>
      </c>
    </row>
    <row r="5" spans="1:8" ht="12.75">
      <c r="A5" s="109" t="s">
        <v>239</v>
      </c>
      <c r="B5" s="109">
        <v>1.047161248036132E-05</v>
      </c>
      <c r="C5" s="109">
        <v>1.4530341117671739E-05</v>
      </c>
      <c r="D5" s="220">
        <f t="shared" si="0"/>
        <v>0.8855844200061294</v>
      </c>
      <c r="E5" s="220">
        <f t="shared" si="1"/>
        <v>1.2288311599877442</v>
      </c>
      <c r="F5" s="109">
        <f t="shared" si="2"/>
        <v>1.1824522026131448E-05</v>
      </c>
      <c r="H5" t="s">
        <v>307</v>
      </c>
    </row>
    <row r="6" spans="1:8" ht="12.75">
      <c r="A6" s="109" t="s">
        <v>258</v>
      </c>
      <c r="B6" s="109">
        <v>1.1463140123887259E-05</v>
      </c>
      <c r="C6" s="109">
        <v>1.4531505422901768E-05</v>
      </c>
      <c r="D6" s="220">
        <f t="shared" si="0"/>
        <v>0.96943792726289</v>
      </c>
      <c r="E6" s="220">
        <f t="shared" si="1"/>
        <v>1.2289296252980084</v>
      </c>
      <c r="F6" s="109">
        <f t="shared" si="2"/>
        <v>1.1824522026131448E-05</v>
      </c>
      <c r="H6" t="s">
        <v>308</v>
      </c>
    </row>
    <row r="7" spans="1:8" ht="12.75">
      <c r="A7" s="109" t="s">
        <v>259</v>
      </c>
      <c r="B7" s="109">
        <v>1.1713169726984564E-05</v>
      </c>
      <c r="C7" s="109">
        <v>1.3631185144891231E-05</v>
      </c>
      <c r="D7" s="220">
        <f t="shared" si="0"/>
        <v>0.9905829344390579</v>
      </c>
      <c r="E7" s="220">
        <f t="shared" si="1"/>
        <v>1.1527895262715204</v>
      </c>
      <c r="F7" s="109">
        <f t="shared" si="2"/>
        <v>1.1824522026131448E-05</v>
      </c>
      <c r="H7" t="s">
        <v>309</v>
      </c>
    </row>
    <row r="8" spans="1:8" ht="12.75">
      <c r="A8" s="109" t="s">
        <v>260</v>
      </c>
      <c r="B8" s="109">
        <v>1.170298108086429E-05</v>
      </c>
      <c r="C8" s="109">
        <v>1.2060094384585577E-05</v>
      </c>
      <c r="D8" s="220">
        <f t="shared" si="0"/>
        <v>0.9897212804882464</v>
      </c>
      <c r="E8" s="220">
        <f t="shared" si="1"/>
        <v>1.0199223577860932</v>
      </c>
      <c r="F8" s="109">
        <f t="shared" si="2"/>
        <v>1.1824522026131448E-05</v>
      </c>
      <c r="H8" t="s">
        <v>310</v>
      </c>
    </row>
    <row r="9" spans="1:8" ht="12.75">
      <c r="A9" s="109" t="s">
        <v>261</v>
      </c>
      <c r="B9" s="109">
        <v>1.1775133729281909E-05</v>
      </c>
      <c r="C9" s="109">
        <v>1.196505739342126E-05</v>
      </c>
      <c r="D9" s="220">
        <f t="shared" si="0"/>
        <v>0.9958232310159858</v>
      </c>
      <c r="E9" s="220">
        <f t="shared" si="1"/>
        <v>1.0118850780589048</v>
      </c>
      <c r="F9" s="109">
        <f t="shared" si="2"/>
        <v>1.1824522026131448E-05</v>
      </c>
      <c r="H9" t="s">
        <v>471</v>
      </c>
    </row>
    <row r="10" spans="1:8" ht="12.75">
      <c r="A10" s="109" t="s">
        <v>262</v>
      </c>
      <c r="B10" s="109">
        <v>1.2492483484518024E-05</v>
      </c>
      <c r="C10" s="109">
        <v>1.1101291698053969E-05</v>
      </c>
      <c r="D10" s="220">
        <f t="shared" si="0"/>
        <v>1.0564895102660745</v>
      </c>
      <c r="E10" s="220">
        <f t="shared" si="1"/>
        <v>0.9388364006190537</v>
      </c>
      <c r="F10" s="109">
        <f t="shared" si="2"/>
        <v>1.1824522026131448E-05</v>
      </c>
      <c r="H10" t="str">
        <f>"Fract "&amp;RIGHT(A10,LEN(A10)-22)</f>
        <v>Fract Shell</v>
      </c>
    </row>
    <row r="11" spans="1:8" ht="12.75">
      <c r="A11" s="109" t="s">
        <v>263</v>
      </c>
      <c r="B11" s="109">
        <v>1.2179741302923446E-05</v>
      </c>
      <c r="C11" s="109">
        <v>1.163378295682527E-05</v>
      </c>
      <c r="D11" s="220">
        <f t="shared" si="0"/>
        <v>1.030040899412846</v>
      </c>
      <c r="E11" s="220">
        <f t="shared" si="1"/>
        <v>0.9838691941302441</v>
      </c>
      <c r="F11" s="109">
        <f t="shared" si="2"/>
        <v>1.1824522026131448E-05</v>
      </c>
      <c r="H11" t="str">
        <f>"Fract "&amp;RIGHT(A11,LEN(A11)-22)</f>
        <v>Fract Alb C G</v>
      </c>
    </row>
    <row r="12" spans="1:8" ht="12.75">
      <c r="A12" s="109" t="s">
        <v>264</v>
      </c>
      <c r="B12" s="109">
        <v>1.2058484645407514E-05</v>
      </c>
      <c r="C12" s="109">
        <v>1.1757951731193632E-05</v>
      </c>
      <c r="D12" s="220">
        <f t="shared" si="0"/>
        <v>1.0197862221203549</v>
      </c>
      <c r="E12" s="220">
        <f t="shared" si="1"/>
        <v>0.9943701491873668</v>
      </c>
      <c r="F12" s="109">
        <f t="shared" si="2"/>
        <v>1.1824522026131448E-05</v>
      </c>
      <c r="H12" t="str">
        <f aca="true" t="shared" si="3" ref="H12:H18">"Fract "&amp;RIGHT(A12,LEN(A12)-22)</f>
        <v>Fract Alb C N</v>
      </c>
    </row>
    <row r="13" spans="1:8" ht="12.75">
      <c r="A13" s="109" t="s">
        <v>265</v>
      </c>
      <c r="B13" s="109">
        <v>1.2855413318167657E-05</v>
      </c>
      <c r="C13" s="109">
        <v>1.1099615791874477E-05</v>
      </c>
      <c r="D13" s="220">
        <f t="shared" si="0"/>
        <v>1.087182491584692</v>
      </c>
      <c r="E13" s="220">
        <f t="shared" si="1"/>
        <v>0.9386946692090409</v>
      </c>
      <c r="F13" s="109">
        <f t="shared" si="2"/>
        <v>1.1824522026131448E-05</v>
      </c>
      <c r="H13" t="str">
        <f t="shared" si="3"/>
        <v>Fract Alb F G</v>
      </c>
    </row>
    <row r="14" spans="1:8" ht="12.75">
      <c r="A14" s="109" t="s">
        <v>266</v>
      </c>
      <c r="B14" s="109">
        <v>1.3667825542519512E-05</v>
      </c>
      <c r="C14" s="109">
        <v>1.05239577561248E-05</v>
      </c>
      <c r="D14" s="220">
        <f t="shared" si="0"/>
        <v>1.1558882052326918</v>
      </c>
      <c r="E14" s="220">
        <f t="shared" si="1"/>
        <v>0.8900112607399704</v>
      </c>
      <c r="F14" s="109">
        <f t="shared" si="2"/>
        <v>1.1824522026131448E-05</v>
      </c>
      <c r="H14" t="str">
        <f t="shared" si="3"/>
        <v>Fract Alb F N</v>
      </c>
    </row>
    <row r="15" spans="1:8" ht="12.75">
      <c r="A15" s="109" t="s">
        <v>267</v>
      </c>
      <c r="B15" s="109">
        <v>9.836719823517968E-06</v>
      </c>
      <c r="C15" s="109">
        <v>1.5051395635351612E-05</v>
      </c>
      <c r="D15" s="220">
        <f t="shared" si="0"/>
        <v>0.8318915387682849</v>
      </c>
      <c r="E15" s="220">
        <f t="shared" si="1"/>
        <v>1.2728967481382314</v>
      </c>
      <c r="F15" s="109">
        <f t="shared" si="2"/>
        <v>1.1824522026131448E-05</v>
      </c>
      <c r="H15" t="str">
        <f t="shared" si="3"/>
        <v>Fract VM Low</v>
      </c>
    </row>
    <row r="16" spans="1:8" ht="12.75">
      <c r="A16" s="109" t="s">
        <v>268</v>
      </c>
      <c r="B16" s="109">
        <v>1.1701235075277173E-05</v>
      </c>
      <c r="C16" s="109">
        <v>1.2324054589863048E-05</v>
      </c>
      <c r="D16" s="220">
        <f t="shared" si="0"/>
        <v>0.9895736207703095</v>
      </c>
      <c r="E16" s="220">
        <f t="shared" si="1"/>
        <v>1.0422454761915674</v>
      </c>
      <c r="F16" s="109">
        <f t="shared" si="2"/>
        <v>1.1824522026131448E-05</v>
      </c>
      <c r="H16" t="str">
        <f t="shared" si="3"/>
        <v>Fract VM High</v>
      </c>
    </row>
    <row r="17" spans="1:8" ht="12.75">
      <c r="A17" s="109" t="s">
        <v>269</v>
      </c>
      <c r="B17" s="109">
        <v>1.1370695567459988E-05</v>
      </c>
      <c r="C17" s="109">
        <v>1.3834448362087127E-05</v>
      </c>
      <c r="D17" s="220">
        <f t="shared" si="0"/>
        <v>0.9616198897791782</v>
      </c>
      <c r="E17" s="220">
        <f t="shared" si="1"/>
        <v>1.1699794995107513</v>
      </c>
      <c r="F17" s="109">
        <f t="shared" si="2"/>
        <v>1.1824522026131448E-05</v>
      </c>
      <c r="H17" t="str">
        <f t="shared" si="3"/>
        <v>Fract Yolk Low</v>
      </c>
    </row>
    <row r="18" spans="1:8" ht="12.75">
      <c r="A18" s="109" t="s">
        <v>270</v>
      </c>
      <c r="B18" s="109">
        <v>1.1770414050869502E-05</v>
      </c>
      <c r="C18" s="109">
        <v>1.1915491712979179E-05</v>
      </c>
      <c r="D18" s="220">
        <f t="shared" si="0"/>
        <v>0.9954240877438961</v>
      </c>
      <c r="E18" s="220">
        <f t="shared" si="1"/>
        <v>1.0076933077418853</v>
      </c>
      <c r="F18" s="109">
        <f t="shared" si="2"/>
        <v>1.1824522026131448E-05</v>
      </c>
      <c r="H18" t="str">
        <f t="shared" si="3"/>
        <v>Fract Yolk High</v>
      </c>
    </row>
    <row r="19" spans="1:8" ht="12.75">
      <c r="A19" s="109" t="s">
        <v>277</v>
      </c>
      <c r="B19" s="109">
        <v>5.7847741149289546E-06</v>
      </c>
      <c r="C19" s="109">
        <v>2.315370626711675E-05</v>
      </c>
      <c r="D19" s="220">
        <f t="shared" si="0"/>
        <v>0.4892184311674475</v>
      </c>
      <c r="E19" s="220">
        <f t="shared" si="1"/>
        <v>1.9581092762945107</v>
      </c>
      <c r="F19" s="109">
        <f t="shared" si="2"/>
        <v>1.1824522026131448E-05</v>
      </c>
      <c r="H19" t="str">
        <f>A19</f>
        <v>Yolk growth e and f</v>
      </c>
    </row>
    <row r="20" spans="1:8" ht="12.75">
      <c r="A20" s="109" t="s">
        <v>278</v>
      </c>
      <c r="B20" s="109">
        <v>4.12932452153397E-07</v>
      </c>
      <c r="C20" s="109">
        <v>1.1857035976632494E-05</v>
      </c>
      <c r="D20" s="220">
        <f t="shared" si="0"/>
        <v>0.03492170349387843</v>
      </c>
      <c r="E20" s="220">
        <f t="shared" si="1"/>
        <v>1.0027497052675105</v>
      </c>
      <c r="F20" s="109">
        <f t="shared" si="2"/>
        <v>1.1824522026131448E-05</v>
      </c>
      <c r="H20" t="str">
        <f>A20</f>
        <v>Yolk growth b</v>
      </c>
    </row>
    <row r="21" spans="1:8" ht="12.75">
      <c r="A21" s="109" t="s">
        <v>279</v>
      </c>
      <c r="B21" s="109">
        <v>1.443181040644948E-05</v>
      </c>
      <c r="C21" s="109">
        <v>9.87678485377542E-06</v>
      </c>
      <c r="D21" s="220">
        <f t="shared" si="0"/>
        <v>1.2204984163043622</v>
      </c>
      <c r="E21" s="220">
        <f t="shared" si="1"/>
        <v>0.8352798389607926</v>
      </c>
      <c r="F21" s="109">
        <f t="shared" si="2"/>
        <v>1.1824522026131448E-05</v>
      </c>
      <c r="H21" t="str">
        <f>A21</f>
        <v>YMB d</v>
      </c>
    </row>
    <row r="22" spans="1:8" ht="12.75">
      <c r="A22" s="109" t="s">
        <v>280</v>
      </c>
      <c r="B22" s="109">
        <v>1.182452202613146E-05</v>
      </c>
      <c r="C22" s="109">
        <v>1.5250426394359396E-05</v>
      </c>
      <c r="D22" s="220">
        <f t="shared" si="0"/>
        <v>1.000000000000001</v>
      </c>
      <c r="E22" s="220">
        <f t="shared" si="1"/>
        <v>1.2897287823268386</v>
      </c>
      <c r="F22" s="109">
        <f t="shared" si="2"/>
        <v>1.1824522026131448E-05</v>
      </c>
      <c r="H22" t="str">
        <f>A22</f>
        <v>YMB Omega</v>
      </c>
    </row>
    <row r="23" spans="1:8" ht="12.75">
      <c r="A23" s="109" t="s">
        <v>281</v>
      </c>
      <c r="B23" s="109">
        <v>1.1958386118200784E-05</v>
      </c>
      <c r="C23" s="109">
        <v>0.00010910203388262762</v>
      </c>
      <c r="D23" s="220">
        <f t="shared" si="0"/>
        <v>1.0113208882163274</v>
      </c>
      <c r="E23" s="220">
        <f t="shared" si="1"/>
        <v>9.226760594763915</v>
      </c>
      <c r="F23" s="109">
        <f t="shared" si="2"/>
        <v>1.1824522026131448E-05</v>
      </c>
      <c r="H23" t="str">
        <f>A23</f>
        <v>YMB f, g, and k</v>
      </c>
    </row>
    <row r="24" spans="1:8" ht="12.75">
      <c r="A24" s="109" t="s">
        <v>271</v>
      </c>
      <c r="B24" s="109">
        <v>1.1474724842793467E-05</v>
      </c>
      <c r="C24" s="109">
        <v>1.1984022836347684E-05</v>
      </c>
      <c r="D24" s="220">
        <f t="shared" si="0"/>
        <v>0.9704176471095448</v>
      </c>
      <c r="E24" s="220">
        <f t="shared" si="1"/>
        <v>1.0134889858434657</v>
      </c>
      <c r="F24" s="109">
        <f t="shared" si="2"/>
        <v>1.1824522026131448E-05</v>
      </c>
      <c r="H24" t="s">
        <v>312</v>
      </c>
    </row>
    <row r="25" spans="1:8" ht="12.75">
      <c r="A25" s="109" t="s">
        <v>272</v>
      </c>
      <c r="B25" s="109">
        <v>1.3784339015304631E-05</v>
      </c>
      <c r="C25" s="109">
        <v>8.104405968423E-06</v>
      </c>
      <c r="D25" s="220">
        <f t="shared" si="0"/>
        <v>1.1657417513234034</v>
      </c>
      <c r="E25" s="220">
        <f t="shared" si="1"/>
        <v>0.6853897308079577</v>
      </c>
      <c r="F25" s="109">
        <f t="shared" si="2"/>
        <v>1.1824522026131448E-05</v>
      </c>
      <c r="H25" t="s">
        <v>313</v>
      </c>
    </row>
    <row r="26" spans="1:8" ht="12.75">
      <c r="A26" s="109" t="s">
        <v>183</v>
      </c>
      <c r="B26" s="109">
        <v>9.109192709178964E-06</v>
      </c>
      <c r="C26" s="109">
        <v>1.3905130654950063E-05</v>
      </c>
      <c r="D26" s="220">
        <f t="shared" si="0"/>
        <v>0.7703645601106094</v>
      </c>
      <c r="E26" s="220">
        <f t="shared" si="1"/>
        <v>1.1759571020478123</v>
      </c>
      <c r="F26" s="109">
        <f t="shared" si="2"/>
        <v>1.1824522026131448E-05</v>
      </c>
      <c r="H26" t="s">
        <v>314</v>
      </c>
    </row>
    <row r="27" spans="1:8" ht="12.75">
      <c r="A27" s="109" t="s">
        <v>193</v>
      </c>
      <c r="B27" s="109">
        <v>1.1488380410013812E-05</v>
      </c>
      <c r="C27" s="109">
        <v>3.719938375835771E-05</v>
      </c>
      <c r="D27" s="220">
        <f t="shared" si="0"/>
        <v>0.9715724986282926</v>
      </c>
      <c r="E27" s="220">
        <f t="shared" si="1"/>
        <v>3.145952426334816</v>
      </c>
      <c r="F27" s="109">
        <f t="shared" si="2"/>
        <v>1.1824522026131448E-05</v>
      </c>
      <c r="H27" t="s">
        <v>315</v>
      </c>
    </row>
    <row r="28" spans="1:8" ht="12.75">
      <c r="A28" s="109" t="s">
        <v>184</v>
      </c>
      <c r="B28" s="109">
        <v>7.70013477745425E-06</v>
      </c>
      <c r="C28" s="109">
        <v>4.106783501941536E-05</v>
      </c>
      <c r="D28" s="220">
        <f t="shared" si="0"/>
        <v>0.6512005102986351</v>
      </c>
      <c r="E28" s="220">
        <f t="shared" si="1"/>
        <v>3.473107405834928</v>
      </c>
      <c r="F28" s="109">
        <f t="shared" si="2"/>
        <v>1.1824522026131448E-05</v>
      </c>
      <c r="H28" t="s">
        <v>316</v>
      </c>
    </row>
    <row r="29" spans="1:8" ht="12.75">
      <c r="A29" s="109" t="s">
        <v>194</v>
      </c>
      <c r="B29" s="109">
        <v>1.001304251141864E-05</v>
      </c>
      <c r="C29" s="109">
        <v>2.1619913247641488E-05</v>
      </c>
      <c r="D29" s="220">
        <f t="shared" si="0"/>
        <v>0.8468031510525709</v>
      </c>
      <c r="E29" s="220">
        <f t="shared" si="1"/>
        <v>1.8283963782944328</v>
      </c>
      <c r="F29" s="109">
        <f t="shared" si="2"/>
        <v>1.1824522026131448E-05</v>
      </c>
      <c r="H29" t="s">
        <v>317</v>
      </c>
    </row>
    <row r="30" spans="1:8" ht="12.75">
      <c r="A30" s="109" t="s">
        <v>185</v>
      </c>
      <c r="B30" s="109">
        <v>1.1650226563257616E-05</v>
      </c>
      <c r="C30" s="109">
        <v>1.549225085744656E-05</v>
      </c>
      <c r="D30" s="220">
        <f t="shared" si="0"/>
        <v>0.9852598301657649</v>
      </c>
      <c r="E30" s="220">
        <f t="shared" si="1"/>
        <v>1.3101798806928233</v>
      </c>
      <c r="F30" s="109">
        <f t="shared" si="2"/>
        <v>1.1824522026131448E-05</v>
      </c>
      <c r="H30" t="s">
        <v>318</v>
      </c>
    </row>
    <row r="31" spans="1:8" ht="12.75">
      <c r="A31" s="109" t="s">
        <v>195</v>
      </c>
      <c r="B31" s="109">
        <v>1.1735195495979633E-05</v>
      </c>
      <c r="C31" s="109">
        <v>1.5829756499416726E-05</v>
      </c>
      <c r="D31" s="220">
        <f t="shared" si="0"/>
        <v>0.9924456540438245</v>
      </c>
      <c r="E31" s="220">
        <f t="shared" si="1"/>
        <v>1.3387227377507491</v>
      </c>
      <c r="F31" s="109">
        <f t="shared" si="2"/>
        <v>1.1824522026131448E-05</v>
      </c>
      <c r="H31" t="s">
        <v>319</v>
      </c>
    </row>
    <row r="32" spans="1:8" ht="12.75">
      <c r="A32" s="109" t="s">
        <v>186</v>
      </c>
      <c r="B32" s="109">
        <v>1.1520499242203669E-05</v>
      </c>
      <c r="C32" s="109">
        <v>3.936142013434408E-05</v>
      </c>
      <c r="D32" s="220">
        <f t="shared" si="0"/>
        <v>0.97428878873447</v>
      </c>
      <c r="E32" s="220">
        <f t="shared" si="1"/>
        <v>3.3287958741467794</v>
      </c>
      <c r="F32" s="109">
        <f t="shared" si="2"/>
        <v>1.1824522026131448E-05</v>
      </c>
      <c r="H32" t="s">
        <v>320</v>
      </c>
    </row>
    <row r="33" spans="1:8" ht="12.75">
      <c r="A33" s="109" t="s">
        <v>196</v>
      </c>
      <c r="B33" s="109">
        <v>1.136553309222417E-05</v>
      </c>
      <c r="C33" s="109">
        <v>2.7470435508541623E-05</v>
      </c>
      <c r="D33" s="220">
        <f t="shared" si="0"/>
        <v>0.9611832991732824</v>
      </c>
      <c r="E33" s="220">
        <f t="shared" si="1"/>
        <v>2.323175131124429</v>
      </c>
      <c r="F33" s="109">
        <f t="shared" si="2"/>
        <v>1.1824522026131448E-05</v>
      </c>
      <c r="H33" t="s">
        <v>321</v>
      </c>
    </row>
    <row r="34" spans="1:8" ht="12.75">
      <c r="A34" s="109" t="s">
        <v>187</v>
      </c>
      <c r="B34" s="109">
        <v>1.1392850624356656E-05</v>
      </c>
      <c r="C34" s="109">
        <v>1.6414611840531516E-05</v>
      </c>
      <c r="D34" s="220">
        <f t="shared" si="0"/>
        <v>0.9634935432636664</v>
      </c>
      <c r="E34" s="220">
        <f t="shared" si="1"/>
        <v>1.388183962468526</v>
      </c>
      <c r="F34" s="109">
        <f t="shared" si="2"/>
        <v>1.1824522026131448E-05</v>
      </c>
      <c r="H34" t="s">
        <v>322</v>
      </c>
    </row>
    <row r="35" spans="1:8" ht="12.75">
      <c r="A35" s="109" t="s">
        <v>197</v>
      </c>
      <c r="B35" s="109">
        <v>1.1706804863661268E-05</v>
      </c>
      <c r="C35" s="109">
        <v>1.3283133299107654E-05</v>
      </c>
      <c r="D35" s="220">
        <f t="shared" si="0"/>
        <v>0.9900446578550887</v>
      </c>
      <c r="E35" s="220">
        <f t="shared" si="1"/>
        <v>1.123354776603466</v>
      </c>
      <c r="F35" s="109">
        <f t="shared" si="2"/>
        <v>1.1824522026131448E-05</v>
      </c>
      <c r="H35" t="s">
        <v>323</v>
      </c>
    </row>
    <row r="36" spans="1:8" ht="12.75">
      <c r="A36" s="109" t="s">
        <v>188</v>
      </c>
      <c r="B36" s="109">
        <v>1.1382280537223304E-05</v>
      </c>
      <c r="C36" s="109">
        <v>2.869839098096878E-05</v>
      </c>
      <c r="D36" s="220">
        <f t="shared" si="0"/>
        <v>0.9625996308408223</v>
      </c>
      <c r="E36" s="220">
        <f t="shared" si="1"/>
        <v>2.427023343315455</v>
      </c>
      <c r="F36" s="109">
        <f t="shared" si="2"/>
        <v>1.1824522026131448E-05</v>
      </c>
      <c r="H36" t="s">
        <v>324</v>
      </c>
    </row>
    <row r="37" spans="1:8" ht="12.75">
      <c r="A37" s="109" t="s">
        <v>198</v>
      </c>
      <c r="B37" s="109">
        <v>1.117420089808865E-05</v>
      </c>
      <c r="C37" s="109">
        <v>1.7582219813235538E-05</v>
      </c>
      <c r="D37" s="220">
        <f t="shared" si="0"/>
        <v>0.9450023327280689</v>
      </c>
      <c r="E37" s="220">
        <f t="shared" si="1"/>
        <v>1.4869285857288728</v>
      </c>
      <c r="F37" s="109">
        <f t="shared" si="2"/>
        <v>1.1824522026131448E-05</v>
      </c>
      <c r="H37" t="s">
        <v>325</v>
      </c>
    </row>
    <row r="38" spans="1:8" ht="12.75">
      <c r="A38" s="109" t="s">
        <v>189</v>
      </c>
      <c r="B38" s="109">
        <v>1.1577974234951336E-05</v>
      </c>
      <c r="C38" s="109">
        <v>1.6117022702634994E-05</v>
      </c>
      <c r="D38" s="220">
        <f t="shared" si="0"/>
        <v>0.9791494497083894</v>
      </c>
      <c r="E38" s="220">
        <f t="shared" si="1"/>
        <v>1.3630168447415794</v>
      </c>
      <c r="F38" s="109">
        <f t="shared" si="2"/>
        <v>1.1824522026131448E-05</v>
      </c>
      <c r="H38" t="s">
        <v>326</v>
      </c>
    </row>
    <row r="39" spans="1:8" ht="12.75">
      <c r="A39" s="109" t="s">
        <v>199</v>
      </c>
      <c r="B39" s="109">
        <v>1.173217851550593E-05</v>
      </c>
      <c r="C39" s="109">
        <v>1.3591195669188333E-05</v>
      </c>
      <c r="D39" s="220">
        <f t="shared" si="0"/>
        <v>0.9921905079612144</v>
      </c>
      <c r="E39" s="220">
        <f t="shared" si="1"/>
        <v>1.149407615728792</v>
      </c>
      <c r="F39" s="109">
        <f t="shared" si="2"/>
        <v>1.1824522026131448E-05</v>
      </c>
      <c r="H39" t="s">
        <v>327</v>
      </c>
    </row>
    <row r="40" spans="1:8" ht="12.75">
      <c r="A40" s="109" t="s">
        <v>190</v>
      </c>
      <c r="B40" s="109">
        <v>1.4400372326511044E-05</v>
      </c>
      <c r="C40" s="109">
        <v>9.407851297277831E-05</v>
      </c>
      <c r="D40" s="220">
        <f t="shared" si="0"/>
        <v>1.2178396974260042</v>
      </c>
      <c r="E40" s="220">
        <f t="shared" si="1"/>
        <v>7.9562212125674705</v>
      </c>
      <c r="F40" s="109">
        <f t="shared" si="2"/>
        <v>1.1824522026131448E-05</v>
      </c>
      <c r="H40" t="s">
        <v>328</v>
      </c>
    </row>
    <row r="41" spans="1:8" ht="12.75">
      <c r="A41" s="109" t="s">
        <v>200</v>
      </c>
      <c r="B41" s="109">
        <v>1.0840483333211288E-05</v>
      </c>
      <c r="C41" s="109">
        <v>3.250880277588097E-05</v>
      </c>
      <c r="D41" s="220">
        <f t="shared" si="0"/>
        <v>0.9167798334050632</v>
      </c>
      <c r="E41" s="220">
        <f t="shared" si="1"/>
        <v>2.7492699243181726</v>
      </c>
      <c r="F41" s="109">
        <f t="shared" si="2"/>
        <v>1.1824522026131448E-05</v>
      </c>
      <c r="H41" t="s">
        <v>329</v>
      </c>
    </row>
    <row r="42" spans="1:8" ht="12.75">
      <c r="A42" s="109" t="s">
        <v>191</v>
      </c>
      <c r="B42" s="109">
        <v>1.1540071471821172E-05</v>
      </c>
      <c r="C42" s="109">
        <v>1.1917494479890947E-05</v>
      </c>
      <c r="D42" s="220">
        <f t="shared" si="0"/>
        <v>0.9759440124783346</v>
      </c>
      <c r="E42" s="220">
        <f t="shared" si="1"/>
        <v>1.0078626817687883</v>
      </c>
      <c r="F42" s="109">
        <f t="shared" si="2"/>
        <v>1.1824522026131448E-05</v>
      </c>
      <c r="H42" t="s">
        <v>330</v>
      </c>
    </row>
    <row r="43" spans="1:8" ht="12.75">
      <c r="A43" s="109" t="s">
        <v>201</v>
      </c>
      <c r="B43" s="109">
        <v>1.1782269750282012E-05</v>
      </c>
      <c r="C43" s="109">
        <v>1.202802223349066E-05</v>
      </c>
      <c r="D43" s="220">
        <f t="shared" si="0"/>
        <v>0.9964267244159163</v>
      </c>
      <c r="E43" s="220">
        <f t="shared" si="1"/>
        <v>1.0172100155007948</v>
      </c>
      <c r="F43" s="109">
        <f t="shared" si="2"/>
        <v>1.1824522026131448E-05</v>
      </c>
      <c r="H43" t="s">
        <v>331</v>
      </c>
    </row>
    <row r="44" spans="1:8" ht="12.75">
      <c r="A44" s="109" t="s">
        <v>192</v>
      </c>
      <c r="B44" s="109">
        <v>1.3816058562287184E-05</v>
      </c>
      <c r="C44" s="109">
        <v>6.189829488124729E-05</v>
      </c>
      <c r="D44" s="220">
        <f t="shared" si="0"/>
        <v>1.1684242738737824</v>
      </c>
      <c r="E44" s="220">
        <f t="shared" si="1"/>
        <v>5.234739699791329</v>
      </c>
      <c r="F44" s="109">
        <f t="shared" si="2"/>
        <v>1.1824522026131448E-05</v>
      </c>
      <c r="H44" t="s">
        <v>332</v>
      </c>
    </row>
    <row r="45" spans="1:8" ht="12.75">
      <c r="A45" s="109" t="s">
        <v>202</v>
      </c>
      <c r="B45" s="109">
        <v>1.130637922283438E-05</v>
      </c>
      <c r="C45" s="109">
        <v>2.5340573266422374E-05</v>
      </c>
      <c r="D45" s="220">
        <f t="shared" si="0"/>
        <v>0.9561806555772822</v>
      </c>
      <c r="E45" s="220">
        <f t="shared" si="1"/>
        <v>2.143052650282295</v>
      </c>
      <c r="F45" s="109">
        <f t="shared" si="2"/>
        <v>1.1824522026131448E-05</v>
      </c>
      <c r="H45" t="s">
        <v>333</v>
      </c>
    </row>
    <row r="46" spans="1:8" ht="12.75">
      <c r="A46" s="109" t="s">
        <v>203</v>
      </c>
      <c r="B46" s="109">
        <v>1.0475308141154303E-05</v>
      </c>
      <c r="C46" s="109">
        <v>1.4265050256259149E-05</v>
      </c>
      <c r="D46" s="220">
        <f t="shared" si="0"/>
        <v>0.8858969620932273</v>
      </c>
      <c r="E46" s="220">
        <f t="shared" si="1"/>
        <v>1.2063955079735391</v>
      </c>
      <c r="F46" s="109">
        <f t="shared" si="2"/>
        <v>1.1824522026131448E-05</v>
      </c>
      <c r="H46" t="s">
        <v>334</v>
      </c>
    </row>
    <row r="47" spans="1:8" ht="12.75">
      <c r="A47" s="109" t="s">
        <v>204</v>
      </c>
      <c r="B47" s="109">
        <v>1.1126964276353103E-05</v>
      </c>
      <c r="C47" s="109">
        <v>1.2771381401116204E-05</v>
      </c>
      <c r="D47" s="220">
        <f t="shared" si="0"/>
        <v>0.9410075309397888</v>
      </c>
      <c r="E47" s="220">
        <f t="shared" si="1"/>
        <v>1.0800759111355416</v>
      </c>
      <c r="F47" s="109">
        <f t="shared" si="2"/>
        <v>1.1824522026131448E-05</v>
      </c>
      <c r="H47" t="s">
        <v>335</v>
      </c>
    </row>
    <row r="48" spans="1:8" ht="12.75">
      <c r="A48" s="109" t="s">
        <v>205</v>
      </c>
      <c r="B48" s="109">
        <v>9.124046571279044E-06</v>
      </c>
      <c r="C48" s="109">
        <v>1.4403472897986004E-05</v>
      </c>
      <c r="D48" s="220">
        <f t="shared" si="0"/>
        <v>0.7716207514447921</v>
      </c>
      <c r="E48" s="220">
        <f t="shared" si="1"/>
        <v>1.2181019128008082</v>
      </c>
      <c r="F48" s="109">
        <f t="shared" si="2"/>
        <v>1.1824522026131448E-05</v>
      </c>
      <c r="H48" t="s">
        <v>336</v>
      </c>
    </row>
    <row r="49" spans="1:8" ht="12.75">
      <c r="A49" s="109" t="s">
        <v>206</v>
      </c>
      <c r="B49" s="109">
        <v>1.0514334708606916E-05</v>
      </c>
      <c r="C49" s="109">
        <v>1.3841777432259521E-05</v>
      </c>
      <c r="D49" s="220">
        <f t="shared" si="0"/>
        <v>0.8891974394712023</v>
      </c>
      <c r="E49" s="220">
        <f t="shared" si="1"/>
        <v>1.1705993190819948</v>
      </c>
      <c r="F49" s="109">
        <f t="shared" si="2"/>
        <v>1.1824522026131448E-05</v>
      </c>
      <c r="H49" t="s">
        <v>337</v>
      </c>
    </row>
    <row r="50" spans="1:8" ht="12.75">
      <c r="A50" s="109" t="s">
        <v>207</v>
      </c>
      <c r="B50" s="109">
        <v>1.169337778057345E-05</v>
      </c>
      <c r="C50" s="109">
        <v>1.2049537917296858E-05</v>
      </c>
      <c r="D50" s="220">
        <f t="shared" si="0"/>
        <v>0.988909129242757</v>
      </c>
      <c r="E50" s="220">
        <f t="shared" si="1"/>
        <v>1.019029597193708</v>
      </c>
      <c r="F50" s="109">
        <f t="shared" si="2"/>
        <v>1.1824522026131448E-05</v>
      </c>
      <c r="H50" t="s">
        <v>338</v>
      </c>
    </row>
    <row r="51" spans="1:8" ht="12.75">
      <c r="A51" s="109" t="s">
        <v>208</v>
      </c>
      <c r="B51" s="109">
        <v>1.1731830865907022E-05</v>
      </c>
      <c r="C51" s="109">
        <v>1.2126285042418792E-05</v>
      </c>
      <c r="D51" s="220">
        <f t="shared" si="0"/>
        <v>0.9921611072295705</v>
      </c>
      <c r="E51" s="220">
        <f t="shared" si="1"/>
        <v>1.0255201026832599</v>
      </c>
      <c r="F51" s="109">
        <f t="shared" si="2"/>
        <v>1.1824522026131448E-05</v>
      </c>
      <c r="H51" t="s">
        <v>339</v>
      </c>
    </row>
    <row r="52" spans="1:8" ht="12.75">
      <c r="A52" s="109" t="s">
        <v>209</v>
      </c>
      <c r="B52" s="109">
        <v>1.1477463178878871E-05</v>
      </c>
      <c r="C52" s="109">
        <v>1.2471116467490986E-05</v>
      </c>
      <c r="D52" s="220">
        <f t="shared" si="0"/>
        <v>0.9706492282321773</v>
      </c>
      <c r="E52" s="220">
        <f t="shared" si="1"/>
        <v>1.0546825013248404</v>
      </c>
      <c r="F52" s="109">
        <f t="shared" si="2"/>
        <v>1.1824522026131448E-05</v>
      </c>
      <c r="H52" t="s">
        <v>340</v>
      </c>
    </row>
    <row r="53" spans="1:8" ht="12.75">
      <c r="A53" s="109" t="s">
        <v>210</v>
      </c>
      <c r="B53" s="109">
        <v>1.130234219023529E-05</v>
      </c>
      <c r="C53" s="109">
        <v>1.5104220861057494E-05</v>
      </c>
      <c r="D53" s="220">
        <f t="shared" si="0"/>
        <v>0.9558392436715689</v>
      </c>
      <c r="E53" s="220">
        <f t="shared" si="1"/>
        <v>1.277364178245693</v>
      </c>
      <c r="F53" s="109">
        <f t="shared" si="2"/>
        <v>1.1824522026131448E-05</v>
      </c>
      <c r="H53" t="s">
        <v>341</v>
      </c>
    </row>
    <row r="54" spans="1:8" ht="12.75">
      <c r="A54" s="109" t="s">
        <v>211</v>
      </c>
      <c r="B54" s="109">
        <v>1.1524047214853675E-05</v>
      </c>
      <c r="C54" s="109">
        <v>1.2220386764455914E-05</v>
      </c>
      <c r="D54" s="220">
        <f t="shared" si="0"/>
        <v>0.974588840833165</v>
      </c>
      <c r="E54" s="220">
        <f t="shared" si="1"/>
        <v>1.0334782866867371</v>
      </c>
      <c r="F54" s="109">
        <f t="shared" si="2"/>
        <v>1.1824522026131448E-05</v>
      </c>
      <c r="H54" t="s">
        <v>342</v>
      </c>
    </row>
    <row r="55" spans="1:8" ht="12.75">
      <c r="A55" s="109" t="s">
        <v>212</v>
      </c>
      <c r="B55" s="109">
        <v>1.1706812791854447E-05</v>
      </c>
      <c r="C55" s="109">
        <v>1.2548294287271576E-05</v>
      </c>
      <c r="D55" s="220">
        <f t="shared" si="0"/>
        <v>0.9900453283425013</v>
      </c>
      <c r="E55" s="220">
        <f t="shared" si="1"/>
        <v>1.061209430667949</v>
      </c>
      <c r="F55" s="109">
        <f t="shared" si="2"/>
        <v>1.1824522026131448E-05</v>
      </c>
      <c r="H55" t="s">
        <v>343</v>
      </c>
    </row>
    <row r="56" spans="1:8" ht="12.75">
      <c r="A56" s="109" t="s">
        <v>213</v>
      </c>
      <c r="B56" s="109">
        <v>1.1219485591260116E-05</v>
      </c>
      <c r="C56" s="109">
        <v>1.256772274751436E-05</v>
      </c>
      <c r="D56" s="220">
        <f t="shared" si="0"/>
        <v>0.9488320598892506</v>
      </c>
      <c r="E56" s="220">
        <f t="shared" si="1"/>
        <v>1.0628524958336993</v>
      </c>
      <c r="F56" s="109">
        <f t="shared" si="2"/>
        <v>1.1824522026131448E-05</v>
      </c>
      <c r="H56" t="s">
        <v>344</v>
      </c>
    </row>
    <row r="57" spans="1:8" ht="12.75">
      <c r="A57" s="109" t="s">
        <v>214</v>
      </c>
      <c r="B57" s="109">
        <v>1.0994640265192586E-05</v>
      </c>
      <c r="C57" s="109">
        <v>1.21429229454829E-05</v>
      </c>
      <c r="D57" s="220">
        <f t="shared" si="0"/>
        <v>0.9298168873883549</v>
      </c>
      <c r="E57" s="220">
        <f t="shared" si="1"/>
        <v>1.0269271703877592</v>
      </c>
      <c r="F57" s="109">
        <f t="shared" si="2"/>
        <v>1.1824522026131448E-05</v>
      </c>
      <c r="H57" t="s">
        <v>345</v>
      </c>
    </row>
    <row r="58" spans="1:8" ht="12.75">
      <c r="A58" s="109" t="s">
        <v>215</v>
      </c>
      <c r="B58" s="109">
        <v>1.15854873945763E-05</v>
      </c>
      <c r="C58" s="109">
        <v>1.2326294012661221E-05</v>
      </c>
      <c r="D58" s="220">
        <f t="shared" si="0"/>
        <v>0.9797848377273181</v>
      </c>
      <c r="E58" s="220">
        <f t="shared" si="1"/>
        <v>1.042434864210231</v>
      </c>
      <c r="F58" s="109">
        <f t="shared" si="2"/>
        <v>1.1824522026131448E-05</v>
      </c>
      <c r="H58" t="s">
        <v>346</v>
      </c>
    </row>
    <row r="59" spans="1:8" ht="12.75">
      <c r="A59" s="109" t="s">
        <v>216</v>
      </c>
      <c r="B59" s="109">
        <v>1.1714712597905839E-05</v>
      </c>
      <c r="C59" s="109">
        <v>1.2169448078740862E-05</v>
      </c>
      <c r="D59" s="220">
        <f t="shared" si="0"/>
        <v>0.9907134150553454</v>
      </c>
      <c r="E59" s="220">
        <f t="shared" si="1"/>
        <v>1.0291704012937817</v>
      </c>
      <c r="F59" s="109">
        <f t="shared" si="2"/>
        <v>1.1824522026131448E-05</v>
      </c>
      <c r="H59" t="s">
        <v>347</v>
      </c>
    </row>
    <row r="60" spans="1:8" ht="12.75">
      <c r="A60" s="109" t="s">
        <v>217</v>
      </c>
      <c r="B60" s="109">
        <v>1.1115240467406461E-05</v>
      </c>
      <c r="C60" s="109">
        <v>1.2341407360335413E-05</v>
      </c>
      <c r="D60" s="220">
        <f t="shared" si="0"/>
        <v>0.9400160482463884</v>
      </c>
      <c r="E60" s="220">
        <f t="shared" si="1"/>
        <v>1.0437130002431965</v>
      </c>
      <c r="F60" s="109">
        <f t="shared" si="2"/>
        <v>1.1824522026131448E-05</v>
      </c>
      <c r="H60" t="s">
        <v>348</v>
      </c>
    </row>
    <row r="61" spans="1:8" ht="12.75">
      <c r="A61" s="109" t="s">
        <v>218</v>
      </c>
      <c r="B61" s="109">
        <v>1.1363305395020122E-05</v>
      </c>
      <c r="C61" s="109">
        <v>1.3084480507957561E-05</v>
      </c>
      <c r="D61" s="220">
        <f t="shared" si="0"/>
        <v>0.9609949027882847</v>
      </c>
      <c r="E61" s="220">
        <f t="shared" si="1"/>
        <v>1.1065547071620894</v>
      </c>
      <c r="F61" s="109">
        <f t="shared" si="2"/>
        <v>1.1824522026131448E-05</v>
      </c>
      <c r="H61" t="s">
        <v>349</v>
      </c>
    </row>
    <row r="62" spans="1:8" ht="12.75">
      <c r="A62" s="109" t="s">
        <v>219</v>
      </c>
      <c r="B62" s="109">
        <v>1.1666771604555946E-05</v>
      </c>
      <c r="C62" s="109">
        <v>1.2222028252965401E-05</v>
      </c>
      <c r="D62" s="220">
        <f t="shared" si="0"/>
        <v>0.9866590445493795</v>
      </c>
      <c r="E62" s="220">
        <f t="shared" si="1"/>
        <v>1.0336171073938962</v>
      </c>
      <c r="F62" s="109">
        <f t="shared" si="2"/>
        <v>1.1824522026131448E-05</v>
      </c>
      <c r="H62" t="s">
        <v>350</v>
      </c>
    </row>
    <row r="63" spans="1:8" ht="12.75">
      <c r="A63" s="109" t="s">
        <v>220</v>
      </c>
      <c r="B63" s="109">
        <v>1.1731462674168018E-05</v>
      </c>
      <c r="C63" s="109">
        <v>1.2289054160462269E-05</v>
      </c>
      <c r="D63" s="220">
        <f t="shared" si="0"/>
        <v>0.9921299692488394</v>
      </c>
      <c r="E63" s="220">
        <f t="shared" si="1"/>
        <v>1.0392854893672856</v>
      </c>
      <c r="F63" s="109">
        <f t="shared" si="2"/>
        <v>1.1824522026131448E-05</v>
      </c>
      <c r="H63" t="s">
        <v>351</v>
      </c>
    </row>
    <row r="64" spans="1:8" ht="12.75">
      <c r="A64" s="109" t="s">
        <v>221</v>
      </c>
      <c r="B64" s="109">
        <v>1.1617233928306533E-05</v>
      </c>
      <c r="C64" s="109">
        <v>1.20404429670995E-05</v>
      </c>
      <c r="D64" s="220">
        <f t="shared" si="0"/>
        <v>0.9824696425473417</v>
      </c>
      <c r="E64" s="220">
        <f t="shared" si="1"/>
        <v>1.0182604371230297</v>
      </c>
      <c r="F64" s="109">
        <f t="shared" si="2"/>
        <v>1.1824522026131448E-05</v>
      </c>
      <c r="H64" t="s">
        <v>352</v>
      </c>
    </row>
    <row r="65" spans="1:8" ht="12.75">
      <c r="A65" s="109" t="s">
        <v>222</v>
      </c>
      <c r="B65" s="109">
        <v>1.163446973895179E-05</v>
      </c>
      <c r="C65" s="109">
        <v>1.2161722021285417E-05</v>
      </c>
      <c r="D65" s="220">
        <f t="shared" si="0"/>
        <v>0.9839272753046884</v>
      </c>
      <c r="E65" s="220">
        <f t="shared" si="1"/>
        <v>1.0285170085022277</v>
      </c>
      <c r="F65" s="109">
        <f t="shared" si="2"/>
        <v>1.1824522026131448E-05</v>
      </c>
      <c r="H65" t="s">
        <v>353</v>
      </c>
    </row>
    <row r="66" spans="1:8" ht="12.75">
      <c r="A66" s="109" t="s">
        <v>223</v>
      </c>
      <c r="B66" s="109">
        <v>1.387807012874563E-05</v>
      </c>
      <c r="C66" s="109">
        <v>1.182452202613145E-05</v>
      </c>
      <c r="D66" s="220">
        <f aca="true" t="shared" si="4" ref="D66:D97">B66/$C$98</f>
        <v>1.1736685929525075</v>
      </c>
      <c r="E66" s="220">
        <f aca="true" t="shared" si="5" ref="E66:E97">C66/$C$98</f>
        <v>1.0000000000000002</v>
      </c>
      <c r="F66" s="109">
        <f aca="true" t="shared" si="6" ref="F66:F97">$C$98</f>
        <v>1.1824522026131448E-05</v>
      </c>
      <c r="H66" t="s">
        <v>354</v>
      </c>
    </row>
    <row r="67" spans="1:8" ht="12.75">
      <c r="A67" s="109" t="s">
        <v>224</v>
      </c>
      <c r="B67" s="109">
        <v>1.2828192619656953E-05</v>
      </c>
      <c r="C67" s="109">
        <v>1.182452202613145E-05</v>
      </c>
      <c r="D67" s="220">
        <f t="shared" si="4"/>
        <v>1.0848804367151126</v>
      </c>
      <c r="E67" s="220">
        <f t="shared" si="5"/>
        <v>1.0000000000000002</v>
      </c>
      <c r="F67" s="109">
        <f t="shared" si="6"/>
        <v>1.1824522026131448E-05</v>
      </c>
      <c r="H67" t="s">
        <v>355</v>
      </c>
    </row>
    <row r="68" spans="1:8" ht="12.75">
      <c r="A68" s="109" t="s">
        <v>225</v>
      </c>
      <c r="B68" s="109">
        <v>1.566549450141089E-05</v>
      </c>
      <c r="C68" s="109">
        <v>1.1461243232352066E-05</v>
      </c>
      <c r="D68" s="220">
        <f t="shared" si="4"/>
        <v>1.3248310981865596</v>
      </c>
      <c r="E68" s="220">
        <f t="shared" si="5"/>
        <v>0.9692775071181263</v>
      </c>
      <c r="F68" s="109">
        <f t="shared" si="6"/>
        <v>1.1824522026131448E-05</v>
      </c>
      <c r="H68" t="s">
        <v>356</v>
      </c>
    </row>
    <row r="69" spans="1:8" ht="12.75">
      <c r="A69" s="109" t="s">
        <v>226</v>
      </c>
      <c r="B69" s="109">
        <v>1.182452202613145E-05</v>
      </c>
      <c r="C69" s="109">
        <v>1.182452202613145E-05</v>
      </c>
      <c r="D69" s="220">
        <f t="shared" si="4"/>
        <v>1.0000000000000002</v>
      </c>
      <c r="E69" s="220">
        <f t="shared" si="5"/>
        <v>1.0000000000000002</v>
      </c>
      <c r="F69" s="109">
        <f t="shared" si="6"/>
        <v>1.1824522026131448E-05</v>
      </c>
      <c r="H69" t="s">
        <v>357</v>
      </c>
    </row>
    <row r="70" spans="1:8" ht="12.75">
      <c r="A70" s="109" t="s">
        <v>227</v>
      </c>
      <c r="B70" s="109">
        <v>1.182452202613145E-05</v>
      </c>
      <c r="C70" s="109">
        <v>1.182452202613145E-05</v>
      </c>
      <c r="D70" s="220">
        <f t="shared" si="4"/>
        <v>1.0000000000000002</v>
      </c>
      <c r="E70" s="220">
        <f t="shared" si="5"/>
        <v>1.0000000000000002</v>
      </c>
      <c r="F70" s="109">
        <f t="shared" si="6"/>
        <v>1.1824522026131448E-05</v>
      </c>
      <c r="H70" t="s">
        <v>358</v>
      </c>
    </row>
    <row r="71" spans="1:8" ht="12.75">
      <c r="A71" s="109" t="s">
        <v>228</v>
      </c>
      <c r="B71" s="109">
        <v>1.182452202613145E-05</v>
      </c>
      <c r="C71" s="109">
        <v>1.1247571464747227E-05</v>
      </c>
      <c r="D71" s="220">
        <f t="shared" si="4"/>
        <v>1.0000000000000002</v>
      </c>
      <c r="E71" s="220">
        <f t="shared" si="5"/>
        <v>0.9512072826191877</v>
      </c>
      <c r="F71" s="109">
        <f t="shared" si="6"/>
        <v>1.1824522026131448E-05</v>
      </c>
      <c r="H71" t="s">
        <v>359</v>
      </c>
    </row>
    <row r="72" spans="1:8" ht="12.75">
      <c r="A72" s="109" t="s">
        <v>229</v>
      </c>
      <c r="B72" s="109">
        <v>1.182340252830358E-05</v>
      </c>
      <c r="C72" s="109">
        <v>1.2181077348169078E-05</v>
      </c>
      <c r="D72" s="220">
        <f t="shared" si="4"/>
        <v>0.9999053240523893</v>
      </c>
      <c r="E72" s="220">
        <f t="shared" si="5"/>
        <v>1.0301538887787316</v>
      </c>
      <c r="F72" s="109">
        <f t="shared" si="6"/>
        <v>1.1824522026131448E-05</v>
      </c>
      <c r="H72" t="s">
        <v>360</v>
      </c>
    </row>
    <row r="73" spans="1:8" ht="12.75">
      <c r="A73" s="109" t="s">
        <v>230</v>
      </c>
      <c r="B73" s="109">
        <v>1.182452202613145E-05</v>
      </c>
      <c r="C73" s="109">
        <v>1.182452202613145E-05</v>
      </c>
      <c r="D73" s="220">
        <f t="shared" si="4"/>
        <v>1.0000000000000002</v>
      </c>
      <c r="E73" s="220">
        <f t="shared" si="5"/>
        <v>1.0000000000000002</v>
      </c>
      <c r="F73" s="109">
        <f t="shared" si="6"/>
        <v>1.1824522026131448E-05</v>
      </c>
      <c r="H73" t="s">
        <v>361</v>
      </c>
    </row>
    <row r="74" spans="1:8" ht="12.75">
      <c r="A74" s="109" t="s">
        <v>231</v>
      </c>
      <c r="B74" s="109">
        <v>1.2012776379932999E-05</v>
      </c>
      <c r="C74" s="109">
        <v>1.1778563708842837E-05</v>
      </c>
      <c r="D74" s="220">
        <f t="shared" si="4"/>
        <v>1.0159206734433341</v>
      </c>
      <c r="E74" s="220">
        <f t="shared" si="5"/>
        <v>0.9961133044374186</v>
      </c>
      <c r="F74" s="109">
        <f t="shared" si="6"/>
        <v>1.1824522026131448E-05</v>
      </c>
      <c r="H74" t="s">
        <v>362</v>
      </c>
    </row>
    <row r="75" spans="1:8" ht="12.75">
      <c r="A75" s="109" t="s">
        <v>232</v>
      </c>
      <c r="B75" s="109">
        <v>1.1648021638857043E-05</v>
      </c>
      <c r="C75" s="109">
        <v>1.1913604438417958E-05</v>
      </c>
      <c r="D75" s="220">
        <f t="shared" si="4"/>
        <v>0.9850733596770889</v>
      </c>
      <c r="E75" s="220">
        <f t="shared" si="5"/>
        <v>1.0075337009047507</v>
      </c>
      <c r="F75" s="109">
        <f t="shared" si="6"/>
        <v>1.1824522026131448E-05</v>
      </c>
      <c r="H75" t="s">
        <v>363</v>
      </c>
    </row>
    <row r="76" spans="1:8" ht="12.75">
      <c r="A76" s="109" t="s">
        <v>233</v>
      </c>
      <c r="B76" s="109">
        <v>1.182452202613145E-05</v>
      </c>
      <c r="C76" s="109">
        <v>1.182452202613145E-05</v>
      </c>
      <c r="D76" s="220">
        <f t="shared" si="4"/>
        <v>1.0000000000000002</v>
      </c>
      <c r="E76" s="220">
        <f t="shared" si="5"/>
        <v>1.0000000000000002</v>
      </c>
      <c r="F76" s="109">
        <f t="shared" si="6"/>
        <v>1.1824522026131448E-05</v>
      </c>
      <c r="H76" t="s">
        <v>364</v>
      </c>
    </row>
    <row r="77" spans="1:8" ht="12.75">
      <c r="A77" s="109" t="s">
        <v>240</v>
      </c>
      <c r="B77" s="109">
        <v>1.1794640264290422E-05</v>
      </c>
      <c r="C77" s="109">
        <v>1.2518664057546486E-05</v>
      </c>
      <c r="D77" s="220">
        <f t="shared" si="4"/>
        <v>0.9974728989658111</v>
      </c>
      <c r="E77" s="220">
        <f t="shared" si="5"/>
        <v>1.0587036017084688</v>
      </c>
      <c r="F77" s="109">
        <f t="shared" si="6"/>
        <v>1.1824522026131448E-05</v>
      </c>
      <c r="H77" t="s">
        <v>365</v>
      </c>
    </row>
    <row r="78" spans="1:8" ht="12.75">
      <c r="A78" s="109" t="s">
        <v>241</v>
      </c>
      <c r="B78" s="109">
        <v>1.8304897096191908E-05</v>
      </c>
      <c r="C78" s="109">
        <v>5.700285797000361E-06</v>
      </c>
      <c r="D78" s="220">
        <f t="shared" si="4"/>
        <v>1.5480454140758704</v>
      </c>
      <c r="E78" s="220">
        <f t="shared" si="5"/>
        <v>0.48207325288946895</v>
      </c>
      <c r="F78" s="109">
        <f t="shared" si="6"/>
        <v>1.1824522026131448E-05</v>
      </c>
      <c r="H78" t="s">
        <v>366</v>
      </c>
    </row>
    <row r="79" spans="1:8" ht="12.75">
      <c r="A79" s="109" t="s">
        <v>242</v>
      </c>
      <c r="B79" s="109">
        <v>1.3499709327264047E-05</v>
      </c>
      <c r="C79" s="109">
        <v>1.0645537178962964E-05</v>
      </c>
      <c r="D79" s="220">
        <f t="shared" si="4"/>
        <v>1.1416706144595563</v>
      </c>
      <c r="E79" s="220">
        <f t="shared" si="5"/>
        <v>0.9002932343004646</v>
      </c>
      <c r="F79" s="109">
        <f t="shared" si="6"/>
        <v>1.1824522026131448E-05</v>
      </c>
      <c r="H79" t="s">
        <v>367</v>
      </c>
    </row>
    <row r="80" spans="1:8" ht="12.75">
      <c r="A80" s="109" t="s">
        <v>243</v>
      </c>
      <c r="B80" s="109">
        <v>1.2903102743576567E-05</v>
      </c>
      <c r="C80" s="109">
        <v>1.09795990218213E-05</v>
      </c>
      <c r="D80" s="220">
        <f t="shared" si="4"/>
        <v>1.0912155869862243</v>
      </c>
      <c r="E80" s="220">
        <f t="shared" si="5"/>
        <v>0.9285448492173365</v>
      </c>
      <c r="F80" s="109">
        <f t="shared" si="6"/>
        <v>1.1824522026131448E-05</v>
      </c>
      <c r="H80" t="s">
        <v>368</v>
      </c>
    </row>
    <row r="81" spans="1:8" ht="12.75">
      <c r="A81" s="109" t="s">
        <v>244</v>
      </c>
      <c r="B81" s="109">
        <v>1.2856725359571087E-05</v>
      </c>
      <c r="C81" s="109">
        <v>1.1306555348308516E-05</v>
      </c>
      <c r="D81" s="220">
        <f t="shared" si="4"/>
        <v>1.0872934509452927</v>
      </c>
      <c r="E81" s="220">
        <f t="shared" si="5"/>
        <v>0.9561955505111954</v>
      </c>
      <c r="F81" s="109">
        <f t="shared" si="6"/>
        <v>1.1824522026131448E-05</v>
      </c>
      <c r="H81" t="s">
        <v>369</v>
      </c>
    </row>
    <row r="82" spans="1:8" ht="12.75">
      <c r="A82" s="109" t="s">
        <v>244</v>
      </c>
      <c r="B82" s="109">
        <v>1.2587287968609468E-05</v>
      </c>
      <c r="C82" s="109">
        <v>1.1260933150833206E-05</v>
      </c>
      <c r="D82" s="220">
        <f t="shared" si="4"/>
        <v>1.064507126866723</v>
      </c>
      <c r="E82" s="220">
        <f t="shared" si="5"/>
        <v>0.9523372806061212</v>
      </c>
      <c r="F82" s="109">
        <f t="shared" si="6"/>
        <v>1.1824522026131448E-05</v>
      </c>
      <c r="H82" t="s">
        <v>369</v>
      </c>
    </row>
    <row r="83" spans="1:8" ht="12.75">
      <c r="A83" s="109" t="s">
        <v>245</v>
      </c>
      <c r="B83" s="109">
        <v>1.19819610742716E-05</v>
      </c>
      <c r="C83" s="109">
        <v>1.1748922468859894E-05</v>
      </c>
      <c r="D83" s="220">
        <f t="shared" si="4"/>
        <v>1.0133146225946572</v>
      </c>
      <c r="E83" s="220">
        <f t="shared" si="5"/>
        <v>0.9936065443402716</v>
      </c>
      <c r="F83" s="109">
        <f t="shared" si="6"/>
        <v>1.1824522026131448E-05</v>
      </c>
      <c r="H83" t="s">
        <v>370</v>
      </c>
    </row>
    <row r="84" spans="1:8" ht="12.75">
      <c r="A84" s="109" t="s">
        <v>246</v>
      </c>
      <c r="B84" s="109">
        <v>1.2064024946197777E-05</v>
      </c>
      <c r="C84" s="109">
        <v>1.169539733892917E-05</v>
      </c>
      <c r="D84" s="220">
        <f t="shared" si="4"/>
        <v>1.020254765438894</v>
      </c>
      <c r="E84" s="220">
        <f t="shared" si="5"/>
        <v>0.9890799233223194</v>
      </c>
      <c r="F84" s="109">
        <f t="shared" si="6"/>
        <v>1.1824522026131448E-05</v>
      </c>
      <c r="H84" t="s">
        <v>371</v>
      </c>
    </row>
    <row r="85" spans="1:8" ht="12.75">
      <c r="A85" s="109" t="s">
        <v>247</v>
      </c>
      <c r="B85" s="109">
        <v>1.1824522026131448E-05</v>
      </c>
      <c r="C85" s="109">
        <v>1.1760498452023908E-05</v>
      </c>
      <c r="D85" s="220">
        <f t="shared" si="4"/>
        <v>1</v>
      </c>
      <c r="E85" s="220">
        <f t="shared" si="5"/>
        <v>0.9945855254050817</v>
      </c>
      <c r="F85" s="109">
        <f t="shared" si="6"/>
        <v>1.1824522026131448E-05</v>
      </c>
      <c r="H85" t="s">
        <v>372</v>
      </c>
    </row>
    <row r="86" spans="1:8" ht="12.75">
      <c r="A86" s="109" t="s">
        <v>248</v>
      </c>
      <c r="B86" s="109">
        <v>1.1825928241659255E-05</v>
      </c>
      <c r="C86" s="109">
        <v>1.1824381054911655E-05</v>
      </c>
      <c r="D86" s="220">
        <f t="shared" si="4"/>
        <v>1.0001189236676713</v>
      </c>
      <c r="E86" s="220">
        <f t="shared" si="5"/>
        <v>0.9999880780618885</v>
      </c>
      <c r="F86" s="109">
        <f t="shared" si="6"/>
        <v>1.1824522026131448E-05</v>
      </c>
      <c r="H86" t="s">
        <v>373</v>
      </c>
    </row>
    <row r="87" spans="1:8" ht="12.75">
      <c r="A87" s="109" t="s">
        <v>249</v>
      </c>
      <c r="B87" s="109">
        <v>1.0292663579454971E-05</v>
      </c>
      <c r="C87" s="109">
        <v>1.3886206283207257E-05</v>
      </c>
      <c r="D87" s="220">
        <f t="shared" si="4"/>
        <v>0.8704507088496968</v>
      </c>
      <c r="E87" s="220">
        <f t="shared" si="5"/>
        <v>1.1743566676538484</v>
      </c>
      <c r="F87" s="109">
        <f t="shared" si="6"/>
        <v>1.1824522026131448E-05</v>
      </c>
      <c r="H87" t="s">
        <v>374</v>
      </c>
    </row>
    <row r="88" spans="1:8" ht="12.75">
      <c r="A88" s="109" t="s">
        <v>250</v>
      </c>
      <c r="B88" s="109">
        <v>1.0810454901145051E-05</v>
      </c>
      <c r="C88" s="109">
        <v>1.3244338164760104E-05</v>
      </c>
      <c r="D88" s="220">
        <f t="shared" si="4"/>
        <v>0.9142403284677916</v>
      </c>
      <c r="E88" s="220">
        <f t="shared" si="5"/>
        <v>1.1200738715265575</v>
      </c>
      <c r="F88" s="109">
        <f t="shared" si="6"/>
        <v>1.1824522026131448E-05</v>
      </c>
      <c r="H88" t="s">
        <v>375</v>
      </c>
    </row>
    <row r="89" spans="1:8" ht="12.75">
      <c r="A89" s="109" t="s">
        <v>251</v>
      </c>
      <c r="B89" s="109">
        <v>1.2132697718437752E-05</v>
      </c>
      <c r="C89" s="109">
        <v>1.1042105469492632E-05</v>
      </c>
      <c r="D89" s="220">
        <f t="shared" si="4"/>
        <v>1.026062422787598</v>
      </c>
      <c r="E89" s="220">
        <f t="shared" si="5"/>
        <v>0.9338310204074444</v>
      </c>
      <c r="F89" s="109">
        <f t="shared" si="6"/>
        <v>1.1824522026131448E-05</v>
      </c>
      <c r="H89" t="s">
        <v>376</v>
      </c>
    </row>
    <row r="90" spans="1:8" ht="12.75">
      <c r="A90" s="109" t="s">
        <v>251</v>
      </c>
      <c r="B90" s="109">
        <v>1.2597824910814984E-05</v>
      </c>
      <c r="C90" s="109">
        <v>1.0399989090695985E-05</v>
      </c>
      <c r="D90" s="220">
        <f t="shared" si="4"/>
        <v>1.065398236222537</v>
      </c>
      <c r="E90" s="220">
        <f t="shared" si="5"/>
        <v>0.8795272288987804</v>
      </c>
      <c r="F90" s="109">
        <f t="shared" si="6"/>
        <v>1.1824522026131448E-05</v>
      </c>
      <c r="H90" t="s">
        <v>376</v>
      </c>
    </row>
    <row r="91" spans="1:8" ht="12.75">
      <c r="A91" s="109" t="s">
        <v>252</v>
      </c>
      <c r="B91" s="109">
        <v>1.2310718411214484E-05</v>
      </c>
      <c r="C91" s="109">
        <v>1.0978205137156645E-05</v>
      </c>
      <c r="D91" s="220">
        <f t="shared" si="4"/>
        <v>1.0411176353689877</v>
      </c>
      <c r="E91" s="220">
        <f t="shared" si="5"/>
        <v>0.9284269683709416</v>
      </c>
      <c r="F91" s="109">
        <f t="shared" si="6"/>
        <v>1.1824522026131448E-05</v>
      </c>
      <c r="H91" t="s">
        <v>377</v>
      </c>
    </row>
    <row r="92" spans="1:8" ht="12.75">
      <c r="A92" s="109" t="s">
        <v>253</v>
      </c>
      <c r="B92" s="109">
        <v>1.2581381223732478E-05</v>
      </c>
      <c r="C92" s="109">
        <v>1.0855211569294424E-05</v>
      </c>
      <c r="D92" s="220">
        <f t="shared" si="4"/>
        <v>1.0640075933664312</v>
      </c>
      <c r="E92" s="220">
        <f t="shared" si="5"/>
        <v>0.9180254005451629</v>
      </c>
      <c r="F92" s="109">
        <f t="shared" si="6"/>
        <v>1.1824522026131448E-05</v>
      </c>
      <c r="H92" t="s">
        <v>378</v>
      </c>
    </row>
    <row r="93" spans="1:8" ht="12.75">
      <c r="A93" s="109" t="s">
        <v>254</v>
      </c>
      <c r="B93" s="109">
        <v>1.1746531104835479E-05</v>
      </c>
      <c r="C93" s="109">
        <v>1.2577518493538577E-05</v>
      </c>
      <c r="D93" s="220">
        <f t="shared" si="4"/>
        <v>0.9934043066498913</v>
      </c>
      <c r="E93" s="220">
        <f t="shared" si="5"/>
        <v>1.0636809222176637</v>
      </c>
      <c r="F93" s="109">
        <f t="shared" si="6"/>
        <v>1.1824522026131448E-05</v>
      </c>
      <c r="H93" t="s">
        <v>379</v>
      </c>
    </row>
    <row r="94" spans="1:8" ht="12.75">
      <c r="A94" s="109" t="s">
        <v>255</v>
      </c>
      <c r="B94" s="109">
        <v>1.1824522026131448E-05</v>
      </c>
      <c r="C94" s="109">
        <v>1.1824522026131448E-05</v>
      </c>
      <c r="D94" s="220">
        <f t="shared" si="4"/>
        <v>1</v>
      </c>
      <c r="E94" s="220">
        <f t="shared" si="5"/>
        <v>1</v>
      </c>
      <c r="F94" s="109">
        <f t="shared" si="6"/>
        <v>1.1824522026131448E-05</v>
      </c>
      <c r="H94" t="s">
        <v>380</v>
      </c>
    </row>
    <row r="95" spans="1:8" ht="12.75">
      <c r="A95" s="109" t="s">
        <v>256</v>
      </c>
      <c r="B95" s="109">
        <v>8.68549165282842E-06</v>
      </c>
      <c r="C95" s="109">
        <v>2.446864559137865E-05</v>
      </c>
      <c r="D95" s="220">
        <f t="shared" si="4"/>
        <v>0.73453215560291</v>
      </c>
      <c r="E95" s="220">
        <f t="shared" si="5"/>
        <v>2.069313714102311</v>
      </c>
      <c r="F95" s="109">
        <f t="shared" si="6"/>
        <v>1.1824522026131448E-05</v>
      </c>
      <c r="H95" t="s">
        <v>381</v>
      </c>
    </row>
    <row r="96" spans="1:8" ht="12.75">
      <c r="A96" s="109" t="s">
        <v>257</v>
      </c>
      <c r="B96" s="109">
        <v>8.458909108158404E-06</v>
      </c>
      <c r="C96" s="109">
        <v>3.348898429710193E-05</v>
      </c>
      <c r="D96" s="220">
        <f t="shared" si="4"/>
        <v>0.7153700664994955</v>
      </c>
      <c r="E96" s="220">
        <f t="shared" si="5"/>
        <v>2.8321638898463197</v>
      </c>
      <c r="F96" s="109">
        <f t="shared" si="6"/>
        <v>1.1824522026131448E-05</v>
      </c>
      <c r="H96" t="s">
        <v>382</v>
      </c>
    </row>
    <row r="97" spans="1:8" ht="12.75">
      <c r="A97" s="109" t="s">
        <v>273</v>
      </c>
      <c r="B97" s="109">
        <v>8.57894018751827E-06</v>
      </c>
      <c r="C97" s="109">
        <v>1.537995145391886E-05</v>
      </c>
      <c r="D97" s="220">
        <f t="shared" si="4"/>
        <v>0.725521096629475</v>
      </c>
      <c r="E97" s="220">
        <f t="shared" si="5"/>
        <v>1.3006827185005987</v>
      </c>
      <c r="F97" s="109">
        <f t="shared" si="6"/>
        <v>1.1824522026131448E-05</v>
      </c>
      <c r="H97" t="s">
        <v>383</v>
      </c>
    </row>
    <row r="98" spans="1:5" ht="12.75">
      <c r="A98" s="109" t="s">
        <v>282</v>
      </c>
      <c r="B98" s="109"/>
      <c r="C98" s="109">
        <v>1.1824522026131448E-05</v>
      </c>
      <c r="D98" s="221"/>
      <c r="E98" s="221"/>
    </row>
    <row r="106" ht="12.75">
      <c r="J106">
        <f>C98/(1-C98)</f>
        <v>1.182466184710591E-05</v>
      </c>
    </row>
    <row r="108" spans="1:12" ht="12.75">
      <c r="A108" s="109" t="s">
        <v>205</v>
      </c>
      <c r="B108" s="109">
        <v>3.201544732878765E-07</v>
      </c>
      <c r="C108" s="109">
        <v>0.00017675248051998268</v>
      </c>
      <c r="D108" s="220">
        <f aca="true" t="shared" si="7" ref="D108:D172">B108/$C$98</f>
        <v>0.02707546846970688</v>
      </c>
      <c r="E108" s="220">
        <f aca="true" t="shared" si="8" ref="E108:E172">C108/$C$98</f>
        <v>14.947959852361969</v>
      </c>
      <c r="F108" s="109">
        <f aca="true" t="shared" si="9" ref="F108:F172">$C$98</f>
        <v>1.1824522026131448E-05</v>
      </c>
      <c r="G108" s="217">
        <f aca="true" t="shared" si="10" ref="G108:G172">MAX(D108:E108)</f>
        <v>14.947959852361969</v>
      </c>
      <c r="H108" t="s">
        <v>336</v>
      </c>
      <c r="J108">
        <f>LN(B108/(1-B108))-LN($J$106)</f>
        <v>-3.6091386880152623</v>
      </c>
      <c r="K108">
        <f>LN(C108/(1-C108))-LN($J$106)</f>
        <v>2.7047397693107307</v>
      </c>
      <c r="L108">
        <f>MAX(J108,K108)</f>
        <v>2.7047397693107307</v>
      </c>
    </row>
    <row r="109" spans="1:12" ht="12.75">
      <c r="A109" s="109" t="s">
        <v>281</v>
      </c>
      <c r="B109" s="109">
        <v>3.280889046791106E-07</v>
      </c>
      <c r="C109" s="109">
        <v>0.00016292000904468784</v>
      </c>
      <c r="D109" s="220">
        <f t="shared" si="7"/>
        <v>0.02774648344804592</v>
      </c>
      <c r="E109" s="220">
        <f t="shared" si="8"/>
        <v>13.77814753819604</v>
      </c>
      <c r="F109" s="109">
        <f t="shared" si="9"/>
        <v>1.1824522026131448E-05</v>
      </c>
      <c r="G109" s="217">
        <f t="shared" si="10"/>
        <v>13.77814753819604</v>
      </c>
      <c r="H109" t="str">
        <f>A109</f>
        <v>YMB f, g, and k</v>
      </c>
      <c r="J109">
        <f aca="true" t="shared" si="11" ref="J109:J119">LN(B109/(1-B109))-LN($J$106)</f>
        <v>-3.5846576659155964</v>
      </c>
      <c r="K109">
        <f aca="true" t="shared" si="12" ref="K109:K119">LN(C109/(1-C109))-LN($J$106)</f>
        <v>2.623234934048428</v>
      </c>
      <c r="L109">
        <f aca="true" t="shared" si="13" ref="L109:L139">MAX(J109,K109)</f>
        <v>2.623234934048428</v>
      </c>
    </row>
    <row r="110" spans="1:12" ht="12.75">
      <c r="A110" s="109" t="s">
        <v>209</v>
      </c>
      <c r="B110" s="109">
        <v>3.643021388413401E-07</v>
      </c>
      <c r="C110" s="109">
        <v>5.9645765555687E-05</v>
      </c>
      <c r="D110" s="220">
        <f t="shared" si="7"/>
        <v>0.030809037188670743</v>
      </c>
      <c r="E110" s="220">
        <f t="shared" si="8"/>
        <v>5.044243261915672</v>
      </c>
      <c r="F110" s="109">
        <f t="shared" si="9"/>
        <v>1.1824522026131448E-05</v>
      </c>
      <c r="G110" s="217">
        <f t="shared" si="10"/>
        <v>5.044243261915672</v>
      </c>
      <c r="H110" t="s">
        <v>340</v>
      </c>
      <c r="J110">
        <f t="shared" si="11"/>
        <v>-3.479958677113583</v>
      </c>
      <c r="K110">
        <f t="shared" si="12"/>
        <v>1.6182954678691779</v>
      </c>
      <c r="L110">
        <f t="shared" si="13"/>
        <v>1.6182954678691779</v>
      </c>
    </row>
    <row r="111" spans="1:12" ht="12.75">
      <c r="A111" s="109" t="s">
        <v>217</v>
      </c>
      <c r="B111" s="109">
        <v>2.4959168741994414E-07</v>
      </c>
      <c r="C111" s="109">
        <v>5.421337044534403E-05</v>
      </c>
      <c r="D111" s="220">
        <f t="shared" si="7"/>
        <v>0.021107972640954303</v>
      </c>
      <c r="E111" s="220">
        <f t="shared" si="8"/>
        <v>4.584825528299232</v>
      </c>
      <c r="F111" s="109">
        <f t="shared" si="9"/>
        <v>1.1824522026131448E-05</v>
      </c>
      <c r="G111" s="217">
        <f t="shared" si="10"/>
        <v>4.584825528299232</v>
      </c>
      <c r="H111" t="s">
        <v>348</v>
      </c>
      <c r="J111">
        <f t="shared" si="11"/>
        <v>-3.8581160345855796</v>
      </c>
      <c r="K111">
        <f t="shared" si="12"/>
        <v>1.52279444251697</v>
      </c>
      <c r="L111">
        <f t="shared" si="13"/>
        <v>1.52279444251697</v>
      </c>
    </row>
    <row r="112" spans="1:12" ht="12.75">
      <c r="A112" s="109" t="s">
        <v>184</v>
      </c>
      <c r="B112" s="109">
        <v>3.240192240318942E-07</v>
      </c>
      <c r="C112" s="109">
        <v>4.661801036856195E-05</v>
      </c>
      <c r="D112" s="220">
        <f t="shared" si="7"/>
        <v>0.027402310496427013</v>
      </c>
      <c r="E112" s="220">
        <f t="shared" si="8"/>
        <v>3.9424858159627165</v>
      </c>
      <c r="F112" s="109">
        <f t="shared" si="9"/>
        <v>1.1824522026131448E-05</v>
      </c>
      <c r="G112" s="217">
        <f t="shared" si="10"/>
        <v>3.9424858159627165</v>
      </c>
      <c r="H112" t="s">
        <v>316</v>
      </c>
      <c r="J112">
        <f t="shared" si="11"/>
        <v>-3.5971394450287804</v>
      </c>
      <c r="K112">
        <f t="shared" si="12"/>
        <v>1.3718462366270288</v>
      </c>
      <c r="L112">
        <f t="shared" si="13"/>
        <v>1.3718462366270288</v>
      </c>
    </row>
    <row r="113" spans="1:12" ht="12.75">
      <c r="A113" s="109" t="s">
        <v>203</v>
      </c>
      <c r="B113" s="109">
        <v>2.5872716213427364E-07</v>
      </c>
      <c r="C113" s="109">
        <v>3.066436089914314E-05</v>
      </c>
      <c r="D113" s="220">
        <f t="shared" si="7"/>
        <v>0.02188055987062335</v>
      </c>
      <c r="E113" s="220">
        <f t="shared" si="8"/>
        <v>2.5932854479341185</v>
      </c>
      <c r="F113" s="109">
        <f t="shared" si="9"/>
        <v>1.1824522026131448E-05</v>
      </c>
      <c r="G113" s="217">
        <f t="shared" si="10"/>
        <v>2.5932854479341185</v>
      </c>
      <c r="H113" t="s">
        <v>334</v>
      </c>
      <c r="J113">
        <f t="shared" si="11"/>
        <v>-3.82216827938357</v>
      </c>
      <c r="K113">
        <f t="shared" si="12"/>
        <v>0.9529444247839436</v>
      </c>
      <c r="L113">
        <f t="shared" si="13"/>
        <v>0.9529444247839436</v>
      </c>
    </row>
    <row r="114" spans="1:12" ht="12.75">
      <c r="A114" s="109" t="s">
        <v>221</v>
      </c>
      <c r="B114" s="109">
        <v>3.277588909860187E-07</v>
      </c>
      <c r="C114" s="109">
        <v>2.2237630104849832E-05</v>
      </c>
      <c r="D114" s="220">
        <f t="shared" si="7"/>
        <v>0.027718574185213764</v>
      </c>
      <c r="E114" s="220">
        <f t="shared" si="8"/>
        <v>1.8806367019069414</v>
      </c>
      <c r="F114" s="109">
        <f t="shared" si="9"/>
        <v>1.1824522026131448E-05</v>
      </c>
      <c r="G114" s="217">
        <f t="shared" si="10"/>
        <v>1.8806367019069414</v>
      </c>
      <c r="H114" t="s">
        <v>352</v>
      </c>
      <c r="J114">
        <f t="shared" si="11"/>
        <v>-3.5856640391361676</v>
      </c>
      <c r="K114">
        <f t="shared" si="12"/>
        <v>0.6316208040182278</v>
      </c>
      <c r="L114">
        <f t="shared" si="13"/>
        <v>0.6316208040182278</v>
      </c>
    </row>
    <row r="115" spans="1:12" ht="12.75">
      <c r="A115" s="109" t="s">
        <v>186</v>
      </c>
      <c r="B115" s="109">
        <v>3.18398601742476E-07</v>
      </c>
      <c r="C115" s="109">
        <v>1.8577934038688193E-05</v>
      </c>
      <c r="D115" s="220">
        <f t="shared" si="7"/>
        <v>0.026926974387534244</v>
      </c>
      <c r="E115" s="220">
        <f t="shared" si="8"/>
        <v>1.5711361522801623</v>
      </c>
      <c r="F115" s="109">
        <f t="shared" si="9"/>
        <v>1.1824522026131448E-05</v>
      </c>
      <c r="G115" s="217">
        <f t="shared" si="10"/>
        <v>1.5711361522801623</v>
      </c>
      <c r="H115" t="s">
        <v>320</v>
      </c>
      <c r="J115">
        <f t="shared" si="11"/>
        <v>-3.614638235665087</v>
      </c>
      <c r="K115">
        <f t="shared" si="12"/>
        <v>0.45180577502916286</v>
      </c>
      <c r="L115">
        <f t="shared" si="13"/>
        <v>0.45180577502916286</v>
      </c>
    </row>
    <row r="116" spans="1:12" ht="12.75">
      <c r="A116" s="109" t="s">
        <v>190</v>
      </c>
      <c r="B116" s="109">
        <v>3.2749455753791377E-07</v>
      </c>
      <c r="C116" s="109">
        <v>1.3861292441666606E-05</v>
      </c>
      <c r="D116" s="220">
        <f t="shared" si="7"/>
        <v>0.027696219501656936</v>
      </c>
      <c r="E116" s="220">
        <f t="shared" si="8"/>
        <v>1.1722497037118307</v>
      </c>
      <c r="F116" s="109">
        <f t="shared" si="9"/>
        <v>1.1824522026131448E-05</v>
      </c>
      <c r="G116" s="217">
        <f t="shared" si="10"/>
        <v>1.1722497037118307</v>
      </c>
      <c r="H116" t="s">
        <v>328</v>
      </c>
      <c r="J116">
        <f t="shared" si="11"/>
        <v>-3.586470852285011</v>
      </c>
      <c r="K116">
        <f t="shared" si="12"/>
        <v>0.1589267630324116</v>
      </c>
      <c r="L116">
        <f t="shared" si="13"/>
        <v>0.1589267630324116</v>
      </c>
    </row>
    <row r="117" spans="1:12" ht="12.75">
      <c r="A117" s="109" t="s">
        <v>219</v>
      </c>
      <c r="B117" s="109">
        <v>3.2676303648033406E-07</v>
      </c>
      <c r="C117" s="109">
        <v>1.3463154909002693E-05</v>
      </c>
      <c r="D117" s="220">
        <f t="shared" si="7"/>
        <v>0.02763435475516121</v>
      </c>
      <c r="E117" s="220">
        <f t="shared" si="8"/>
        <v>1.1385792067746985</v>
      </c>
      <c r="F117" s="109">
        <f t="shared" si="9"/>
        <v>1.1824522026131448E-05</v>
      </c>
      <c r="G117" s="217">
        <f t="shared" si="10"/>
        <v>1.1385792067746985</v>
      </c>
      <c r="H117" t="s">
        <v>350</v>
      </c>
      <c r="J117">
        <f t="shared" si="11"/>
        <v>-3.588707040625513</v>
      </c>
      <c r="K117">
        <f t="shared" si="12"/>
        <v>0.12978281392323687</v>
      </c>
      <c r="L117">
        <f t="shared" si="13"/>
        <v>0.12978281392323687</v>
      </c>
    </row>
    <row r="118" spans="1:12" ht="12.75">
      <c r="A118" s="109" t="s">
        <v>192</v>
      </c>
      <c r="B118" s="109">
        <v>3.277695947086779E-07</v>
      </c>
      <c r="C118" s="109">
        <v>1.346079920701057E-05</v>
      </c>
      <c r="D118" s="220">
        <f t="shared" si="7"/>
        <v>0.027719479399194974</v>
      </c>
      <c r="E118" s="220">
        <f t="shared" si="8"/>
        <v>1.1383799850229086</v>
      </c>
      <c r="F118" s="109">
        <f t="shared" si="9"/>
        <v>1.1824522026131448E-05</v>
      </c>
      <c r="G118" s="217">
        <f t="shared" si="10"/>
        <v>1.1383799850229086</v>
      </c>
      <c r="H118" t="s">
        <v>332</v>
      </c>
      <c r="J118">
        <f t="shared" si="11"/>
        <v>-3.5856313823519024</v>
      </c>
      <c r="K118">
        <f t="shared" si="12"/>
        <v>0.129607822263333</v>
      </c>
      <c r="L118">
        <f t="shared" si="13"/>
        <v>0.129607822263333</v>
      </c>
    </row>
    <row r="119" spans="1:12" ht="12.75">
      <c r="A119" s="109" t="s">
        <v>207</v>
      </c>
      <c r="B119" s="109">
        <v>3.2697672458591324E-07</v>
      </c>
      <c r="C119" s="109">
        <v>1.2805352360468936E-05</v>
      </c>
      <c r="D119" s="220">
        <f t="shared" si="7"/>
        <v>0.027652426361362878</v>
      </c>
      <c r="E119" s="220">
        <f t="shared" si="8"/>
        <v>1.0829488356628636</v>
      </c>
      <c r="F119" s="109">
        <f t="shared" si="9"/>
        <v>1.1824522026131448E-05</v>
      </c>
      <c r="G119" s="217">
        <f t="shared" si="10"/>
        <v>1.0829488356628636</v>
      </c>
      <c r="H119" t="s">
        <v>338</v>
      </c>
      <c r="J119">
        <f t="shared" si="11"/>
        <v>-3.5880532998076387</v>
      </c>
      <c r="K119">
        <f t="shared" si="12"/>
        <v>0.07968870459002453</v>
      </c>
      <c r="L119">
        <f t="shared" si="13"/>
        <v>0.07968870459002453</v>
      </c>
    </row>
    <row r="120" spans="1:12" ht="12.75">
      <c r="A120" s="109" t="s">
        <v>267</v>
      </c>
      <c r="B120" s="109">
        <v>2.405347445216108E-07</v>
      </c>
      <c r="C120" s="109">
        <v>1.194169630915778E-05</v>
      </c>
      <c r="D120" s="220">
        <f t="shared" si="7"/>
        <v>0.020342026848108038</v>
      </c>
      <c r="E120" s="220">
        <f t="shared" si="8"/>
        <v>1.009909430822437</v>
      </c>
      <c r="F120" s="109">
        <f t="shared" si="9"/>
        <v>1.1824522026131448E-05</v>
      </c>
      <c r="G120" s="217">
        <f t="shared" si="10"/>
        <v>1.009909430822437</v>
      </c>
      <c r="H120" t="str">
        <f>"Fract "&amp;RIGHT(A120,LEN(A120)-22)</f>
        <v>Fract VM Low</v>
      </c>
      <c r="J120">
        <f aca="true" t="shared" si="14" ref="J120:J125">LN(B120/(1-B120))-LN($J$106)</f>
        <v>-3.895077829000563</v>
      </c>
      <c r="K120">
        <f aca="true" t="shared" si="15" ref="K120:K125">LN(C120/(1-C120))-LN($J$106)</f>
        <v>0.009860771554997427</v>
      </c>
      <c r="L120">
        <f t="shared" si="13"/>
        <v>0.009860771554997427</v>
      </c>
    </row>
    <row r="121" spans="1:12" ht="12.75">
      <c r="A121" s="109" t="s">
        <v>183</v>
      </c>
      <c r="B121" s="109">
        <v>2.420830873843761E-07</v>
      </c>
      <c r="C121" s="109">
        <v>8.664030312430462E-06</v>
      </c>
      <c r="D121" s="220">
        <f t="shared" si="7"/>
        <v>0.02047297022656711</v>
      </c>
      <c r="E121" s="220">
        <f t="shared" si="8"/>
        <v>0.7327171697328231</v>
      </c>
      <c r="F121" s="109">
        <f t="shared" si="9"/>
        <v>1.1824522026131448E-05</v>
      </c>
      <c r="G121" s="217">
        <f t="shared" si="10"/>
        <v>0.7327171697328231</v>
      </c>
      <c r="H121" t="s">
        <v>314</v>
      </c>
      <c r="J121">
        <f t="shared" si="14"/>
        <v>-3.888661370899543</v>
      </c>
      <c r="K121">
        <f t="shared" si="15"/>
        <v>-0.31099866510480645</v>
      </c>
      <c r="L121">
        <f t="shared" si="13"/>
        <v>-0.31099866510480645</v>
      </c>
    </row>
    <row r="122" spans="1:12" ht="12.75">
      <c r="A122" s="109" t="s">
        <v>241</v>
      </c>
      <c r="B122" s="109">
        <v>8.46745171460875E-06</v>
      </c>
      <c r="C122" s="109">
        <v>2.8816238749573237E-07</v>
      </c>
      <c r="D122" s="220">
        <f t="shared" si="7"/>
        <v>0.7160925148514432</v>
      </c>
      <c r="E122" s="220">
        <f t="shared" si="8"/>
        <v>0.024369897308230446</v>
      </c>
      <c r="F122" s="109">
        <f t="shared" si="9"/>
        <v>1.1824522026131448E-05</v>
      </c>
      <c r="G122" s="217">
        <f t="shared" si="10"/>
        <v>0.7160925148514432</v>
      </c>
      <c r="H122" t="s">
        <v>366</v>
      </c>
      <c r="J122">
        <f t="shared" si="14"/>
        <v>-0.3339492667864725</v>
      </c>
      <c r="K122">
        <f t="shared" si="15"/>
        <v>-3.7144181616434633</v>
      </c>
      <c r="L122">
        <f t="shared" si="13"/>
        <v>-0.3339492667864725</v>
      </c>
    </row>
    <row r="123" spans="1:12" ht="12.75">
      <c r="A123" s="109" t="s">
        <v>277</v>
      </c>
      <c r="B123" s="109">
        <v>2.7176752339935985E-07</v>
      </c>
      <c r="C123" s="109">
        <v>8.000586879713153E-06</v>
      </c>
      <c r="D123" s="220">
        <f t="shared" si="7"/>
        <v>0.022983383412773114</v>
      </c>
      <c r="E123" s="220">
        <f t="shared" si="8"/>
        <v>0.6766097489634135</v>
      </c>
      <c r="F123" s="109">
        <f t="shared" si="9"/>
        <v>1.1824522026131448E-05</v>
      </c>
      <c r="G123" s="217">
        <f t="shared" si="10"/>
        <v>0.6766097489634135</v>
      </c>
      <c r="H123" t="str">
        <f>A123</f>
        <v>Yolk growth e and f</v>
      </c>
      <c r="J123">
        <f t="shared" si="14"/>
        <v>-3.7729953372917926</v>
      </c>
      <c r="K123">
        <f t="shared" si="15"/>
        <v>-0.39066443795770844</v>
      </c>
      <c r="L123">
        <f t="shared" si="13"/>
        <v>-0.39066443795770844</v>
      </c>
    </row>
    <row r="124" spans="1:12" ht="12.75">
      <c r="A124" s="109" t="s">
        <v>258</v>
      </c>
      <c r="B124" s="109">
        <v>1.5351470773695006E-07</v>
      </c>
      <c r="C124" s="109">
        <v>2.91428006672323E-06</v>
      </c>
      <c r="D124" s="220">
        <f t="shared" si="7"/>
        <v>0.01298274106959184</v>
      </c>
      <c r="E124" s="220">
        <f t="shared" si="8"/>
        <v>0.2464607076956561</v>
      </c>
      <c r="F124" s="109">
        <f t="shared" si="9"/>
        <v>1.1824522026131448E-05</v>
      </c>
      <c r="G124" s="217">
        <f t="shared" si="10"/>
        <v>0.2464607076956561</v>
      </c>
      <c r="H124" t="s">
        <v>308</v>
      </c>
      <c r="J124">
        <f t="shared" si="14"/>
        <v>-4.34414608468418</v>
      </c>
      <c r="K124">
        <f t="shared" si="15"/>
        <v>-1.4005616093416577</v>
      </c>
      <c r="L124">
        <f t="shared" si="13"/>
        <v>-1.4005616093416577</v>
      </c>
    </row>
    <row r="125" spans="1:12" ht="12.75">
      <c r="A125" s="109" t="s">
        <v>242</v>
      </c>
      <c r="B125" s="109">
        <v>1.5817864636949608E-06</v>
      </c>
      <c r="C125" s="109">
        <v>1.6400242618879478E-07</v>
      </c>
      <c r="D125" s="220">
        <f t="shared" si="7"/>
        <v>0.13377170427686738</v>
      </c>
      <c r="E125" s="220">
        <f t="shared" si="8"/>
        <v>0.013869687571840938</v>
      </c>
      <c r="F125" s="109">
        <f t="shared" si="9"/>
        <v>1.1824522026131448E-05</v>
      </c>
      <c r="G125" s="217">
        <f t="shared" si="10"/>
        <v>0.13377170427686738</v>
      </c>
      <c r="H125" t="s">
        <v>367</v>
      </c>
      <c r="J125">
        <f t="shared" si="14"/>
        <v>-2.0116308742081674</v>
      </c>
      <c r="K125">
        <f t="shared" si="15"/>
        <v>-4.278061230960676</v>
      </c>
      <c r="L125">
        <f t="shared" si="13"/>
        <v>-2.0116308742081674</v>
      </c>
    </row>
    <row r="126" spans="1:12" ht="12.75">
      <c r="A126" s="109" t="s">
        <v>213</v>
      </c>
      <c r="B126" s="109">
        <v>2.7293916915643154E-07</v>
      </c>
      <c r="C126" s="109">
        <v>9.018261390971763E-07</v>
      </c>
      <c r="D126" s="220">
        <f t="shared" si="7"/>
        <v>0.023082469511516254</v>
      </c>
      <c r="E126" s="220">
        <f t="shared" si="8"/>
        <v>0.07626744972052125</v>
      </c>
      <c r="F126" s="109">
        <f t="shared" si="9"/>
        <v>1.1824522026131448E-05</v>
      </c>
      <c r="G126" s="217">
        <f t="shared" si="10"/>
        <v>0.07626744972052125</v>
      </c>
      <c r="H126" t="s">
        <v>344</v>
      </c>
      <c r="J126">
        <f aca="true" t="shared" si="16" ref="J126:J140">LN(B126/(1-B126))-LN($J$106)</f>
        <v>-3.7686933968195166</v>
      </c>
      <c r="K126">
        <f aca="true" t="shared" si="17" ref="K126:K140">LN(C126/(1-C126))-LN($J$106)</f>
        <v>-2.5735199636481756</v>
      </c>
      <c r="L126">
        <f t="shared" si="13"/>
        <v>-2.5735199636481756</v>
      </c>
    </row>
    <row r="127" spans="1:12" ht="12.75">
      <c r="A127" s="109" t="s">
        <v>259</v>
      </c>
      <c r="B127" s="109">
        <v>2.6166918054304037E-07</v>
      </c>
      <c r="C127" s="109">
        <v>8.798161289005752E-07</v>
      </c>
      <c r="D127" s="220">
        <f t="shared" si="7"/>
        <v>0.022129366410309693</v>
      </c>
      <c r="E127" s="220">
        <f t="shared" si="8"/>
        <v>0.07440606283757069</v>
      </c>
      <c r="F127" s="109">
        <f t="shared" si="9"/>
        <v>1.1824522026131448E-05</v>
      </c>
      <c r="G127" s="217">
        <f t="shared" si="10"/>
        <v>0.07440606283757069</v>
      </c>
      <c r="H127" t="s">
        <v>309</v>
      </c>
      <c r="J127">
        <f t="shared" si="16"/>
        <v>-3.8108613186037807</v>
      </c>
      <c r="K127">
        <f t="shared" si="17"/>
        <v>-2.5982287954863263</v>
      </c>
      <c r="L127">
        <f t="shared" si="13"/>
        <v>-2.5982287954863263</v>
      </c>
    </row>
    <row r="128" spans="1:12" ht="12.75">
      <c r="A128" s="109" t="s">
        <v>262</v>
      </c>
      <c r="B128" s="109">
        <v>7.951136759930285E-07</v>
      </c>
      <c r="C128" s="109">
        <v>2.3132762834722614E-07</v>
      </c>
      <c r="D128" s="220">
        <f t="shared" si="7"/>
        <v>0.06724277516130271</v>
      </c>
      <c r="E128" s="220">
        <f t="shared" si="8"/>
        <v>0.019563380899118517</v>
      </c>
      <c r="F128" s="109">
        <f t="shared" si="9"/>
        <v>1.1824522026131448E-05</v>
      </c>
      <c r="G128" s="217">
        <f t="shared" si="10"/>
        <v>0.06724277516130271</v>
      </c>
      <c r="H128" t="str">
        <f>"Fract "&amp;RIGHT(A128,LEN(A128)-22)</f>
        <v>Fract Shell</v>
      </c>
      <c r="J128">
        <f t="shared" si="16"/>
        <v>-2.6994567282951056</v>
      </c>
      <c r="K128">
        <f t="shared" si="17"/>
        <v>-3.9341073749729762</v>
      </c>
      <c r="L128">
        <f t="shared" si="13"/>
        <v>-2.6994567282951056</v>
      </c>
    </row>
    <row r="129" spans="1:12" ht="12.75">
      <c r="A129" s="109" t="s">
        <v>243</v>
      </c>
      <c r="B129" s="109">
        <v>7.773996106055859E-07</v>
      </c>
      <c r="C129" s="109">
        <v>2.7912169801346914E-07</v>
      </c>
      <c r="D129" s="220">
        <f t="shared" si="7"/>
        <v>0.06574469639344253</v>
      </c>
      <c r="E129" s="220">
        <f t="shared" si="8"/>
        <v>0.023605326067017998</v>
      </c>
      <c r="F129" s="109">
        <f t="shared" si="9"/>
        <v>1.1824522026131448E-05</v>
      </c>
      <c r="G129" s="217">
        <f t="shared" si="10"/>
        <v>0.06574469639344253</v>
      </c>
      <c r="H129" t="s">
        <v>368</v>
      </c>
      <c r="J129">
        <f t="shared" si="16"/>
        <v>-2.721987321587342</v>
      </c>
      <c r="K129">
        <f t="shared" si="17"/>
        <v>-3.7462944570770063</v>
      </c>
      <c r="L129">
        <f t="shared" si="13"/>
        <v>-2.721987321587342</v>
      </c>
    </row>
    <row r="130" spans="1:12" ht="12.75">
      <c r="A130" s="109" t="s">
        <v>188</v>
      </c>
      <c r="B130" s="109">
        <v>2.6550244644794413E-07</v>
      </c>
      <c r="C130" s="109">
        <v>7.490242880260368E-07</v>
      </c>
      <c r="D130" s="220">
        <f t="shared" si="7"/>
        <v>0.02245354576372732</v>
      </c>
      <c r="E130" s="220">
        <f t="shared" si="8"/>
        <v>0.06334499494954134</v>
      </c>
      <c r="F130" s="109">
        <f t="shared" si="9"/>
        <v>1.1824522026131448E-05</v>
      </c>
      <c r="G130" s="217">
        <f t="shared" si="10"/>
        <v>0.06334499494954134</v>
      </c>
      <c r="H130" t="s">
        <v>324</v>
      </c>
      <c r="J130">
        <f t="shared" si="16"/>
        <v>-3.7963182958767803</v>
      </c>
      <c r="K130">
        <f t="shared" si="17"/>
        <v>-2.7591704572248883</v>
      </c>
      <c r="L130">
        <f t="shared" si="13"/>
        <v>-2.7591704572248883</v>
      </c>
    </row>
    <row r="131" spans="1:12" ht="12.75">
      <c r="A131" s="109" t="s">
        <v>244</v>
      </c>
      <c r="B131" s="109">
        <v>6.979300908795053E-07</v>
      </c>
      <c r="C131" s="109">
        <v>2.5103343707602615E-07</v>
      </c>
      <c r="D131" s="220">
        <f t="shared" si="7"/>
        <v>0.05902395795256027</v>
      </c>
      <c r="E131" s="220">
        <f t="shared" si="8"/>
        <v>0.0212299014303714</v>
      </c>
      <c r="F131" s="109">
        <f t="shared" si="9"/>
        <v>1.1824522026131448E-05</v>
      </c>
      <c r="G131" s="217">
        <f t="shared" si="10"/>
        <v>0.05902395795256027</v>
      </c>
      <c r="H131" t="s">
        <v>369</v>
      </c>
      <c r="J131">
        <f t="shared" si="16"/>
        <v>-2.8298229771683605</v>
      </c>
      <c r="K131">
        <f t="shared" si="17"/>
        <v>-3.8523562197768015</v>
      </c>
      <c r="L131">
        <f t="shared" si="13"/>
        <v>-2.8298229771683605</v>
      </c>
    </row>
    <row r="132" spans="1:12" ht="12.75">
      <c r="A132" s="109" t="s">
        <v>210</v>
      </c>
      <c r="B132" s="109">
        <v>3.203803668158251E-07</v>
      </c>
      <c r="C132" s="109">
        <v>6.820683765570625E-07</v>
      </c>
      <c r="D132" s="220">
        <f t="shared" si="7"/>
        <v>0.027094572288656124</v>
      </c>
      <c r="E132" s="220">
        <f t="shared" si="8"/>
        <v>0.057682532541250664</v>
      </c>
      <c r="F132" s="109">
        <f t="shared" si="9"/>
        <v>1.1824522026131448E-05</v>
      </c>
      <c r="G132" s="217">
        <f t="shared" si="10"/>
        <v>0.057682532541250664</v>
      </c>
      <c r="H132" t="s">
        <v>341</v>
      </c>
      <c r="J132">
        <f t="shared" si="16"/>
        <v>-3.608433359919063</v>
      </c>
      <c r="K132">
        <f t="shared" si="17"/>
        <v>-2.8528120227441907</v>
      </c>
      <c r="L132">
        <f t="shared" si="13"/>
        <v>-2.8528120227441907</v>
      </c>
    </row>
    <row r="133" spans="1:12" ht="12.75">
      <c r="A133" s="109" t="s">
        <v>225</v>
      </c>
      <c r="B133" s="109">
        <v>6.749246682727253E-07</v>
      </c>
      <c r="C133" s="109">
        <v>3.2649303163992745E-07</v>
      </c>
      <c r="D133" s="220">
        <f t="shared" si="7"/>
        <v>0.057078389027580514</v>
      </c>
      <c r="E133" s="220">
        <f t="shared" si="8"/>
        <v>0.02761152044187481</v>
      </c>
      <c r="F133" s="109">
        <f t="shared" si="9"/>
        <v>1.1824522026131448E-05</v>
      </c>
      <c r="G133" s="217">
        <f t="shared" si="10"/>
        <v>0.057078389027580514</v>
      </c>
      <c r="H133" t="s">
        <v>356</v>
      </c>
      <c r="J133">
        <f t="shared" si="16"/>
        <v>-2.8633408595015286</v>
      </c>
      <c r="K133">
        <f t="shared" si="17"/>
        <v>-3.5895336841337784</v>
      </c>
      <c r="L133">
        <f t="shared" si="13"/>
        <v>-2.8633408595015286</v>
      </c>
    </row>
    <row r="134" spans="1:12" ht="12.75">
      <c r="A134" s="109" t="s">
        <v>235</v>
      </c>
      <c r="B134" s="109">
        <v>1.6404609093483696E-07</v>
      </c>
      <c r="C134" s="109">
        <v>6.561843637393478E-07</v>
      </c>
      <c r="D134" s="220">
        <f>B134/$C$98</f>
        <v>0.013873380300049799</v>
      </c>
      <c r="E134" s="220">
        <f>C134/$C$98</f>
        <v>0.055493521200199195</v>
      </c>
      <c r="F134" s="109">
        <f>$C$98</f>
        <v>1.1824522026131448E-05</v>
      </c>
      <c r="G134" s="217">
        <f>MAX(D134:E134)</f>
        <v>0.055493521200199195</v>
      </c>
      <c r="H134" t="s">
        <v>303</v>
      </c>
      <c r="J134">
        <f t="shared" si="16"/>
        <v>-4.277795021841092</v>
      </c>
      <c r="K134">
        <f t="shared" si="17"/>
        <v>-2.891500168582727</v>
      </c>
      <c r="L134">
        <f t="shared" si="13"/>
        <v>-2.891500168582727</v>
      </c>
    </row>
    <row r="135" spans="1:12" ht="12.75">
      <c r="A135" s="109" t="s">
        <v>236</v>
      </c>
      <c r="B135" s="109">
        <v>1.6404609093483696E-07</v>
      </c>
      <c r="C135" s="109">
        <v>6.561843637393478E-07</v>
      </c>
      <c r="D135" s="220">
        <f t="shared" si="7"/>
        <v>0.013873380300049799</v>
      </c>
      <c r="E135" s="220">
        <f t="shared" si="8"/>
        <v>0.055493521200199195</v>
      </c>
      <c r="F135" s="109">
        <f t="shared" si="9"/>
        <v>1.1824522026131448E-05</v>
      </c>
      <c r="G135" s="217">
        <f t="shared" si="10"/>
        <v>0.055493521200199195</v>
      </c>
      <c r="H135" t="s">
        <v>304</v>
      </c>
      <c r="J135">
        <f t="shared" si="16"/>
        <v>-4.277795021841092</v>
      </c>
      <c r="K135">
        <f t="shared" si="17"/>
        <v>-2.891500168582727</v>
      </c>
      <c r="L135">
        <f t="shared" si="13"/>
        <v>-2.891500168582727</v>
      </c>
    </row>
    <row r="136" spans="1:12" ht="12.75">
      <c r="A136" s="109" t="s">
        <v>237</v>
      </c>
      <c r="B136" s="109">
        <v>1.6404609093483696E-07</v>
      </c>
      <c r="C136" s="109">
        <v>6.561843637393478E-07</v>
      </c>
      <c r="D136" s="220">
        <f t="shared" si="7"/>
        <v>0.013873380300049799</v>
      </c>
      <c r="E136" s="220">
        <f t="shared" si="8"/>
        <v>0.055493521200199195</v>
      </c>
      <c r="F136" s="109">
        <f t="shared" si="9"/>
        <v>1.1824522026131448E-05</v>
      </c>
      <c r="G136" s="217">
        <f t="shared" si="10"/>
        <v>0.055493521200199195</v>
      </c>
      <c r="H136" t="s">
        <v>305</v>
      </c>
      <c r="J136">
        <f t="shared" si="16"/>
        <v>-4.277795021841092</v>
      </c>
      <c r="K136">
        <f t="shared" si="17"/>
        <v>-2.891500168582727</v>
      </c>
      <c r="L136">
        <f t="shared" si="13"/>
        <v>-2.891500168582727</v>
      </c>
    </row>
    <row r="137" spans="1:12" ht="12.75">
      <c r="A137" s="109" t="s">
        <v>273</v>
      </c>
      <c r="B137" s="109">
        <v>2.5005097968372155E-07</v>
      </c>
      <c r="C137" s="109">
        <v>5.009064865432547E-07</v>
      </c>
      <c r="D137" s="220">
        <f t="shared" si="7"/>
        <v>0.021146814994392558</v>
      </c>
      <c r="E137" s="220">
        <f t="shared" si="8"/>
        <v>0.0423616688637632</v>
      </c>
      <c r="F137" s="109">
        <f t="shared" si="9"/>
        <v>1.1824522026131448E-05</v>
      </c>
      <c r="G137" s="217">
        <f t="shared" si="10"/>
        <v>0.0423616688637632</v>
      </c>
      <c r="H137" t="s">
        <v>383</v>
      </c>
      <c r="J137">
        <f t="shared" si="16"/>
        <v>-3.8562775506524556</v>
      </c>
      <c r="K137">
        <f t="shared" si="17"/>
        <v>-3.1615226855487535</v>
      </c>
      <c r="L137">
        <f t="shared" si="13"/>
        <v>-3.1615226855487535</v>
      </c>
    </row>
    <row r="138" spans="1:12" ht="12.75">
      <c r="A138" s="109" t="s">
        <v>223</v>
      </c>
      <c r="B138" s="109">
        <v>4.869889965388948E-07</v>
      </c>
      <c r="C138" s="109">
        <v>3.2809218186967424E-07</v>
      </c>
      <c r="D138" s="220">
        <f t="shared" si="7"/>
        <v>0.04118466653135576</v>
      </c>
      <c r="E138" s="220">
        <f t="shared" si="8"/>
        <v>0.027746760600099625</v>
      </c>
      <c r="F138" s="109">
        <f t="shared" si="9"/>
        <v>1.1824522026131448E-05</v>
      </c>
      <c r="G138" s="217">
        <f t="shared" si="10"/>
        <v>0.04118466653135576</v>
      </c>
      <c r="H138" t="s">
        <v>354</v>
      </c>
      <c r="J138">
        <f t="shared" si="16"/>
        <v>-3.1897006010715376</v>
      </c>
      <c r="K138">
        <f t="shared" si="17"/>
        <v>-3.5846476772350133</v>
      </c>
      <c r="L138">
        <f t="shared" si="13"/>
        <v>-3.1897006010715376</v>
      </c>
    </row>
    <row r="139" spans="1:12" ht="12.75">
      <c r="A139" s="109" t="s">
        <v>269</v>
      </c>
      <c r="B139" s="109">
        <v>3.280922305774438E-07</v>
      </c>
      <c r="C139" s="109">
        <v>4.775450903190256E-07</v>
      </c>
      <c r="D139" s="220">
        <f t="shared" si="7"/>
        <v>0.02774676471931641</v>
      </c>
      <c r="E139" s="220">
        <f t="shared" si="8"/>
        <v>0.04038599524477024</v>
      </c>
      <c r="F139" s="109">
        <f t="shared" si="9"/>
        <v>1.1824522026131448E-05</v>
      </c>
      <c r="G139" s="217">
        <f t="shared" si="10"/>
        <v>0.04038599524477024</v>
      </c>
      <c r="H139" t="str">
        <f>"Fract "&amp;RIGHT(A139,LEN(A139)-22)</f>
        <v>Fract Yolk Low</v>
      </c>
      <c r="J139">
        <f t="shared" si="16"/>
        <v>-3.5846475287774027</v>
      </c>
      <c r="K139">
        <f t="shared" si="17"/>
        <v>-3.2092835535167534</v>
      </c>
      <c r="L139">
        <f t="shared" si="13"/>
        <v>-3.2092835535167534</v>
      </c>
    </row>
    <row r="140" spans="1:11" ht="12.75">
      <c r="A140" s="109" t="s">
        <v>185</v>
      </c>
      <c r="B140" s="109">
        <v>3.273862402511728E-07</v>
      </c>
      <c r="C140" s="109">
        <v>4.2752828129498656E-07</v>
      </c>
      <c r="D140" s="220">
        <f t="shared" si="7"/>
        <v>0.02768705910713937</v>
      </c>
      <c r="E140" s="220">
        <f t="shared" si="8"/>
        <v>0.03615607297700288</v>
      </c>
      <c r="F140" s="109">
        <f t="shared" si="9"/>
        <v>1.1824522026131448E-05</v>
      </c>
      <c r="G140" s="217">
        <f t="shared" si="10"/>
        <v>0.03615607297700288</v>
      </c>
      <c r="H140" t="s">
        <v>318</v>
      </c>
      <c r="J140">
        <f t="shared" si="16"/>
        <v>-3.586801652404855</v>
      </c>
      <c r="K140">
        <f t="shared" si="17"/>
        <v>-3.319921747718972</v>
      </c>
    </row>
    <row r="141" spans="1:8" ht="12.75">
      <c r="A141" s="109" t="s">
        <v>249</v>
      </c>
      <c r="B141" s="109">
        <v>2.723846715432552E-07</v>
      </c>
      <c r="C141" s="109">
        <v>4.259772387440638E-07</v>
      </c>
      <c r="D141" s="220">
        <f t="shared" si="7"/>
        <v>0.023035575640292457</v>
      </c>
      <c r="E141" s="220">
        <f t="shared" si="8"/>
        <v>0.03602490128587701</v>
      </c>
      <c r="F141" s="109">
        <f t="shared" si="9"/>
        <v>1.1824522026131448E-05</v>
      </c>
      <c r="G141" s="217">
        <f t="shared" si="10"/>
        <v>0.03602490128587701</v>
      </c>
      <c r="H141" t="s">
        <v>374</v>
      </c>
    </row>
    <row r="142" spans="1:8" ht="12.75">
      <c r="A142" s="109" t="s">
        <v>266</v>
      </c>
      <c r="B142" s="109">
        <v>4.1957920355944427E-07</v>
      </c>
      <c r="C142" s="109">
        <v>2.3687671383422645E-07</v>
      </c>
      <c r="D142" s="220">
        <f t="shared" si="7"/>
        <v>0.03548381935711234</v>
      </c>
      <c r="E142" s="220">
        <f t="shared" si="8"/>
        <v>0.020032667139588716</v>
      </c>
      <c r="F142" s="109">
        <f t="shared" si="9"/>
        <v>1.1824522026131448E-05</v>
      </c>
      <c r="G142" s="217">
        <f t="shared" si="10"/>
        <v>0.03548381935711234</v>
      </c>
      <c r="H142" t="str">
        <f>"Fract "&amp;RIGHT(A142,LEN(A142)-22)</f>
        <v>Fract Alb F N</v>
      </c>
    </row>
    <row r="143" spans="1:8" ht="12.75">
      <c r="A143" s="109" t="s">
        <v>263</v>
      </c>
      <c r="B143" s="109">
        <v>4.1298318896758147E-07</v>
      </c>
      <c r="C143" s="109">
        <v>3.2925792718909033E-07</v>
      </c>
      <c r="D143" s="220">
        <f t="shared" si="7"/>
        <v>0.0349259943069931</v>
      </c>
      <c r="E143" s="220">
        <f t="shared" si="8"/>
        <v>0.027845347698744277</v>
      </c>
      <c r="F143" s="109">
        <f t="shared" si="9"/>
        <v>1.1824522026131448E-05</v>
      </c>
      <c r="G143" s="217">
        <f t="shared" si="10"/>
        <v>0.0349259943069931</v>
      </c>
      <c r="H143" t="str">
        <f>"Fract "&amp;RIGHT(A143,LEN(A143)-22)</f>
        <v>Fract Alb C G</v>
      </c>
    </row>
    <row r="144" spans="1:8" ht="12.75">
      <c r="A144" s="109" t="s">
        <v>265</v>
      </c>
      <c r="B144" s="109">
        <v>4.1086544466897997E-07</v>
      </c>
      <c r="C144" s="109">
        <v>2.427367317054952E-07</v>
      </c>
      <c r="D144" s="220">
        <f t="shared" si="7"/>
        <v>0.034746896640810786</v>
      </c>
      <c r="E144" s="220">
        <f t="shared" si="8"/>
        <v>0.02052824893632591</v>
      </c>
      <c r="F144" s="109">
        <f t="shared" si="9"/>
        <v>1.1824522026131448E-05</v>
      </c>
      <c r="G144" s="217">
        <f t="shared" si="10"/>
        <v>0.034746896640810786</v>
      </c>
      <c r="H144" t="str">
        <f>"Fract "&amp;RIGHT(A144,LEN(A144)-22)</f>
        <v>Fract Alb F G</v>
      </c>
    </row>
    <row r="145" spans="1:8" ht="12.75">
      <c r="A145" s="109" t="s">
        <v>268</v>
      </c>
      <c r="B145" s="109">
        <v>3.280921818696739E-07</v>
      </c>
      <c r="C145" s="109">
        <v>4.1052250971832893E-07</v>
      </c>
      <c r="D145" s="220">
        <f t="shared" si="7"/>
        <v>0.027746760600099597</v>
      </c>
      <c r="E145" s="220">
        <f t="shared" si="8"/>
        <v>0.03471789462703863</v>
      </c>
      <c r="F145" s="109">
        <f t="shared" si="9"/>
        <v>1.1824522026131448E-05</v>
      </c>
      <c r="G145" s="217">
        <f t="shared" si="10"/>
        <v>0.03471789462703863</v>
      </c>
      <c r="H145" t="str">
        <f>"Fract "&amp;RIGHT(A145,LEN(A145)-22)</f>
        <v>Fract VM High</v>
      </c>
    </row>
    <row r="146" spans="1:8" ht="12.75">
      <c r="A146" s="109" t="s">
        <v>215</v>
      </c>
      <c r="B146" s="109">
        <v>3.27478004261439E-07</v>
      </c>
      <c r="C146" s="109">
        <v>4.0803481965663724E-07</v>
      </c>
      <c r="D146" s="220">
        <f t="shared" si="7"/>
        <v>0.02769481959082433</v>
      </c>
      <c r="E146" s="220">
        <f t="shared" si="8"/>
        <v>0.03450751064228271</v>
      </c>
      <c r="F146" s="109">
        <f t="shared" si="9"/>
        <v>1.1824522026131448E-05</v>
      </c>
      <c r="G146" s="217">
        <f t="shared" si="10"/>
        <v>0.03450751064228271</v>
      </c>
      <c r="H146" t="s">
        <v>346</v>
      </c>
    </row>
    <row r="147" spans="1:8" ht="12.75">
      <c r="A147" s="109" t="s">
        <v>239</v>
      </c>
      <c r="B147" s="109">
        <v>2.9055332458960037E-07</v>
      </c>
      <c r="C147" s="109">
        <v>4.031698964298209E-07</v>
      </c>
      <c r="D147" s="220">
        <f t="shared" si="7"/>
        <v>0.024572098893088097</v>
      </c>
      <c r="E147" s="220">
        <f t="shared" si="8"/>
        <v>0.03409608401412259</v>
      </c>
      <c r="F147" s="109">
        <f t="shared" si="9"/>
        <v>1.1824522026131448E-05</v>
      </c>
      <c r="G147" s="217">
        <f t="shared" si="10"/>
        <v>0.03409608401412259</v>
      </c>
      <c r="H147" t="s">
        <v>307</v>
      </c>
    </row>
    <row r="148" spans="1:8" ht="12.75">
      <c r="A148" s="109" t="s">
        <v>272</v>
      </c>
      <c r="B148" s="109">
        <v>3.850889403318691E-07</v>
      </c>
      <c r="C148" s="109">
        <v>3.1177105252020586E-07</v>
      </c>
      <c r="D148" s="220">
        <f t="shared" si="7"/>
        <v>0.03256697729353007</v>
      </c>
      <c r="E148" s="220">
        <f t="shared" si="8"/>
        <v>0.026366482453262084</v>
      </c>
      <c r="F148" s="109">
        <f t="shared" si="9"/>
        <v>1.1824522026131448E-05</v>
      </c>
      <c r="G148" s="217">
        <f t="shared" si="10"/>
        <v>0.03256697729353007</v>
      </c>
      <c r="H148" t="s">
        <v>313</v>
      </c>
    </row>
    <row r="149" spans="1:8" ht="12.75">
      <c r="A149" s="109" t="s">
        <v>254</v>
      </c>
      <c r="B149" s="109">
        <v>3.28092117174725E-07</v>
      </c>
      <c r="C149" s="109">
        <v>3.829816393066365E-07</v>
      </c>
      <c r="D149" s="220">
        <f t="shared" si="7"/>
        <v>0.027746755128846824</v>
      </c>
      <c r="E149" s="220">
        <f t="shared" si="8"/>
        <v>0.032388762815128695</v>
      </c>
      <c r="F149" s="109">
        <f t="shared" si="9"/>
        <v>1.1824522026131448E-05</v>
      </c>
      <c r="G149" s="217">
        <f t="shared" si="10"/>
        <v>0.032388762815128695</v>
      </c>
      <c r="H149" t="s">
        <v>379</v>
      </c>
    </row>
    <row r="150" spans="1:8" ht="12.75">
      <c r="A150" s="109" t="s">
        <v>238</v>
      </c>
      <c r="B150" s="109">
        <v>3.036787991630526E-07</v>
      </c>
      <c r="C150" s="109">
        <v>3.7691894728291637E-07</v>
      </c>
      <c r="D150" s="220">
        <f t="shared" si="7"/>
        <v>0.025682120468966237</v>
      </c>
      <c r="E150" s="220">
        <f t="shared" si="8"/>
        <v>0.0318760408623663</v>
      </c>
      <c r="F150" s="109">
        <f t="shared" si="9"/>
        <v>1.1824522026131448E-05</v>
      </c>
      <c r="G150" s="217">
        <f t="shared" si="10"/>
        <v>0.0318760408623663</v>
      </c>
      <c r="H150" t="s">
        <v>306</v>
      </c>
    </row>
    <row r="151" spans="1:8" ht="12.75">
      <c r="A151" s="109" t="s">
        <v>206</v>
      </c>
      <c r="B151" s="109">
        <v>3.7083120177607436E-07</v>
      </c>
      <c r="C151" s="109">
        <v>3.27762802245242E-07</v>
      </c>
      <c r="D151" s="220">
        <f t="shared" si="7"/>
        <v>0.03136120013617132</v>
      </c>
      <c r="E151" s="220">
        <f t="shared" si="8"/>
        <v>0.027718904960463253</v>
      </c>
      <c r="F151" s="109">
        <f t="shared" si="9"/>
        <v>1.1824522026131448E-05</v>
      </c>
      <c r="G151" s="217">
        <f t="shared" si="10"/>
        <v>0.03136120013617132</v>
      </c>
      <c r="H151" t="s">
        <v>337</v>
      </c>
    </row>
    <row r="152" spans="1:8" ht="12.75">
      <c r="A152" s="109" t="s">
        <v>204</v>
      </c>
      <c r="B152" s="109">
        <v>3.2461905935446913E-07</v>
      </c>
      <c r="C152" s="109">
        <v>3.4395696321366783E-07</v>
      </c>
      <c r="D152" s="220">
        <f t="shared" si="7"/>
        <v>0.02745303857839509</v>
      </c>
      <c r="E152" s="220">
        <f t="shared" si="8"/>
        <v>0.029088445389466453</v>
      </c>
      <c r="F152" s="109">
        <f t="shared" si="9"/>
        <v>1.1824522026131448E-05</v>
      </c>
      <c r="G152" s="217">
        <f t="shared" si="10"/>
        <v>0.029088445389466453</v>
      </c>
      <c r="H152" t="s">
        <v>335</v>
      </c>
    </row>
    <row r="153" spans="1:8" ht="12.75">
      <c r="A153" s="109" t="s">
        <v>196</v>
      </c>
      <c r="B153" s="109">
        <v>3.235092281420824E-07</v>
      </c>
      <c r="C153" s="109">
        <v>3.408454526594182E-07</v>
      </c>
      <c r="D153" s="220">
        <f t="shared" si="7"/>
        <v>0.027359180136596422</v>
      </c>
      <c r="E153" s="220">
        <f t="shared" si="8"/>
        <v>0.028825304896567597</v>
      </c>
      <c r="F153" s="109">
        <f t="shared" si="9"/>
        <v>1.1824522026131448E-05</v>
      </c>
      <c r="G153" s="217">
        <f t="shared" si="10"/>
        <v>0.028825304896567597</v>
      </c>
      <c r="H153" t="s">
        <v>321</v>
      </c>
    </row>
    <row r="154" spans="1:8" ht="12.75">
      <c r="A154" s="109" t="s">
        <v>189</v>
      </c>
      <c r="B154" s="109">
        <v>3.2741922394732185E-07</v>
      </c>
      <c r="C154" s="109">
        <v>3.405071715284368E-07</v>
      </c>
      <c r="D154" s="220">
        <f t="shared" si="7"/>
        <v>0.027689848538803175</v>
      </c>
      <c r="E154" s="220">
        <f t="shared" si="8"/>
        <v>0.02879669645639269</v>
      </c>
      <c r="F154" s="109">
        <f t="shared" si="9"/>
        <v>1.1824522026131448E-05</v>
      </c>
      <c r="G154" s="217">
        <f t="shared" si="10"/>
        <v>0.02879669645639269</v>
      </c>
      <c r="H154" t="s">
        <v>326</v>
      </c>
    </row>
    <row r="155" spans="1:8" ht="12.75">
      <c r="A155" s="109" t="s">
        <v>280</v>
      </c>
      <c r="B155" s="109">
        <v>3.280921818696739E-07</v>
      </c>
      <c r="C155" s="109">
        <v>3.3808109724111643E-07</v>
      </c>
      <c r="D155" s="220">
        <f t="shared" si="7"/>
        <v>0.027746760600099597</v>
      </c>
      <c r="E155" s="220">
        <f t="shared" si="8"/>
        <v>0.028591523318572922</v>
      </c>
      <c r="F155" s="109">
        <f t="shared" si="9"/>
        <v>1.1824522026131448E-05</v>
      </c>
      <c r="G155" s="217">
        <f t="shared" si="10"/>
        <v>0.028591523318572922</v>
      </c>
      <c r="H155" t="str">
        <f>A155</f>
        <v>YMB Omega</v>
      </c>
    </row>
    <row r="156" spans="1:8" ht="12.75">
      <c r="A156" s="109" t="s">
        <v>279</v>
      </c>
      <c r="B156" s="109">
        <v>3.3756972690035376E-07</v>
      </c>
      <c r="C156" s="109">
        <v>3.27748381726747E-07</v>
      </c>
      <c r="D156" s="220">
        <f t="shared" si="7"/>
        <v>0.028548276721405395</v>
      </c>
      <c r="E156" s="220">
        <f t="shared" si="8"/>
        <v>0.02771768541700407</v>
      </c>
      <c r="F156" s="109">
        <f t="shared" si="9"/>
        <v>1.1824522026131448E-05</v>
      </c>
      <c r="G156" s="217">
        <f t="shared" si="10"/>
        <v>0.028548276721405395</v>
      </c>
      <c r="H156" t="str">
        <f>A156</f>
        <v>YMB d</v>
      </c>
    </row>
    <row r="157" spans="1:8" ht="12.75">
      <c r="A157" s="109" t="s">
        <v>271</v>
      </c>
      <c r="B157" s="109">
        <v>3.3005928389386384E-07</v>
      </c>
      <c r="C157" s="109">
        <v>3.3687076508620153E-07</v>
      </c>
      <c r="D157" s="220">
        <f t="shared" si="7"/>
        <v>0.02791311844694049</v>
      </c>
      <c r="E157" s="220">
        <f t="shared" si="8"/>
        <v>0.02848916551060063</v>
      </c>
      <c r="F157" s="109">
        <f t="shared" si="9"/>
        <v>1.1824522026131448E-05</v>
      </c>
      <c r="G157" s="217">
        <f t="shared" si="10"/>
        <v>0.02848916551060063</v>
      </c>
      <c r="H157" t="s">
        <v>312</v>
      </c>
    </row>
    <row r="158" spans="1:8" ht="12.75">
      <c r="A158" s="109" t="s">
        <v>191</v>
      </c>
      <c r="B158" s="109">
        <v>3.2680170262135057E-07</v>
      </c>
      <c r="C158" s="109">
        <v>3.330352523241873E-07</v>
      </c>
      <c r="D158" s="220">
        <f t="shared" si="7"/>
        <v>0.027637624751270237</v>
      </c>
      <c r="E158" s="220">
        <f t="shared" si="8"/>
        <v>0.028164796140444443</v>
      </c>
      <c r="F158" s="109">
        <f t="shared" si="9"/>
        <v>1.1824522026131448E-05</v>
      </c>
      <c r="G158" s="217">
        <f t="shared" si="10"/>
        <v>0.028164796140444443</v>
      </c>
      <c r="H158" t="s">
        <v>330</v>
      </c>
    </row>
    <row r="159" spans="1:8" ht="12.75">
      <c r="A159" s="109" t="s">
        <v>216</v>
      </c>
      <c r="B159" s="109">
        <v>3.279090288390037E-07</v>
      </c>
      <c r="C159" s="109">
        <v>3.3151095550408255E-07</v>
      </c>
      <c r="D159" s="220">
        <f t="shared" si="7"/>
        <v>0.027731271345627792</v>
      </c>
      <c r="E159" s="220">
        <f t="shared" si="8"/>
        <v>0.02803588633616346</v>
      </c>
      <c r="F159" s="109">
        <f t="shared" si="9"/>
        <v>1.1824522026131448E-05</v>
      </c>
      <c r="G159" s="217">
        <f t="shared" si="10"/>
        <v>0.02803588633616346</v>
      </c>
      <c r="H159" t="s">
        <v>347</v>
      </c>
    </row>
    <row r="160" spans="1:8" ht="12.75">
      <c r="A160" s="109" t="s">
        <v>245</v>
      </c>
      <c r="B160" s="109">
        <v>3.309943297690893E-07</v>
      </c>
      <c r="C160" s="109">
        <v>3.278018485920115E-07</v>
      </c>
      <c r="D160" s="220">
        <f t="shared" si="7"/>
        <v>0.027992195290229296</v>
      </c>
      <c r="E160" s="220">
        <f t="shared" si="8"/>
        <v>0.027722207110578347</v>
      </c>
      <c r="F160" s="109">
        <f t="shared" si="9"/>
        <v>1.1824522026131448E-05</v>
      </c>
      <c r="G160" s="217">
        <f t="shared" si="10"/>
        <v>0.027992195290229296</v>
      </c>
      <c r="H160" t="s">
        <v>370</v>
      </c>
    </row>
    <row r="161" spans="1:8" ht="12.75">
      <c r="A161" s="109" t="s">
        <v>229</v>
      </c>
      <c r="B161" s="109">
        <v>3.281641382740566E-07</v>
      </c>
      <c r="C161" s="109">
        <v>3.306622615919154E-07</v>
      </c>
      <c r="D161" s="220">
        <f t="shared" si="7"/>
        <v>0.027752845954266442</v>
      </c>
      <c r="E161" s="220">
        <f t="shared" si="8"/>
        <v>0.027964112279648397</v>
      </c>
      <c r="F161" s="109">
        <f t="shared" si="9"/>
        <v>1.1824522026131448E-05</v>
      </c>
      <c r="G161" s="217">
        <f t="shared" si="10"/>
        <v>0.027964112279648397</v>
      </c>
      <c r="H161" t="s">
        <v>360</v>
      </c>
    </row>
    <row r="162" spans="1:8" ht="12.75">
      <c r="A162" s="109" t="s">
        <v>248</v>
      </c>
      <c r="B162" s="109">
        <v>3.304127871897343E-07</v>
      </c>
      <c r="C162" s="109">
        <v>3.2785970715637263E-07</v>
      </c>
      <c r="D162" s="220">
        <f t="shared" si="7"/>
        <v>0.027943014225821804</v>
      </c>
      <c r="E162" s="220">
        <f t="shared" si="8"/>
        <v>0.027727100210209205</v>
      </c>
      <c r="F162" s="109">
        <f t="shared" si="9"/>
        <v>1.1824522026131448E-05</v>
      </c>
      <c r="G162" s="217">
        <f t="shared" si="10"/>
        <v>0.027943014225821804</v>
      </c>
      <c r="H162" t="s">
        <v>373</v>
      </c>
    </row>
    <row r="163" spans="1:8" ht="12.75">
      <c r="A163" s="109" t="s">
        <v>232</v>
      </c>
      <c r="B163" s="109">
        <v>3.278560780025585E-07</v>
      </c>
      <c r="C163" s="109">
        <v>3.3029220744535747E-07</v>
      </c>
      <c r="D163" s="220">
        <f t="shared" si="7"/>
        <v>0.027726793292618276</v>
      </c>
      <c r="E163" s="220">
        <f t="shared" si="8"/>
        <v>0.027932816795083346</v>
      </c>
      <c r="F163" s="109">
        <f t="shared" si="9"/>
        <v>1.1824522026131448E-05</v>
      </c>
      <c r="G163" s="217">
        <f t="shared" si="10"/>
        <v>0.027932816795083346</v>
      </c>
      <c r="H163" t="s">
        <v>363</v>
      </c>
    </row>
    <row r="164" spans="1:8" ht="12.75">
      <c r="A164" s="109" t="s">
        <v>194</v>
      </c>
      <c r="B164" s="109">
        <v>3.271687914330462E-07</v>
      </c>
      <c r="C164" s="109">
        <v>3.298544091767721E-07</v>
      </c>
      <c r="D164" s="220">
        <f t="shared" si="7"/>
        <v>0.02766866945742279</v>
      </c>
      <c r="E164" s="220">
        <f t="shared" si="8"/>
        <v>0.02789579218913159</v>
      </c>
      <c r="F164" s="109">
        <f t="shared" si="9"/>
        <v>1.1824522026131448E-05</v>
      </c>
      <c r="G164" s="217">
        <f t="shared" si="10"/>
        <v>0.02789579218913159</v>
      </c>
      <c r="H164" t="s">
        <v>317</v>
      </c>
    </row>
    <row r="165" spans="1:8" ht="12.75">
      <c r="A165" s="109" t="s">
        <v>231</v>
      </c>
      <c r="B165" s="109">
        <v>3.2929841635949925E-07</v>
      </c>
      <c r="C165" s="109">
        <v>3.2810823183723805E-07</v>
      </c>
      <c r="D165" s="220">
        <f t="shared" si="7"/>
        <v>0.027848771868475574</v>
      </c>
      <c r="E165" s="220">
        <f t="shared" si="8"/>
        <v>0.0277481179460903</v>
      </c>
      <c r="F165" s="109">
        <f t="shared" si="9"/>
        <v>1.1824522026131448E-05</v>
      </c>
      <c r="G165" s="217">
        <f t="shared" si="10"/>
        <v>0.027848771868475574</v>
      </c>
      <c r="H165" t="s">
        <v>362</v>
      </c>
    </row>
    <row r="166" spans="1:8" ht="12.75">
      <c r="A166" s="109" t="s">
        <v>256</v>
      </c>
      <c r="B166" s="109">
        <v>3.2760686234169606E-07</v>
      </c>
      <c r="C166" s="109">
        <v>3.2922321542153526E-07</v>
      </c>
      <c r="D166" s="220">
        <f t="shared" si="7"/>
        <v>0.027705717120548767</v>
      </c>
      <c r="E166" s="220">
        <f t="shared" si="8"/>
        <v>0.02784241212405649</v>
      </c>
      <c r="F166" s="109">
        <f t="shared" si="9"/>
        <v>1.1824522026131448E-05</v>
      </c>
      <c r="G166" s="217">
        <f t="shared" si="10"/>
        <v>0.02784241212405649</v>
      </c>
      <c r="H166" t="s">
        <v>381</v>
      </c>
    </row>
    <row r="167" spans="1:8" ht="12.75">
      <c r="A167" s="109" t="s">
        <v>200</v>
      </c>
      <c r="B167" s="109">
        <v>3.2758157344728497E-07</v>
      </c>
      <c r="C167" s="109">
        <v>3.290696582823458E-07</v>
      </c>
      <c r="D167" s="220">
        <f t="shared" si="7"/>
        <v>0.027703578438380033</v>
      </c>
      <c r="E167" s="220">
        <f t="shared" si="8"/>
        <v>0.02782942579455834</v>
      </c>
      <c r="F167" s="109">
        <f t="shared" si="9"/>
        <v>1.1824522026131448E-05</v>
      </c>
      <c r="G167" s="217">
        <f t="shared" si="10"/>
        <v>0.02782942579455834</v>
      </c>
      <c r="H167" t="s">
        <v>329</v>
      </c>
    </row>
    <row r="168" spans="1:8" ht="12.75">
      <c r="A168" s="109" t="s">
        <v>208</v>
      </c>
      <c r="B168" s="109">
        <v>3.27649924383184E-07</v>
      </c>
      <c r="C168" s="109">
        <v>3.290668617480179E-07</v>
      </c>
      <c r="D168" s="220">
        <f t="shared" si="7"/>
        <v>0.027709358878024695</v>
      </c>
      <c r="E168" s="220">
        <f t="shared" si="8"/>
        <v>0.027829189291609494</v>
      </c>
      <c r="F168" s="109">
        <f t="shared" si="9"/>
        <v>1.1824522026131448E-05</v>
      </c>
      <c r="G168" s="217">
        <f t="shared" si="10"/>
        <v>0.027829189291609494</v>
      </c>
      <c r="H168" t="s">
        <v>339</v>
      </c>
    </row>
    <row r="169" spans="1:8" ht="12.75">
      <c r="A169" s="109" t="s">
        <v>253</v>
      </c>
      <c r="B169" s="109">
        <v>3.290263858190972E-07</v>
      </c>
      <c r="C169" s="109">
        <v>2.3904346556484056E-07</v>
      </c>
      <c r="D169" s="220">
        <f t="shared" si="7"/>
        <v>0.027825766241711052</v>
      </c>
      <c r="E169" s="220">
        <f t="shared" si="8"/>
        <v>0.020215909365010238</v>
      </c>
      <c r="F169" s="109">
        <f t="shared" si="9"/>
        <v>1.1824522026131448E-05</v>
      </c>
      <c r="G169" s="217">
        <f t="shared" si="10"/>
        <v>0.027825766241711052</v>
      </c>
      <c r="H169" t="s">
        <v>378</v>
      </c>
    </row>
    <row r="170" spans="1:8" ht="12.75">
      <c r="A170" s="109" t="s">
        <v>195</v>
      </c>
      <c r="B170" s="109">
        <v>3.2786770138341286E-07</v>
      </c>
      <c r="C170" s="109">
        <v>3.289970383979239E-07</v>
      </c>
      <c r="D170" s="220">
        <f t="shared" si="7"/>
        <v>0.02772777628210645</v>
      </c>
      <c r="E170" s="220">
        <f t="shared" si="8"/>
        <v>0.027823284329874916</v>
      </c>
      <c r="F170" s="109">
        <f t="shared" si="9"/>
        <v>1.1824522026131448E-05</v>
      </c>
      <c r="G170" s="217">
        <f t="shared" si="10"/>
        <v>0.027823284329874916</v>
      </c>
      <c r="H170" t="s">
        <v>319</v>
      </c>
    </row>
    <row r="171" spans="1:8" ht="12.75">
      <c r="A171" s="109" t="s">
        <v>211</v>
      </c>
      <c r="B171" s="109">
        <v>3.280921166505289E-07</v>
      </c>
      <c r="C171" s="109">
        <v>3.289860127850056E-07</v>
      </c>
      <c r="D171" s="220">
        <f t="shared" si="7"/>
        <v>0.027746755084515552</v>
      </c>
      <c r="E171" s="220">
        <f t="shared" si="8"/>
        <v>0.0278223518936298</v>
      </c>
      <c r="F171" s="109">
        <f t="shared" si="9"/>
        <v>1.1824522026131448E-05</v>
      </c>
      <c r="G171" s="217">
        <f t="shared" si="10"/>
        <v>0.0278223518936298</v>
      </c>
      <c r="H171" t="s">
        <v>342</v>
      </c>
    </row>
    <row r="172" spans="1:8" ht="12.75">
      <c r="A172" s="109" t="s">
        <v>252</v>
      </c>
      <c r="B172" s="109">
        <v>3.28713918596493E-07</v>
      </c>
      <c r="C172" s="109">
        <v>2.3935924988136597E-07</v>
      </c>
      <c r="D172" s="220">
        <f t="shared" si="7"/>
        <v>0.027799340884143646</v>
      </c>
      <c r="E172" s="220">
        <f t="shared" si="8"/>
        <v>0.020242615249258883</v>
      </c>
      <c r="F172" s="109">
        <f t="shared" si="9"/>
        <v>1.1824522026131448E-05</v>
      </c>
      <c r="G172" s="217">
        <f t="shared" si="10"/>
        <v>0.027799340884143646</v>
      </c>
      <c r="H172" t="s">
        <v>377</v>
      </c>
    </row>
    <row r="173" spans="1:8" ht="12.75">
      <c r="A173" s="109" t="s">
        <v>214</v>
      </c>
      <c r="B173" s="109">
        <v>3.281832893110409E-07</v>
      </c>
      <c r="C173" s="109">
        <v>3.2867978140470033E-07</v>
      </c>
      <c r="D173" s="220">
        <f aca="true" t="shared" si="18" ref="D173:D204">B173/$C$98</f>
        <v>0.027754465557743184</v>
      </c>
      <c r="E173" s="220">
        <f aca="true" t="shared" si="19" ref="E173:E204">C173/$C$98</f>
        <v>0.027796453901336456</v>
      </c>
      <c r="F173" s="109">
        <f aca="true" t="shared" si="20" ref="F173:F204">$C$98</f>
        <v>1.1824522026131448E-05</v>
      </c>
      <c r="G173" s="217">
        <f aca="true" t="shared" si="21" ref="G173:G204">MAX(D173:E173)</f>
        <v>0.027796453901336456</v>
      </c>
      <c r="H173" t="s">
        <v>345</v>
      </c>
    </row>
    <row r="174" spans="1:8" ht="12.75">
      <c r="A174" s="109" t="s">
        <v>257</v>
      </c>
      <c r="B174" s="109">
        <v>3.2722789447810185E-07</v>
      </c>
      <c r="C174" s="109">
        <v>3.286030812187811E-07</v>
      </c>
      <c r="D174" s="220">
        <f t="shared" si="18"/>
        <v>0.02767366780280411</v>
      </c>
      <c r="E174" s="220">
        <f t="shared" si="19"/>
        <v>0.027789967365495962</v>
      </c>
      <c r="F174" s="109">
        <f t="shared" si="20"/>
        <v>1.1824522026131448E-05</v>
      </c>
      <c r="G174" s="217">
        <f t="shared" si="21"/>
        <v>0.027789967365495962</v>
      </c>
      <c r="H174" t="s">
        <v>382</v>
      </c>
    </row>
    <row r="175" spans="1:8" ht="12.75">
      <c r="A175" s="109" t="s">
        <v>260</v>
      </c>
      <c r="B175" s="109">
        <v>3.278424765088397E-07</v>
      </c>
      <c r="C175" s="109">
        <v>3.2835600191906887E-07</v>
      </c>
      <c r="D175" s="220">
        <f t="shared" si="18"/>
        <v>0.02772564301409634</v>
      </c>
      <c r="E175" s="220">
        <f t="shared" si="19"/>
        <v>0.027769071865520047</v>
      </c>
      <c r="F175" s="109">
        <f t="shared" si="20"/>
        <v>1.1824522026131448E-05</v>
      </c>
      <c r="G175" s="217">
        <f t="shared" si="21"/>
        <v>0.027769071865520047</v>
      </c>
      <c r="H175" t="s">
        <v>310</v>
      </c>
    </row>
    <row r="176" spans="1:8" ht="12.75">
      <c r="A176" s="109" t="s">
        <v>201</v>
      </c>
      <c r="B176" s="109">
        <v>3.279157363910354E-07</v>
      </c>
      <c r="C176" s="109">
        <v>3.2831042265382966E-07</v>
      </c>
      <c r="D176" s="220">
        <f t="shared" si="18"/>
        <v>0.02773183860340082</v>
      </c>
      <c r="E176" s="220">
        <f t="shared" si="19"/>
        <v>0.027765217226394804</v>
      </c>
      <c r="F176" s="109">
        <f t="shared" si="20"/>
        <v>1.1824522026131448E-05</v>
      </c>
      <c r="G176" s="217">
        <f t="shared" si="21"/>
        <v>0.027765217226394804</v>
      </c>
      <c r="H176" t="s">
        <v>331</v>
      </c>
    </row>
    <row r="177" spans="1:8" ht="12.75">
      <c r="A177" s="109" t="s">
        <v>198</v>
      </c>
      <c r="B177" s="109">
        <v>3.277244934461107E-07</v>
      </c>
      <c r="C177" s="109">
        <v>3.283080881491945E-07</v>
      </c>
      <c r="D177" s="220">
        <f t="shared" si="18"/>
        <v>0.02771566518476267</v>
      </c>
      <c r="E177" s="220">
        <f t="shared" si="19"/>
        <v>0.0277650197973038</v>
      </c>
      <c r="F177" s="109">
        <f t="shared" si="20"/>
        <v>1.1824522026131448E-05</v>
      </c>
      <c r="G177" s="217">
        <f t="shared" si="21"/>
        <v>0.0277650197973038</v>
      </c>
      <c r="H177" t="s">
        <v>325</v>
      </c>
    </row>
    <row r="178" spans="1:8" ht="12.75">
      <c r="A178" s="109" t="s">
        <v>244</v>
      </c>
      <c r="B178" s="109">
        <v>3.282845882734339E-07</v>
      </c>
      <c r="C178" s="109">
        <v>3.280729390129814E-07</v>
      </c>
      <c r="D178" s="220">
        <f t="shared" si="18"/>
        <v>0.027763032412468396</v>
      </c>
      <c r="E178" s="220">
        <f t="shared" si="19"/>
        <v>0.027745133231428794</v>
      </c>
      <c r="F178" s="109">
        <f t="shared" si="20"/>
        <v>1.1824522026131448E-05</v>
      </c>
      <c r="G178" s="217">
        <f t="shared" si="21"/>
        <v>0.027763032412468396</v>
      </c>
      <c r="H178" t="s">
        <v>369</v>
      </c>
    </row>
    <row r="179" spans="1:8" ht="12.75">
      <c r="A179" s="109" t="s">
        <v>222</v>
      </c>
      <c r="B179" s="109">
        <v>3.2809018584556504E-07</v>
      </c>
      <c r="C179" s="109">
        <v>3.2826822113772414E-07</v>
      </c>
      <c r="D179" s="220">
        <f t="shared" si="18"/>
        <v>0.027746591796311632</v>
      </c>
      <c r="E179" s="220">
        <f t="shared" si="19"/>
        <v>0.027761648243563003</v>
      </c>
      <c r="F179" s="109">
        <f t="shared" si="20"/>
        <v>1.1824522026131448E-05</v>
      </c>
      <c r="G179" s="217">
        <f t="shared" si="21"/>
        <v>0.027761648243563003</v>
      </c>
      <c r="H179" t="s">
        <v>353</v>
      </c>
    </row>
    <row r="180" spans="1:8" ht="12.75">
      <c r="A180" s="109" t="s">
        <v>193</v>
      </c>
      <c r="B180" s="109">
        <v>3.2793620977927986E-07</v>
      </c>
      <c r="C180" s="109">
        <v>3.282389539760999E-07</v>
      </c>
      <c r="D180" s="220">
        <f t="shared" si="18"/>
        <v>0.027733570038142898</v>
      </c>
      <c r="E180" s="220">
        <f t="shared" si="19"/>
        <v>0.0277591731192781</v>
      </c>
      <c r="F180" s="109">
        <f t="shared" si="20"/>
        <v>1.1824522026131448E-05</v>
      </c>
      <c r="G180" s="217">
        <f t="shared" si="21"/>
        <v>0.0277591731192781</v>
      </c>
      <c r="H180" t="s">
        <v>315</v>
      </c>
    </row>
    <row r="181" spans="1:8" ht="12.75">
      <c r="A181" s="109" t="s">
        <v>199</v>
      </c>
      <c r="B181" s="109">
        <v>3.281229755538322E-07</v>
      </c>
      <c r="C181" s="109">
        <v>3.2822757866045935E-07</v>
      </c>
      <c r="D181" s="220">
        <f t="shared" si="18"/>
        <v>0.027749364822417442</v>
      </c>
      <c r="E181" s="220">
        <f t="shared" si="19"/>
        <v>0.027758211108668673</v>
      </c>
      <c r="F181" s="109">
        <f t="shared" si="20"/>
        <v>1.1824522026131448E-05</v>
      </c>
      <c r="G181" s="217">
        <f t="shared" si="21"/>
        <v>0.027758211108668673</v>
      </c>
      <c r="H181" t="s">
        <v>327</v>
      </c>
    </row>
    <row r="182" spans="1:8" ht="12.75">
      <c r="A182" s="109" t="s">
        <v>202</v>
      </c>
      <c r="B182" s="109">
        <v>3.281112997029927E-07</v>
      </c>
      <c r="C182" s="109">
        <v>3.2809369861378E-07</v>
      </c>
      <c r="D182" s="220">
        <f t="shared" si="18"/>
        <v>0.02774837739554186</v>
      </c>
      <c r="E182" s="220">
        <f t="shared" si="19"/>
        <v>0.027746888871170744</v>
      </c>
      <c r="F182" s="109">
        <f t="shared" si="20"/>
        <v>1.1824522026131448E-05</v>
      </c>
      <c r="G182" s="217">
        <f t="shared" si="21"/>
        <v>0.02774837739554186</v>
      </c>
      <c r="H182" t="s">
        <v>333</v>
      </c>
    </row>
    <row r="183" spans="1:8" ht="12.75">
      <c r="A183" s="109" t="s">
        <v>261</v>
      </c>
      <c r="B183" s="109">
        <v>3.280921809173282E-07</v>
      </c>
      <c r="C183" s="109">
        <v>3.2810785594925796E-07</v>
      </c>
      <c r="D183" s="220">
        <f t="shared" si="18"/>
        <v>0.027746760519559707</v>
      </c>
      <c r="E183" s="220">
        <f t="shared" si="19"/>
        <v>0.027748086157238346</v>
      </c>
      <c r="F183" s="109">
        <f t="shared" si="20"/>
        <v>1.1824522026131448E-05</v>
      </c>
      <c r="G183" s="217">
        <f t="shared" si="21"/>
        <v>0.027748086157238346</v>
      </c>
      <c r="H183" t="s">
        <v>311</v>
      </c>
    </row>
    <row r="184" spans="1:8" ht="12.75">
      <c r="A184" s="109" t="s">
        <v>218</v>
      </c>
      <c r="B184" s="109">
        <v>3.2810171820476986E-07</v>
      </c>
      <c r="C184" s="109">
        <v>3.2695941305664247E-07</v>
      </c>
      <c r="D184" s="220">
        <f t="shared" si="18"/>
        <v>0.02774756708809758</v>
      </c>
      <c r="E184" s="220">
        <f t="shared" si="19"/>
        <v>0.02765096232508027</v>
      </c>
      <c r="F184" s="109">
        <f t="shared" si="20"/>
        <v>1.1824522026131448E-05</v>
      </c>
      <c r="G184" s="217">
        <f t="shared" si="21"/>
        <v>0.02774756708809758</v>
      </c>
      <c r="H184" t="s">
        <v>349</v>
      </c>
    </row>
    <row r="185" spans="1:8" ht="12.75">
      <c r="A185" s="109" t="s">
        <v>264</v>
      </c>
      <c r="B185" s="109">
        <v>3.2809810339140967E-07</v>
      </c>
      <c r="C185" s="109">
        <v>3.20146684025064E-07</v>
      </c>
      <c r="D185" s="220">
        <f t="shared" si="18"/>
        <v>0.02774726138327905</v>
      </c>
      <c r="E185" s="220">
        <f t="shared" si="19"/>
        <v>0.027074809731637357</v>
      </c>
      <c r="F185" s="109">
        <f t="shared" si="20"/>
        <v>1.1824522026131448E-05</v>
      </c>
      <c r="G185" s="217">
        <f t="shared" si="21"/>
        <v>0.02774726138327905</v>
      </c>
      <c r="H185" t="str">
        <f>"Fract "&amp;RIGHT(A185,LEN(A185)-22)</f>
        <v>Fract Alb C N</v>
      </c>
    </row>
    <row r="186" spans="1:8" ht="12.75">
      <c r="A186" s="109" t="s">
        <v>187</v>
      </c>
      <c r="B186" s="109">
        <v>3.280921163011797E-07</v>
      </c>
      <c r="C186" s="109">
        <v>3.2809236579429067E-07</v>
      </c>
      <c r="D186" s="220">
        <f t="shared" si="18"/>
        <v>0.027746755054971085</v>
      </c>
      <c r="E186" s="220">
        <f t="shared" si="19"/>
        <v>0.027746776154607116</v>
      </c>
      <c r="F186" s="109">
        <f t="shared" si="20"/>
        <v>1.1824522026131448E-05</v>
      </c>
      <c r="G186" s="217">
        <f t="shared" si="21"/>
        <v>0.027746776154607116</v>
      </c>
      <c r="H186" t="s">
        <v>322</v>
      </c>
    </row>
    <row r="187" spans="1:8" ht="12.75">
      <c r="A187" s="109" t="s">
        <v>212</v>
      </c>
      <c r="B187" s="109">
        <v>3.2809212978206945E-07</v>
      </c>
      <c r="C187" s="109">
        <v>3.2809235522376396E-07</v>
      </c>
      <c r="D187" s="220">
        <f t="shared" si="18"/>
        <v>0.02774675619505013</v>
      </c>
      <c r="E187" s="220">
        <f t="shared" si="19"/>
        <v>0.027746775260657518</v>
      </c>
      <c r="F187" s="109">
        <f t="shared" si="20"/>
        <v>1.1824522026131448E-05</v>
      </c>
      <c r="G187" s="217">
        <f t="shared" si="21"/>
        <v>0.027746775260657518</v>
      </c>
      <c r="H187" t="s">
        <v>343</v>
      </c>
    </row>
    <row r="188" spans="1:8" ht="12.75">
      <c r="A188" s="109" t="s">
        <v>224</v>
      </c>
      <c r="B188" s="109">
        <v>3.2809232414300185E-07</v>
      </c>
      <c r="C188" s="109">
        <v>3.2809218186967424E-07</v>
      </c>
      <c r="D188" s="220">
        <f t="shared" si="18"/>
        <v>0.027746772632157014</v>
      </c>
      <c r="E188" s="220">
        <f t="shared" si="19"/>
        <v>0.027746760600099625</v>
      </c>
      <c r="F188" s="109">
        <f t="shared" si="20"/>
        <v>1.1824522026131448E-05</v>
      </c>
      <c r="G188" s="217">
        <f t="shared" si="21"/>
        <v>0.027746772632157014</v>
      </c>
      <c r="H188" t="s">
        <v>355</v>
      </c>
    </row>
    <row r="189" spans="1:8" ht="12.75">
      <c r="A189" s="109" t="s">
        <v>246</v>
      </c>
      <c r="B189" s="109">
        <v>3.2809220783612664E-07</v>
      </c>
      <c r="C189" s="109">
        <v>3.28092179273029E-07</v>
      </c>
      <c r="D189" s="220">
        <f t="shared" si="18"/>
        <v>0.02774676279608288</v>
      </c>
      <c r="E189" s="220">
        <f t="shared" si="19"/>
        <v>0.0277467603805013</v>
      </c>
      <c r="F189" s="109">
        <f t="shared" si="20"/>
        <v>1.1824522026131448E-05</v>
      </c>
      <c r="G189" s="217">
        <f t="shared" si="21"/>
        <v>0.02774676279608288</v>
      </c>
      <c r="H189" t="s">
        <v>371</v>
      </c>
    </row>
    <row r="190" spans="1:8" ht="12.75">
      <c r="A190" s="109" t="s">
        <v>197</v>
      </c>
      <c r="B190" s="109">
        <v>3.280921592737002E-07</v>
      </c>
      <c r="C190" s="109">
        <v>3.280922063031118E-07</v>
      </c>
      <c r="D190" s="220">
        <f t="shared" si="18"/>
        <v>0.02774675868915777</v>
      </c>
      <c r="E190" s="220">
        <f t="shared" si="19"/>
        <v>0.027746762666435793</v>
      </c>
      <c r="F190" s="109">
        <f t="shared" si="20"/>
        <v>1.1824522026131448E-05</v>
      </c>
      <c r="G190" s="217">
        <f t="shared" si="21"/>
        <v>0.027746762666435793</v>
      </c>
      <c r="H190" t="s">
        <v>323</v>
      </c>
    </row>
    <row r="191" spans="1:8" ht="12.75">
      <c r="A191" s="109" t="s">
        <v>247</v>
      </c>
      <c r="B191" s="109">
        <v>3.2809218186967455E-07</v>
      </c>
      <c r="C191" s="109">
        <v>3.2483627426815986E-07</v>
      </c>
      <c r="D191" s="220">
        <f t="shared" si="18"/>
        <v>0.027746760600099653</v>
      </c>
      <c r="E191" s="220">
        <f t="shared" si="19"/>
        <v>0.027471408446810126</v>
      </c>
      <c r="F191" s="109">
        <f t="shared" si="20"/>
        <v>1.1824522026131448E-05</v>
      </c>
      <c r="G191" s="217">
        <f t="shared" si="21"/>
        <v>0.027746760600099653</v>
      </c>
      <c r="H191" t="s">
        <v>372</v>
      </c>
    </row>
    <row r="192" spans="1:8" ht="12.75">
      <c r="A192" s="109" t="s">
        <v>255</v>
      </c>
      <c r="B192" s="109">
        <v>3.2809218186967455E-07</v>
      </c>
      <c r="C192" s="109">
        <v>3.2809218186967455E-07</v>
      </c>
      <c r="D192" s="220">
        <f t="shared" si="18"/>
        <v>0.027746760600099653</v>
      </c>
      <c r="E192" s="220">
        <f t="shared" si="19"/>
        <v>0.027746760600099653</v>
      </c>
      <c r="F192" s="109">
        <f t="shared" si="20"/>
        <v>1.1824522026131448E-05</v>
      </c>
      <c r="G192" s="217">
        <f t="shared" si="21"/>
        <v>0.027746760600099653</v>
      </c>
      <c r="H192" t="s">
        <v>380</v>
      </c>
    </row>
    <row r="193" spans="1:8" ht="12.75">
      <c r="A193" s="109" t="s">
        <v>226</v>
      </c>
      <c r="B193" s="109">
        <v>3.2809218186967424E-07</v>
      </c>
      <c r="C193" s="109">
        <v>3.2809218186967424E-07</v>
      </c>
      <c r="D193" s="220">
        <f t="shared" si="18"/>
        <v>0.027746760600099625</v>
      </c>
      <c r="E193" s="220">
        <f t="shared" si="19"/>
        <v>0.027746760600099625</v>
      </c>
      <c r="F193" s="109">
        <f t="shared" si="20"/>
        <v>1.1824522026131448E-05</v>
      </c>
      <c r="G193" s="217">
        <f t="shared" si="21"/>
        <v>0.027746760600099625</v>
      </c>
      <c r="H193" t="s">
        <v>357</v>
      </c>
    </row>
    <row r="194" spans="1:8" ht="12.75">
      <c r="A194" s="109" t="s">
        <v>227</v>
      </c>
      <c r="B194" s="109">
        <v>3.2809218186967424E-07</v>
      </c>
      <c r="C194" s="109">
        <v>3.2809218186967424E-07</v>
      </c>
      <c r="D194" s="220">
        <f t="shared" si="18"/>
        <v>0.027746760600099625</v>
      </c>
      <c r="E194" s="220">
        <f t="shared" si="19"/>
        <v>0.027746760600099625</v>
      </c>
      <c r="F194" s="109">
        <f t="shared" si="20"/>
        <v>1.1824522026131448E-05</v>
      </c>
      <c r="G194" s="217">
        <f t="shared" si="21"/>
        <v>0.027746760600099625</v>
      </c>
      <c r="H194" t="s">
        <v>358</v>
      </c>
    </row>
    <row r="195" spans="1:8" ht="12.75">
      <c r="A195" s="109" t="s">
        <v>228</v>
      </c>
      <c r="B195" s="109">
        <v>3.2809218186967424E-07</v>
      </c>
      <c r="C195" s="109">
        <v>3.2809211802096367E-07</v>
      </c>
      <c r="D195" s="220">
        <f t="shared" si="18"/>
        <v>0.027746760600099625</v>
      </c>
      <c r="E195" s="220">
        <f t="shared" si="19"/>
        <v>0.027746755200413243</v>
      </c>
      <c r="F195" s="109">
        <f t="shared" si="20"/>
        <v>1.1824522026131448E-05</v>
      </c>
      <c r="G195" s="217">
        <f t="shared" si="21"/>
        <v>0.027746760600099625</v>
      </c>
      <c r="H195" t="s">
        <v>359</v>
      </c>
    </row>
    <row r="196" spans="1:8" ht="12.75">
      <c r="A196" s="109" t="s">
        <v>230</v>
      </c>
      <c r="B196" s="109">
        <v>3.2809218186967424E-07</v>
      </c>
      <c r="C196" s="109">
        <v>3.2809218186967424E-07</v>
      </c>
      <c r="D196" s="220">
        <f t="shared" si="18"/>
        <v>0.027746760600099625</v>
      </c>
      <c r="E196" s="220">
        <f t="shared" si="19"/>
        <v>0.027746760600099625</v>
      </c>
      <c r="F196" s="109">
        <f t="shared" si="20"/>
        <v>1.1824522026131448E-05</v>
      </c>
      <c r="G196" s="217">
        <f t="shared" si="21"/>
        <v>0.027746760600099625</v>
      </c>
      <c r="H196" t="s">
        <v>361</v>
      </c>
    </row>
    <row r="197" spans="1:8" ht="12.75">
      <c r="A197" s="109" t="s">
        <v>233</v>
      </c>
      <c r="B197" s="109">
        <v>3.2809218186967424E-07</v>
      </c>
      <c r="C197" s="109">
        <v>3.2809218186967424E-07</v>
      </c>
      <c r="D197" s="220">
        <f t="shared" si="18"/>
        <v>0.027746760600099625</v>
      </c>
      <c r="E197" s="220">
        <f t="shared" si="19"/>
        <v>0.027746760600099625</v>
      </c>
      <c r="F197" s="109">
        <f t="shared" si="20"/>
        <v>1.1824522026131448E-05</v>
      </c>
      <c r="G197" s="217">
        <f t="shared" si="21"/>
        <v>0.027746760600099625</v>
      </c>
      <c r="H197" t="s">
        <v>364</v>
      </c>
    </row>
    <row r="198" spans="1:8" ht="12.75">
      <c r="A198" s="109" t="s">
        <v>240</v>
      </c>
      <c r="B198" s="109">
        <v>3.2447413339868835E-07</v>
      </c>
      <c r="C198" s="109">
        <v>3.2809218186967424E-07</v>
      </c>
      <c r="D198" s="220">
        <f t="shared" si="18"/>
        <v>0.027440782188203547</v>
      </c>
      <c r="E198" s="220">
        <f t="shared" si="19"/>
        <v>0.027746760600099625</v>
      </c>
      <c r="F198" s="109">
        <f t="shared" si="20"/>
        <v>1.1824522026131448E-05</v>
      </c>
      <c r="G198" s="217">
        <f t="shared" si="21"/>
        <v>0.027746760600099625</v>
      </c>
      <c r="H198" t="s">
        <v>365</v>
      </c>
    </row>
    <row r="199" spans="1:8" ht="12.75">
      <c r="A199" s="109" t="s">
        <v>270</v>
      </c>
      <c r="B199" s="109">
        <v>3.280921818696739E-07</v>
      </c>
      <c r="C199" s="109">
        <v>3.20150766629683E-07</v>
      </c>
      <c r="D199" s="220">
        <f t="shared" si="18"/>
        <v>0.027746760600099597</v>
      </c>
      <c r="E199" s="220">
        <f t="shared" si="19"/>
        <v>0.027075154997569458</v>
      </c>
      <c r="F199" s="109">
        <f t="shared" si="20"/>
        <v>1.1824522026131448E-05</v>
      </c>
      <c r="G199" s="217">
        <f t="shared" si="21"/>
        <v>0.027746760600099597</v>
      </c>
      <c r="H199" t="str">
        <f>"Fract "&amp;RIGHT(A199,LEN(A199)-22)</f>
        <v>Fract Yolk High</v>
      </c>
    </row>
    <row r="200" spans="1:8" ht="12.75">
      <c r="A200" s="109" t="s">
        <v>278</v>
      </c>
      <c r="B200" s="109">
        <v>2.773228206692645E-07</v>
      </c>
      <c r="C200" s="109">
        <v>3.280894116564901E-07</v>
      </c>
      <c r="D200" s="220">
        <f t="shared" si="18"/>
        <v>0.023453194983814023</v>
      </c>
      <c r="E200" s="220">
        <f t="shared" si="19"/>
        <v>0.027746526323130287</v>
      </c>
      <c r="F200" s="109">
        <f t="shared" si="20"/>
        <v>1.1824522026131448E-05</v>
      </c>
      <c r="G200" s="217">
        <f t="shared" si="21"/>
        <v>0.027746526323130287</v>
      </c>
      <c r="H200" t="str">
        <f>A200</f>
        <v>Yolk growth b</v>
      </c>
    </row>
    <row r="201" spans="1:8" ht="12.75">
      <c r="A201" s="109" t="s">
        <v>220</v>
      </c>
      <c r="B201" s="109">
        <v>3.2783118373818534E-07</v>
      </c>
      <c r="C201" s="109">
        <v>3.2743895341993605E-07</v>
      </c>
      <c r="D201" s="220">
        <f t="shared" si="18"/>
        <v>0.0277246879843176</v>
      </c>
      <c r="E201" s="220">
        <f t="shared" si="19"/>
        <v>0.027691517060589563</v>
      </c>
      <c r="F201" s="109">
        <f t="shared" si="20"/>
        <v>1.1824522026131448E-05</v>
      </c>
      <c r="G201" s="217">
        <f t="shared" si="21"/>
        <v>0.0277246879843176</v>
      </c>
      <c r="H201" t="s">
        <v>351</v>
      </c>
    </row>
    <row r="202" spans="1:8" ht="12.75">
      <c r="A202" s="109" t="s">
        <v>250</v>
      </c>
      <c r="B202" s="109">
        <v>2.9051292165587723E-07</v>
      </c>
      <c r="C202" s="109">
        <v>3.1356840858347093E-07</v>
      </c>
      <c r="D202" s="220">
        <f t="shared" si="18"/>
        <v>0.024568682016394575</v>
      </c>
      <c r="E202" s="220">
        <f t="shared" si="19"/>
        <v>0.026518484881714842</v>
      </c>
      <c r="F202" s="109">
        <f t="shared" si="20"/>
        <v>1.1824522026131448E-05</v>
      </c>
      <c r="G202" s="217">
        <f t="shared" si="21"/>
        <v>0.026518484881714842</v>
      </c>
      <c r="H202" t="s">
        <v>375</v>
      </c>
    </row>
    <row r="203" spans="1:8" ht="12.75">
      <c r="A203" s="109" t="s">
        <v>251</v>
      </c>
      <c r="B203" s="109">
        <v>2.9520402913167164E-07</v>
      </c>
      <c r="C203" s="109">
        <v>2.726813193910775E-07</v>
      </c>
      <c r="D203" s="220">
        <f t="shared" si="18"/>
        <v>0.024965409043958765</v>
      </c>
      <c r="E203" s="220">
        <f t="shared" si="19"/>
        <v>0.023060663153104115</v>
      </c>
      <c r="F203" s="109">
        <f t="shared" si="20"/>
        <v>1.1824522026131448E-05</v>
      </c>
      <c r="G203" s="217">
        <f t="shared" si="21"/>
        <v>0.024965409043958765</v>
      </c>
      <c r="H203" t="s">
        <v>376</v>
      </c>
    </row>
    <row r="204" spans="1:8" ht="12.75">
      <c r="A204" s="109" t="s">
        <v>251</v>
      </c>
      <c r="B204" s="109">
        <v>2.951735004495807E-07</v>
      </c>
      <c r="C204" s="109">
        <v>2.7506972793735165E-07</v>
      </c>
      <c r="D204" s="220">
        <f t="shared" si="18"/>
        <v>0.024962827232869612</v>
      </c>
      <c r="E204" s="220">
        <f t="shared" si="19"/>
        <v>0.023262650898654924</v>
      </c>
      <c r="F204" s="109">
        <f t="shared" si="20"/>
        <v>1.1824522026131448E-05</v>
      </c>
      <c r="G204" s="217">
        <f t="shared" si="21"/>
        <v>0.024962827232869612</v>
      </c>
      <c r="H204" t="s">
        <v>376</v>
      </c>
    </row>
    <row r="205" spans="1:5" ht="12.75">
      <c r="A205" s="109" t="s">
        <v>282</v>
      </c>
      <c r="B205" s="109"/>
      <c r="C205" s="109">
        <v>3.2809218186967455E-07</v>
      </c>
      <c r="D205" s="221"/>
      <c r="E205" s="22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D4:L140"/>
  <sheetViews>
    <sheetView workbookViewId="0" topLeftCell="A118">
      <selection activeCell="G150" sqref="G150"/>
    </sheetView>
  </sheetViews>
  <sheetFormatPr defaultColWidth="9.140625" defaultRowHeight="12.75"/>
  <cols>
    <col min="4" max="4" width="41.28125" style="0" bestFit="1" customWidth="1"/>
    <col min="5" max="5" width="12.8515625" style="0" customWidth="1"/>
    <col min="6" max="6" width="11.7109375" style="0" customWidth="1"/>
    <col min="9" max="9" width="11.00390625" style="0" customWidth="1"/>
  </cols>
  <sheetData>
    <row r="4" spans="4:7" ht="12.75">
      <c r="D4" s="112" t="s">
        <v>6</v>
      </c>
      <c r="E4" s="112" t="s">
        <v>474</v>
      </c>
      <c r="F4" s="112" t="s">
        <v>475</v>
      </c>
      <c r="G4" s="112" t="s">
        <v>476</v>
      </c>
    </row>
    <row r="5" spans="4:9" ht="12.75">
      <c r="D5" s="251" t="s">
        <v>167</v>
      </c>
      <c r="E5" s="189">
        <v>0.018409496409037007</v>
      </c>
      <c r="F5" s="189">
        <v>0.19824</v>
      </c>
      <c r="G5" s="189">
        <v>0.4539170710652933</v>
      </c>
      <c r="I5" t="s">
        <v>472</v>
      </c>
    </row>
    <row r="6" spans="4:9" ht="12.75">
      <c r="D6" s="251" t="s">
        <v>168</v>
      </c>
      <c r="E6" s="189">
        <v>0.005201484219266653</v>
      </c>
      <c r="F6" s="189">
        <v>0.0148381200925418</v>
      </c>
      <c r="G6" s="189">
        <v>0.21752735092716494</v>
      </c>
      <c r="I6" t="s">
        <v>472</v>
      </c>
    </row>
    <row r="7" spans="4:9" ht="12.75">
      <c r="D7" s="251" t="s">
        <v>170</v>
      </c>
      <c r="E7" s="189">
        <v>0.06919462</v>
      </c>
      <c r="F7" s="189">
        <v>0.08615</v>
      </c>
      <c r="G7" s="189">
        <v>0.12280946000000001</v>
      </c>
      <c r="I7" t="s">
        <v>472</v>
      </c>
    </row>
    <row r="8" spans="4:9" ht="12.75">
      <c r="D8" s="252" t="s">
        <v>173</v>
      </c>
      <c r="E8" s="189">
        <v>1.669639</v>
      </c>
      <c r="F8" s="189">
        <v>2.86</v>
      </c>
      <c r="G8" s="189">
        <v>8.517731</v>
      </c>
      <c r="I8" t="s">
        <v>472</v>
      </c>
    </row>
    <row r="9" spans="5:7" ht="12.75">
      <c r="E9" s="19"/>
      <c r="F9" s="19"/>
      <c r="G9" s="19"/>
    </row>
    <row r="10" spans="4:7" ht="12.75">
      <c r="D10" s="112" t="s">
        <v>6</v>
      </c>
      <c r="E10" s="112" t="s">
        <v>474</v>
      </c>
      <c r="F10" s="112" t="s">
        <v>475</v>
      </c>
      <c r="G10" s="112" t="s">
        <v>476</v>
      </c>
    </row>
    <row r="11" spans="4:9" ht="12.75">
      <c r="D11" s="251" t="s">
        <v>167</v>
      </c>
      <c r="E11" s="189">
        <f>F11/2</f>
        <v>0.09912</v>
      </c>
      <c r="F11" s="189">
        <v>0.19824</v>
      </c>
      <c r="G11" s="189">
        <f>F11*2</f>
        <v>0.39648</v>
      </c>
      <c r="I11" t="s">
        <v>473</v>
      </c>
    </row>
    <row r="12" spans="4:9" ht="12.75">
      <c r="D12" s="251" t="s">
        <v>168</v>
      </c>
      <c r="E12" s="189">
        <f aca="true" t="shared" si="0" ref="E12:E19">F12/2</f>
        <v>0.0074190600462709</v>
      </c>
      <c r="F12" s="189">
        <v>0.0148381200925418</v>
      </c>
      <c r="G12" s="189">
        <f aca="true" t="shared" si="1" ref="G12:G19">F12*2</f>
        <v>0.0296762401850836</v>
      </c>
      <c r="I12" t="s">
        <v>473</v>
      </c>
    </row>
    <row r="13" spans="4:9" ht="12.75">
      <c r="D13" s="251" t="s">
        <v>170</v>
      </c>
      <c r="E13" s="189">
        <f t="shared" si="0"/>
        <v>0.043075</v>
      </c>
      <c r="F13" s="189">
        <v>0.08615</v>
      </c>
      <c r="G13" s="189">
        <f t="shared" si="1"/>
        <v>0.1723</v>
      </c>
      <c r="I13" t="s">
        <v>473</v>
      </c>
    </row>
    <row r="14" spans="4:9" ht="12.75">
      <c r="D14" s="251" t="s">
        <v>171</v>
      </c>
      <c r="E14" s="189">
        <f t="shared" si="0"/>
        <v>0.047</v>
      </c>
      <c r="F14" s="189">
        <v>0.094</v>
      </c>
      <c r="G14" s="189">
        <f t="shared" si="1"/>
        <v>0.188</v>
      </c>
      <c r="I14" t="s">
        <v>473</v>
      </c>
    </row>
    <row r="15" spans="4:9" ht="12.75">
      <c r="D15" s="252" t="s">
        <v>173</v>
      </c>
      <c r="E15" s="189">
        <f t="shared" si="0"/>
        <v>1.43</v>
      </c>
      <c r="F15" s="189">
        <v>2.86</v>
      </c>
      <c r="G15" s="189">
        <f t="shared" si="1"/>
        <v>5.72</v>
      </c>
      <c r="I15" t="s">
        <v>473</v>
      </c>
    </row>
    <row r="16" spans="4:9" ht="12.75">
      <c r="D16" s="252" t="s">
        <v>467</v>
      </c>
      <c r="E16" s="189">
        <f t="shared" si="0"/>
        <v>1.3011</v>
      </c>
      <c r="F16" s="189">
        <v>2.6022</v>
      </c>
      <c r="G16" s="189">
        <f t="shared" si="1"/>
        <v>5.2044</v>
      </c>
      <c r="I16" t="s">
        <v>473</v>
      </c>
    </row>
    <row r="17" spans="4:9" ht="12.75">
      <c r="D17" s="252" t="s">
        <v>468</v>
      </c>
      <c r="E17" s="189">
        <f t="shared" si="0"/>
        <v>0.64765</v>
      </c>
      <c r="F17" s="189">
        <v>1.2953</v>
      </c>
      <c r="G17" s="189">
        <f t="shared" si="1"/>
        <v>2.5906</v>
      </c>
      <c r="I17" t="s">
        <v>473</v>
      </c>
    </row>
    <row r="18" spans="4:9" ht="12.75">
      <c r="D18" s="252" t="s">
        <v>469</v>
      </c>
      <c r="E18" s="189">
        <f t="shared" si="0"/>
        <v>0.695</v>
      </c>
      <c r="F18" s="189">
        <v>1.39</v>
      </c>
      <c r="G18" s="189">
        <f t="shared" si="1"/>
        <v>2.78</v>
      </c>
      <c r="I18" t="s">
        <v>473</v>
      </c>
    </row>
    <row r="19" spans="4:9" ht="12.75">
      <c r="D19" s="252" t="s">
        <v>470</v>
      </c>
      <c r="E19" s="189">
        <f t="shared" si="0"/>
        <v>0.12453765231583411</v>
      </c>
      <c r="F19" s="189">
        <f>POISSON(0,F18,0)</f>
        <v>0.24907530463166822</v>
      </c>
      <c r="G19" s="189">
        <f t="shared" si="1"/>
        <v>0.49815060926333643</v>
      </c>
      <c r="I19" t="s">
        <v>473</v>
      </c>
    </row>
    <row r="22" ht="12.75">
      <c r="D22" s="112" t="s">
        <v>6</v>
      </c>
    </row>
    <row r="23" spans="4:12" ht="12.75">
      <c r="D23" s="185" t="s">
        <v>97</v>
      </c>
      <c r="E23" s="254">
        <f>F23/2</f>
        <v>0.09259259259259259</v>
      </c>
      <c r="F23" s="254">
        <v>0.18518518518518517</v>
      </c>
      <c r="G23" s="254">
        <f>F23*2</f>
        <v>0.37037037037037035</v>
      </c>
      <c r="I23" t="s">
        <v>473</v>
      </c>
      <c r="K23" s="254">
        <v>0.18518518518518517</v>
      </c>
      <c r="L23">
        <f>K23/$K$32</f>
        <v>0.21975240661161372</v>
      </c>
    </row>
    <row r="24" spans="4:12" ht="12.75">
      <c r="D24" s="185" t="s">
        <v>34</v>
      </c>
      <c r="E24" s="254">
        <f aca="true" t="shared" si="2" ref="E24:E31">F24/2</f>
        <v>0.03614875</v>
      </c>
      <c r="F24" s="254">
        <v>0.0722975</v>
      </c>
      <c r="G24" s="254">
        <f aca="true" t="shared" si="3" ref="G24:G31">F24*2</f>
        <v>0.144595</v>
      </c>
      <c r="I24" t="s">
        <v>473</v>
      </c>
      <c r="K24" s="254">
        <v>0.0722975</v>
      </c>
      <c r="L24">
        <f aca="true" t="shared" si="4" ref="L24:L31">K24/$K$32</f>
        <v>0.08579276793181698</v>
      </c>
    </row>
    <row r="25" spans="4:12" ht="12.75">
      <c r="D25" s="185" t="s">
        <v>104</v>
      </c>
      <c r="E25" s="254">
        <f t="shared" si="2"/>
        <v>0.009684583333333337</v>
      </c>
      <c r="F25" s="254">
        <v>0.019369166666666673</v>
      </c>
      <c r="G25" s="254">
        <f t="shared" si="3"/>
        <v>0.03873833333333335</v>
      </c>
      <c r="I25" t="s">
        <v>473</v>
      </c>
      <c r="K25" s="254">
        <v>0.019369166666666673</v>
      </c>
      <c r="L25">
        <f t="shared" si="4"/>
        <v>0.02298467334093183</v>
      </c>
    </row>
    <row r="26" spans="4:12" ht="12.75">
      <c r="D26" s="185" t="s">
        <v>35</v>
      </c>
      <c r="E26" s="254">
        <f t="shared" si="2"/>
        <v>0.10242145833333334</v>
      </c>
      <c r="F26" s="254">
        <v>0.20484291666666668</v>
      </c>
      <c r="G26" s="254">
        <f t="shared" si="3"/>
        <v>0.40968583333333336</v>
      </c>
      <c r="I26" t="s">
        <v>473</v>
      </c>
      <c r="K26" s="254">
        <v>0.20484291666666668</v>
      </c>
      <c r="L26">
        <f t="shared" si="4"/>
        <v>0.24307950914014811</v>
      </c>
    </row>
    <row r="27" spans="4:12" ht="12.75">
      <c r="D27" s="185" t="s">
        <v>105</v>
      </c>
      <c r="E27" s="254">
        <f t="shared" si="2"/>
        <v>0.15730076388888892</v>
      </c>
      <c r="F27" s="254">
        <v>0.31460152777777783</v>
      </c>
      <c r="G27" s="254">
        <f t="shared" si="3"/>
        <v>0.6292030555555557</v>
      </c>
      <c r="I27" t="s">
        <v>473</v>
      </c>
      <c r="K27" s="254">
        <f>E27</f>
        <v>0.15730076388888892</v>
      </c>
      <c r="L27">
        <f t="shared" si="4"/>
        <v>0.18666299570271425</v>
      </c>
    </row>
    <row r="28" spans="4:12" ht="12.75">
      <c r="D28" s="185" t="s">
        <v>106</v>
      </c>
      <c r="E28" s="254">
        <f t="shared" si="2"/>
        <v>0.08517840851432387</v>
      </c>
      <c r="F28" s="254">
        <v>0.17035681702864774</v>
      </c>
      <c r="G28" s="254">
        <f t="shared" si="3"/>
        <v>0.3407136340572955</v>
      </c>
      <c r="I28" t="s">
        <v>473</v>
      </c>
      <c r="K28" s="254">
        <v>0.17035681702864774</v>
      </c>
      <c r="L28">
        <f t="shared" si="4"/>
        <v>0.20215613083359427</v>
      </c>
    </row>
    <row r="29" spans="4:12" ht="12.75">
      <c r="D29" s="185" t="s">
        <v>107</v>
      </c>
      <c r="E29" s="254">
        <f t="shared" si="2"/>
        <v>0.006137044870095036</v>
      </c>
      <c r="F29" s="254">
        <v>0.012274089740190073</v>
      </c>
      <c r="G29" s="254">
        <f t="shared" si="3"/>
        <v>0.024548179480380145</v>
      </c>
      <c r="I29" t="s">
        <v>473</v>
      </c>
      <c r="K29" s="254">
        <v>0.012274089740190073</v>
      </c>
      <c r="L29">
        <f t="shared" si="4"/>
        <v>0.014565208100617899</v>
      </c>
    </row>
    <row r="30" spans="4:12" ht="12.75">
      <c r="D30" s="185" t="s">
        <v>108</v>
      </c>
      <c r="E30" s="254">
        <f t="shared" si="2"/>
        <v>0.009828277905498908</v>
      </c>
      <c r="F30" s="254">
        <v>0.019656555810997817</v>
      </c>
      <c r="G30" s="254">
        <f t="shared" si="3"/>
        <v>0.03931311162199563</v>
      </c>
      <c r="I30" t="s">
        <v>473</v>
      </c>
      <c r="K30" s="254">
        <v>0.019656555810997817</v>
      </c>
      <c r="L30">
        <f t="shared" si="4"/>
        <v>0.023325707403876263</v>
      </c>
    </row>
    <row r="31" spans="4:12" ht="12.75">
      <c r="D31" s="185" t="s">
        <v>109</v>
      </c>
      <c r="E31" s="254">
        <f t="shared" si="2"/>
        <v>0.0007081205619340426</v>
      </c>
      <c r="F31" s="254">
        <v>0.0014162411238680852</v>
      </c>
      <c r="G31" s="254">
        <f t="shared" si="3"/>
        <v>0.0028324822477361704</v>
      </c>
      <c r="I31" t="s">
        <v>473</v>
      </c>
      <c r="K31" s="254">
        <v>0.0014162411238680852</v>
      </c>
      <c r="L31">
        <f t="shared" si="4"/>
        <v>0.0016806009346866807</v>
      </c>
    </row>
    <row r="32" ht="12.75">
      <c r="K32" s="65">
        <f>SUM(K23:K31)</f>
        <v>0.8426992361111112</v>
      </c>
    </row>
    <row r="34" spans="4:10" ht="12.75">
      <c r="D34" s="323" t="s">
        <v>6</v>
      </c>
      <c r="E34" s="323" t="s">
        <v>474</v>
      </c>
      <c r="F34" s="323"/>
      <c r="G34" s="323" t="s">
        <v>475</v>
      </c>
      <c r="H34" s="323"/>
      <c r="I34" s="323" t="s">
        <v>476</v>
      </c>
      <c r="J34" s="323"/>
    </row>
    <row r="35" spans="4:10" ht="12.75">
      <c r="D35" s="323"/>
      <c r="E35" s="155" t="s">
        <v>65</v>
      </c>
      <c r="F35" s="155" t="s">
        <v>120</v>
      </c>
      <c r="G35" s="155" t="s">
        <v>65</v>
      </c>
      <c r="H35" s="155" t="s">
        <v>120</v>
      </c>
      <c r="I35" s="155" t="s">
        <v>65</v>
      </c>
      <c r="J35" s="155" t="s">
        <v>120</v>
      </c>
    </row>
    <row r="36" spans="4:10" ht="12.75">
      <c r="D36" s="256" t="s">
        <v>121</v>
      </c>
      <c r="E36" s="257">
        <v>3.8283842812554623</v>
      </c>
      <c r="F36" s="257">
        <v>0.11270283854756036</v>
      </c>
      <c r="G36" s="257">
        <v>4.31748811353631</v>
      </c>
      <c r="H36" s="257">
        <v>0.15</v>
      </c>
      <c r="I36" s="257">
        <v>4.806591945817158</v>
      </c>
      <c r="J36" s="257">
        <v>0.18729716145243963</v>
      </c>
    </row>
    <row r="37" spans="4:10" ht="12.75">
      <c r="D37" s="256" t="s">
        <v>123</v>
      </c>
      <c r="E37" s="258">
        <v>3.519114824727363</v>
      </c>
      <c r="F37" s="258">
        <v>0.09835330678497547</v>
      </c>
      <c r="G37" s="258">
        <v>4.008218657008211</v>
      </c>
      <c r="H37" s="258">
        <v>0.1356504682374151</v>
      </c>
      <c r="I37" s="258">
        <v>4.497322489289059</v>
      </c>
      <c r="J37" s="258">
        <v>0.17294762968985475</v>
      </c>
    </row>
    <row r="38" spans="4:10" ht="12.75">
      <c r="D38" s="256" t="s">
        <v>125</v>
      </c>
      <c r="E38" s="257">
        <v>3.431804556269589</v>
      </c>
      <c r="F38" s="257">
        <v>0.09788871330450621</v>
      </c>
      <c r="G38" s="257">
        <v>3.920908388550437</v>
      </c>
      <c r="H38" s="257">
        <v>0.13518587475694585</v>
      </c>
      <c r="I38" s="257">
        <v>4.410012220831285</v>
      </c>
      <c r="J38" s="257">
        <v>0.1724830362093855</v>
      </c>
    </row>
    <row r="39" spans="4:10" ht="12.75">
      <c r="D39" s="256" t="s">
        <v>126</v>
      </c>
      <c r="E39" s="257">
        <v>3.367532949671547</v>
      </c>
      <c r="F39" s="257">
        <v>0.11289055404827342</v>
      </c>
      <c r="G39" s="257">
        <v>3.856636781952395</v>
      </c>
      <c r="H39" s="257">
        <v>0.15018771550071305</v>
      </c>
      <c r="I39" s="257">
        <v>4.345740614233243</v>
      </c>
      <c r="J39" s="257">
        <v>0.1874848769531527</v>
      </c>
    </row>
    <row r="40" spans="4:10" ht="12.75">
      <c r="D40" s="256" t="s">
        <v>127</v>
      </c>
      <c r="E40" s="257">
        <v>3.4799732822729097</v>
      </c>
      <c r="F40" s="257">
        <v>0.10173721527250226</v>
      </c>
      <c r="G40" s="257">
        <v>3.9690771145537576</v>
      </c>
      <c r="H40" s="257">
        <v>0.1390343767249419</v>
      </c>
      <c r="I40" s="257">
        <v>4.458180946834606</v>
      </c>
      <c r="J40" s="257">
        <v>0.17633153817738154</v>
      </c>
    </row>
    <row r="41" spans="4:10" ht="12.75">
      <c r="D41" s="256" t="s">
        <v>128</v>
      </c>
      <c r="E41" s="257">
        <v>3.382712394572731</v>
      </c>
      <c r="F41" s="257">
        <v>0.11289055404827342</v>
      </c>
      <c r="G41" s="257">
        <v>3.871816226853579</v>
      </c>
      <c r="H41" s="257">
        <v>0.15018771550071305</v>
      </c>
      <c r="I41" s="257">
        <v>4.360920059134427</v>
      </c>
      <c r="J41" s="257">
        <v>0.1874848769531527</v>
      </c>
    </row>
    <row r="42" spans="4:10" ht="12.75">
      <c r="D42" s="256" t="s">
        <v>129</v>
      </c>
      <c r="E42" s="257">
        <v>3.451262495079851</v>
      </c>
      <c r="F42" s="257">
        <v>0.11270283854756036</v>
      </c>
      <c r="G42" s="257">
        <v>3.940366327360699</v>
      </c>
      <c r="H42" s="257">
        <v>0.15</v>
      </c>
      <c r="I42" s="257">
        <v>4.429470159641547</v>
      </c>
      <c r="J42" s="257">
        <v>0.18729716145243963</v>
      </c>
    </row>
    <row r="43" spans="4:10" ht="12.75">
      <c r="D43" s="256" t="s">
        <v>130</v>
      </c>
      <c r="E43" s="257">
        <v>3.17340936905796</v>
      </c>
      <c r="F43" s="257">
        <v>0.061278077689043746</v>
      </c>
      <c r="G43" s="257">
        <v>3.662513201338808</v>
      </c>
      <c r="H43" s="257">
        <v>0.09857523914148338</v>
      </c>
      <c r="I43" s="257">
        <v>4.151617033619656</v>
      </c>
      <c r="J43" s="257">
        <v>0.135872400593923</v>
      </c>
    </row>
    <row r="44" spans="4:10" ht="12.75">
      <c r="D44" s="256" t="s">
        <v>131</v>
      </c>
      <c r="E44" s="257">
        <v>3.9260684563034642</v>
      </c>
      <c r="F44" s="257">
        <v>0.10456629152367877</v>
      </c>
      <c r="G44" s="257">
        <v>4.415172288584312</v>
      </c>
      <c r="H44" s="257">
        <v>0.1418634529761184</v>
      </c>
      <c r="I44" s="257">
        <v>4.90427612086516</v>
      </c>
      <c r="J44" s="257">
        <v>0.17916061442855805</v>
      </c>
    </row>
    <row r="45" spans="4:10" ht="12.75">
      <c r="D45" s="256" t="s">
        <v>132</v>
      </c>
      <c r="E45" s="257">
        <v>3.167536836921269</v>
      </c>
      <c r="F45" s="257">
        <v>0.06884712304086013</v>
      </c>
      <c r="G45" s="257">
        <v>3.6566406692021167</v>
      </c>
      <c r="H45" s="257">
        <v>0.10614428449329977</v>
      </c>
      <c r="I45" s="257">
        <v>4.145744501482965</v>
      </c>
      <c r="J45" s="257">
        <v>0.1434414459457394</v>
      </c>
    </row>
    <row r="51" spans="4:10" ht="12.75">
      <c r="D51" s="323" t="s">
        <v>6</v>
      </c>
      <c r="E51" s="323" t="s">
        <v>474</v>
      </c>
      <c r="F51" s="323"/>
      <c r="G51" s="323" t="s">
        <v>475</v>
      </c>
      <c r="H51" s="323"/>
      <c r="I51" s="323" t="s">
        <v>476</v>
      </c>
      <c r="J51" s="323"/>
    </row>
    <row r="52" spans="4:10" ht="12.75">
      <c r="D52" s="323"/>
      <c r="E52" s="155" t="s">
        <v>65</v>
      </c>
      <c r="F52" s="155" t="s">
        <v>120</v>
      </c>
      <c r="G52" s="155" t="s">
        <v>65</v>
      </c>
      <c r="H52" s="155" t="s">
        <v>120</v>
      </c>
      <c r="I52" s="155" t="s">
        <v>65</v>
      </c>
      <c r="J52" s="155" t="s">
        <v>120</v>
      </c>
    </row>
    <row r="53" spans="4:10" ht="12.75">
      <c r="D53" s="256" t="s">
        <v>121</v>
      </c>
      <c r="E53" s="257">
        <v>-4.611218831994718</v>
      </c>
      <c r="F53" s="257">
        <v>0.01</v>
      </c>
      <c r="G53" s="257">
        <v>-1.38</v>
      </c>
      <c r="H53" s="257">
        <v>0.594326532941044</v>
      </c>
      <c r="I53" s="257">
        <v>1.8512188319947178</v>
      </c>
      <c r="J53" s="257">
        <v>1.2587520063008641</v>
      </c>
    </row>
    <row r="54" spans="4:10" ht="12.75">
      <c r="D54" s="256" t="s">
        <v>123</v>
      </c>
      <c r="E54" s="258">
        <v>-2.5103600307855576</v>
      </c>
      <c r="F54" s="258">
        <v>0.01</v>
      </c>
      <c r="G54" s="258">
        <v>0.7208588012091602</v>
      </c>
      <c r="H54" s="258">
        <v>0.594326532941044</v>
      </c>
      <c r="I54" s="258">
        <v>3.952077633203878</v>
      </c>
      <c r="J54" s="258">
        <v>1.2587520063008641</v>
      </c>
    </row>
    <row r="55" spans="4:10" ht="12.75">
      <c r="D55" s="256" t="s">
        <v>125</v>
      </c>
      <c r="E55" s="257">
        <v>-4.6175131931146085</v>
      </c>
      <c r="F55" s="257">
        <v>0.01</v>
      </c>
      <c r="G55" s="257">
        <v>-1.3862943611198906</v>
      </c>
      <c r="H55" s="257">
        <v>0.59</v>
      </c>
      <c r="I55" s="257">
        <v>1.8449244708748271</v>
      </c>
      <c r="J55" s="257">
        <v>1.2544254733598201</v>
      </c>
    </row>
    <row r="56" spans="4:10" ht="12.75">
      <c r="D56" s="256" t="s">
        <v>126</v>
      </c>
      <c r="E56" s="257">
        <v>-3.274767679566058</v>
      </c>
      <c r="F56" s="257">
        <v>0.6681264947646137</v>
      </c>
      <c r="G56" s="257">
        <v>-0.04354884757134036</v>
      </c>
      <c r="H56" s="257">
        <v>1.3325519681244338</v>
      </c>
      <c r="I56" s="257">
        <v>3.1876699844233776</v>
      </c>
      <c r="J56" s="257">
        <v>1.9969774414842538</v>
      </c>
    </row>
    <row r="57" spans="4:10" ht="12.75">
      <c r="D57" s="256" t="s">
        <v>127</v>
      </c>
      <c r="E57" s="257">
        <v>-2.5644996427181947</v>
      </c>
      <c r="F57" s="257">
        <v>0.22225643574837728</v>
      </c>
      <c r="G57" s="257">
        <v>0.6667191892765227</v>
      </c>
      <c r="H57" s="257">
        <v>0.8866819091081973</v>
      </c>
      <c r="I57" s="257">
        <v>3.8979380212712407</v>
      </c>
      <c r="J57" s="257">
        <v>1.5511073824680173</v>
      </c>
    </row>
    <row r="58" spans="4:10" ht="12.75">
      <c r="D58" s="256" t="s">
        <v>128</v>
      </c>
      <c r="E58" s="257">
        <v>-3.1788814945915966</v>
      </c>
      <c r="F58" s="257">
        <v>0.6681264947646137</v>
      </c>
      <c r="G58" s="257">
        <v>0.05233733740312117</v>
      </c>
      <c r="H58" s="257">
        <v>1.3325519681244338</v>
      </c>
      <c r="I58" s="257">
        <v>3.283556169397839</v>
      </c>
      <c r="J58" s="257">
        <v>1.9969774414842538</v>
      </c>
    </row>
    <row r="59" spans="4:10" ht="12.75">
      <c r="D59" s="256" t="s">
        <v>129</v>
      </c>
      <c r="E59" s="257">
        <v>-3.924366012554663</v>
      </c>
      <c r="F59" s="257">
        <v>0.01</v>
      </c>
      <c r="G59" s="257">
        <v>-0.6931471805599453</v>
      </c>
      <c r="H59" s="257">
        <v>0.59</v>
      </c>
      <c r="I59" s="257">
        <v>2.5380716514347723</v>
      </c>
      <c r="J59" s="257">
        <v>1.2544254733598201</v>
      </c>
    </row>
    <row r="60" spans="4:10" ht="12.75">
      <c r="D60" s="256" t="s">
        <v>130</v>
      </c>
      <c r="E60" s="257">
        <v>-0.9003989091939197</v>
      </c>
      <c r="F60" s="257">
        <v>0.01</v>
      </c>
      <c r="G60" s="257">
        <v>2.330819922800798</v>
      </c>
      <c r="H60" s="257">
        <v>0.5851779254091566</v>
      </c>
      <c r="I60" s="257">
        <v>5.562038754795516</v>
      </c>
      <c r="J60" s="257">
        <v>1.2496033987689765</v>
      </c>
    </row>
    <row r="61" spans="4:10" ht="12.75">
      <c r="D61" s="256" t="s">
        <v>131</v>
      </c>
      <c r="E61" s="257">
        <v>-6.351968512209567</v>
      </c>
      <c r="F61" s="257">
        <v>0.01</v>
      </c>
      <c r="G61" s="257">
        <v>-3.1207496802148493</v>
      </c>
      <c r="H61" s="257">
        <v>0.3731698633502608</v>
      </c>
      <c r="I61" s="257">
        <v>0.11046915177986838</v>
      </c>
      <c r="J61" s="257">
        <v>1.0375953367100808</v>
      </c>
    </row>
    <row r="62" spans="4:10" ht="12.75">
      <c r="D62" s="256" t="s">
        <v>132</v>
      </c>
      <c r="E62" s="257">
        <v>-1.453544801250011</v>
      </c>
      <c r="F62" s="257">
        <v>0.01</v>
      </c>
      <c r="G62" s="257">
        <v>1.7776740307447068</v>
      </c>
      <c r="H62" s="257">
        <v>0.5851779254091566</v>
      </c>
      <c r="I62" s="257">
        <v>5.008892862739424</v>
      </c>
      <c r="J62" s="257">
        <v>1.2496033987689765</v>
      </c>
    </row>
    <row r="66" spans="4:9" ht="12.75">
      <c r="D66" s="256" t="s">
        <v>151</v>
      </c>
      <c r="E66" s="260"/>
      <c r="F66" s="334" t="s">
        <v>149</v>
      </c>
      <c r="G66" s="334"/>
      <c r="H66" s="334"/>
      <c r="I66" s="334"/>
    </row>
    <row r="67" spans="4:9" ht="12.75">
      <c r="D67" s="255" t="s">
        <v>22</v>
      </c>
      <c r="E67" s="155" t="s">
        <v>143</v>
      </c>
      <c r="F67" s="259">
        <v>0</v>
      </c>
      <c r="G67" s="259">
        <v>0.01</v>
      </c>
      <c r="H67" s="259">
        <v>0.1</v>
      </c>
      <c r="I67" s="259">
        <v>1</v>
      </c>
    </row>
    <row r="68" spans="4:9" ht="12.75">
      <c r="D68" s="256" t="s">
        <v>147</v>
      </c>
      <c r="E68" s="310" t="s">
        <v>477</v>
      </c>
      <c r="F68" s="253">
        <v>0</v>
      </c>
      <c r="G68" s="253">
        <v>1</v>
      </c>
      <c r="H68" s="253">
        <v>1</v>
      </c>
      <c r="I68" s="253">
        <v>1</v>
      </c>
    </row>
    <row r="69" spans="4:9" ht="12.75">
      <c r="D69" s="256" t="s">
        <v>148</v>
      </c>
      <c r="E69" s="310"/>
      <c r="F69" s="253">
        <v>0</v>
      </c>
      <c r="G69" s="253">
        <v>1</v>
      </c>
      <c r="H69" s="253">
        <v>1</v>
      </c>
      <c r="I69" s="253">
        <v>1</v>
      </c>
    </row>
    <row r="70" spans="4:9" ht="12.75">
      <c r="D70" s="256" t="s">
        <v>123</v>
      </c>
      <c r="E70" s="310"/>
      <c r="F70" s="253">
        <v>0</v>
      </c>
      <c r="G70" s="253">
        <v>1</v>
      </c>
      <c r="H70" s="253">
        <v>1</v>
      </c>
      <c r="I70" s="253">
        <v>1</v>
      </c>
    </row>
    <row r="71" spans="4:9" ht="12.75">
      <c r="D71" s="256" t="s">
        <v>125</v>
      </c>
      <c r="E71" s="310"/>
      <c r="F71" s="253">
        <v>0</v>
      </c>
      <c r="G71" s="253">
        <v>1</v>
      </c>
      <c r="H71" s="253">
        <v>1</v>
      </c>
      <c r="I71" s="253">
        <v>1</v>
      </c>
    </row>
    <row r="72" spans="4:9" ht="12.75">
      <c r="D72" s="256" t="s">
        <v>126</v>
      </c>
      <c r="E72" s="310"/>
      <c r="F72" s="253">
        <v>0</v>
      </c>
      <c r="G72" s="253">
        <v>1</v>
      </c>
      <c r="H72" s="253">
        <v>1</v>
      </c>
      <c r="I72" s="253">
        <v>1</v>
      </c>
    </row>
    <row r="73" spans="4:9" ht="12.75">
      <c r="D73" s="256" t="s">
        <v>127</v>
      </c>
      <c r="E73" s="310"/>
      <c r="F73" s="253">
        <v>0</v>
      </c>
      <c r="G73" s="253">
        <v>1</v>
      </c>
      <c r="H73" s="253">
        <v>1</v>
      </c>
      <c r="I73" s="253">
        <v>1</v>
      </c>
    </row>
    <row r="74" spans="4:9" ht="12.75">
      <c r="D74" s="256" t="s">
        <v>128</v>
      </c>
      <c r="E74" s="310"/>
      <c r="F74" s="253">
        <v>0</v>
      </c>
      <c r="G74" s="253">
        <v>1</v>
      </c>
      <c r="H74" s="253">
        <v>1</v>
      </c>
      <c r="I74" s="253">
        <v>1</v>
      </c>
    </row>
    <row r="75" spans="4:9" ht="12.75">
      <c r="D75" s="256" t="s">
        <v>129</v>
      </c>
      <c r="E75" s="310"/>
      <c r="F75" s="253">
        <v>0</v>
      </c>
      <c r="G75" s="253">
        <v>1</v>
      </c>
      <c r="H75" s="253">
        <v>1</v>
      </c>
      <c r="I75" s="253">
        <v>1</v>
      </c>
    </row>
    <row r="76" spans="4:9" ht="12.75">
      <c r="D76" s="256" t="s">
        <v>130</v>
      </c>
      <c r="E76" s="310"/>
      <c r="F76" s="253">
        <v>0</v>
      </c>
      <c r="G76" s="253">
        <v>1</v>
      </c>
      <c r="H76" s="253">
        <v>1</v>
      </c>
      <c r="I76" s="253">
        <v>1</v>
      </c>
    </row>
    <row r="77" spans="4:9" ht="12.75">
      <c r="D77" s="256" t="s">
        <v>131</v>
      </c>
      <c r="E77" s="310"/>
      <c r="F77" s="253">
        <v>0</v>
      </c>
      <c r="G77" s="253">
        <v>1</v>
      </c>
      <c r="H77" s="253">
        <v>1</v>
      </c>
      <c r="I77" s="253">
        <v>1</v>
      </c>
    </row>
    <row r="78" spans="4:9" ht="12.75">
      <c r="D78" s="256" t="s">
        <v>132</v>
      </c>
      <c r="E78" s="310"/>
      <c r="F78" s="253">
        <v>0</v>
      </c>
      <c r="G78" s="253">
        <v>1</v>
      </c>
      <c r="H78" s="253">
        <v>1</v>
      </c>
      <c r="I78" s="253">
        <v>1</v>
      </c>
    </row>
    <row r="79" spans="4:9" ht="12.75">
      <c r="D79" s="256" t="s">
        <v>147</v>
      </c>
      <c r="E79" s="310" t="s">
        <v>478</v>
      </c>
      <c r="F79" s="253">
        <v>0</v>
      </c>
      <c r="G79" s="253">
        <v>0</v>
      </c>
      <c r="H79" s="253">
        <v>0</v>
      </c>
      <c r="I79" s="253">
        <v>1</v>
      </c>
    </row>
    <row r="80" spans="4:9" ht="12.75">
      <c r="D80" s="256" t="s">
        <v>148</v>
      </c>
      <c r="E80" s="310"/>
      <c r="F80" s="253">
        <v>0</v>
      </c>
      <c r="G80" s="253">
        <v>0</v>
      </c>
      <c r="H80" s="253">
        <v>0</v>
      </c>
      <c r="I80" s="253">
        <v>1</v>
      </c>
    </row>
    <row r="81" spans="4:9" ht="12.75">
      <c r="D81" s="256" t="s">
        <v>123</v>
      </c>
      <c r="E81" s="310"/>
      <c r="F81" s="253">
        <v>0</v>
      </c>
      <c r="G81" s="253">
        <v>0.01</v>
      </c>
      <c r="H81" s="253">
        <v>1</v>
      </c>
      <c r="I81" s="253">
        <v>1</v>
      </c>
    </row>
    <row r="82" spans="4:9" ht="12.75">
      <c r="D82" s="256" t="s">
        <v>125</v>
      </c>
      <c r="E82" s="310"/>
      <c r="F82" s="253">
        <v>0</v>
      </c>
      <c r="G82" s="253">
        <v>0.01</v>
      </c>
      <c r="H82" s="253">
        <v>1</v>
      </c>
      <c r="I82" s="253">
        <v>1</v>
      </c>
    </row>
    <row r="83" spans="4:9" ht="12.75">
      <c r="D83" s="256" t="s">
        <v>126</v>
      </c>
      <c r="E83" s="310"/>
      <c r="F83" s="253">
        <v>0</v>
      </c>
      <c r="G83" s="253">
        <v>0.01</v>
      </c>
      <c r="H83" s="253">
        <v>1</v>
      </c>
      <c r="I83" s="253">
        <v>1</v>
      </c>
    </row>
    <row r="84" spans="4:9" ht="12.75">
      <c r="D84" s="256" t="s">
        <v>127</v>
      </c>
      <c r="E84" s="310"/>
      <c r="F84" s="253">
        <v>0</v>
      </c>
      <c r="G84" s="253">
        <v>1</v>
      </c>
      <c r="H84" s="253">
        <v>1</v>
      </c>
      <c r="I84" s="253">
        <v>1</v>
      </c>
    </row>
    <row r="85" spans="4:9" ht="12.75">
      <c r="D85" s="256" t="s">
        <v>128</v>
      </c>
      <c r="E85" s="310"/>
      <c r="F85" s="253">
        <v>0</v>
      </c>
      <c r="G85" s="253">
        <v>0.99</v>
      </c>
      <c r="H85" s="253">
        <v>1</v>
      </c>
      <c r="I85" s="253">
        <v>1</v>
      </c>
    </row>
    <row r="86" spans="4:9" ht="12.75">
      <c r="D86" s="256" t="s">
        <v>129</v>
      </c>
      <c r="E86" s="310"/>
      <c r="F86" s="253">
        <v>0</v>
      </c>
      <c r="G86" s="253">
        <v>0.99</v>
      </c>
      <c r="H86" s="253">
        <v>1</v>
      </c>
      <c r="I86" s="253">
        <v>1</v>
      </c>
    </row>
    <row r="87" spans="4:9" ht="12.75">
      <c r="D87" s="256" t="s">
        <v>130</v>
      </c>
      <c r="E87" s="310"/>
      <c r="F87" s="253">
        <v>0</v>
      </c>
      <c r="G87" s="253">
        <v>0.2</v>
      </c>
      <c r="H87" s="253">
        <v>1</v>
      </c>
      <c r="I87" s="253">
        <v>1</v>
      </c>
    </row>
    <row r="88" spans="4:9" ht="12.75">
      <c r="D88" s="256" t="s">
        <v>131</v>
      </c>
      <c r="E88" s="310"/>
      <c r="F88" s="253">
        <v>0</v>
      </c>
      <c r="G88" s="253">
        <v>0</v>
      </c>
      <c r="H88" s="253">
        <v>1</v>
      </c>
      <c r="I88" s="253">
        <v>1</v>
      </c>
    </row>
    <row r="89" spans="4:9" ht="12.75">
      <c r="D89" s="256" t="s">
        <v>132</v>
      </c>
      <c r="E89" s="310"/>
      <c r="F89" s="253">
        <v>0</v>
      </c>
      <c r="G89" s="253">
        <v>0</v>
      </c>
      <c r="H89" s="253">
        <v>0.55</v>
      </c>
      <c r="I89" s="253">
        <v>1</v>
      </c>
    </row>
    <row r="90" spans="4:9" ht="12.75">
      <c r="D90" s="256" t="s">
        <v>147</v>
      </c>
      <c r="E90" s="310" t="s">
        <v>479</v>
      </c>
      <c r="F90" s="253">
        <v>0</v>
      </c>
      <c r="G90" s="253">
        <v>0</v>
      </c>
      <c r="H90" s="253">
        <v>0</v>
      </c>
      <c r="I90" s="253">
        <v>1</v>
      </c>
    </row>
    <row r="91" spans="4:9" ht="12.75">
      <c r="D91" s="256" t="s">
        <v>148</v>
      </c>
      <c r="E91" s="310"/>
      <c r="F91" s="253">
        <v>0</v>
      </c>
      <c r="G91" s="253">
        <v>0</v>
      </c>
      <c r="H91" s="253">
        <v>0</v>
      </c>
      <c r="I91" s="253">
        <v>1</v>
      </c>
    </row>
    <row r="92" spans="4:9" ht="12.75">
      <c r="D92" s="256" t="s">
        <v>123</v>
      </c>
      <c r="E92" s="310"/>
      <c r="F92" s="253">
        <v>0</v>
      </c>
      <c r="G92" s="253">
        <v>0</v>
      </c>
      <c r="H92" s="253">
        <v>0</v>
      </c>
      <c r="I92" s="253">
        <v>1</v>
      </c>
    </row>
    <row r="93" spans="4:9" ht="12.75">
      <c r="D93" s="256" t="s">
        <v>125</v>
      </c>
      <c r="E93" s="310"/>
      <c r="F93" s="253">
        <v>0</v>
      </c>
      <c r="G93" s="253">
        <v>0</v>
      </c>
      <c r="H93" s="253">
        <v>0</v>
      </c>
      <c r="I93" s="253">
        <v>1</v>
      </c>
    </row>
    <row r="94" spans="4:9" ht="12.75">
      <c r="D94" s="256" t="s">
        <v>126</v>
      </c>
      <c r="E94" s="310"/>
      <c r="F94" s="253">
        <v>0</v>
      </c>
      <c r="G94" s="253">
        <v>0</v>
      </c>
      <c r="H94" s="253">
        <v>0</v>
      </c>
      <c r="I94" s="253">
        <v>1</v>
      </c>
    </row>
    <row r="95" spans="4:9" ht="12.75">
      <c r="D95" s="256" t="s">
        <v>127</v>
      </c>
      <c r="E95" s="310"/>
      <c r="F95" s="253">
        <v>0</v>
      </c>
      <c r="G95" s="253">
        <v>0</v>
      </c>
      <c r="H95" s="253">
        <v>0</v>
      </c>
      <c r="I95" s="253">
        <v>1</v>
      </c>
    </row>
    <row r="96" spans="4:9" ht="12.75">
      <c r="D96" s="256" t="s">
        <v>128</v>
      </c>
      <c r="E96" s="310"/>
      <c r="F96" s="253">
        <v>0</v>
      </c>
      <c r="G96" s="253">
        <v>0</v>
      </c>
      <c r="H96" s="253">
        <v>0</v>
      </c>
      <c r="I96" s="253">
        <v>1</v>
      </c>
    </row>
    <row r="97" spans="4:9" ht="12.75">
      <c r="D97" s="256" t="s">
        <v>129</v>
      </c>
      <c r="E97" s="310"/>
      <c r="F97" s="253">
        <v>0</v>
      </c>
      <c r="G97" s="253">
        <v>0</v>
      </c>
      <c r="H97" s="253">
        <v>0</v>
      </c>
      <c r="I97" s="253">
        <v>1</v>
      </c>
    </row>
    <row r="98" spans="4:9" ht="12.75">
      <c r="D98" s="256" t="s">
        <v>130</v>
      </c>
      <c r="E98" s="310"/>
      <c r="F98" s="253">
        <v>0</v>
      </c>
      <c r="G98" s="253">
        <v>0</v>
      </c>
      <c r="H98" s="253">
        <v>0</v>
      </c>
      <c r="I98" s="253">
        <v>1</v>
      </c>
    </row>
    <row r="99" spans="4:9" ht="12.75">
      <c r="D99" s="256" t="s">
        <v>131</v>
      </c>
      <c r="E99" s="310"/>
      <c r="F99" s="253">
        <v>0</v>
      </c>
      <c r="G99" s="253">
        <v>0</v>
      </c>
      <c r="H99" s="253">
        <v>0</v>
      </c>
      <c r="I99" s="253">
        <v>1</v>
      </c>
    </row>
    <row r="100" spans="4:9" ht="12.75">
      <c r="D100" s="256" t="s">
        <v>132</v>
      </c>
      <c r="E100" s="310"/>
      <c r="F100" s="253">
        <v>0</v>
      </c>
      <c r="G100" s="253">
        <v>0</v>
      </c>
      <c r="H100" s="253">
        <v>0</v>
      </c>
      <c r="I100" s="253">
        <v>1</v>
      </c>
    </row>
    <row r="105" spans="4:9" ht="12.75">
      <c r="D105" s="327" t="s">
        <v>6</v>
      </c>
      <c r="E105" s="327"/>
      <c r="F105" s="112" t="s">
        <v>474</v>
      </c>
      <c r="G105" s="112" t="s">
        <v>475</v>
      </c>
      <c r="H105" s="112" t="s">
        <v>476</v>
      </c>
      <c r="I105" s="155" t="s">
        <v>480</v>
      </c>
    </row>
    <row r="106" spans="4:9" ht="12.75">
      <c r="D106" s="333" t="s">
        <v>24</v>
      </c>
      <c r="E106" s="159" t="s">
        <v>0</v>
      </c>
      <c r="F106" s="261">
        <v>-1.5863</v>
      </c>
      <c r="G106" s="261">
        <v>-1.0063</v>
      </c>
      <c r="H106" s="261">
        <v>-0.4263</v>
      </c>
      <c r="I106" s="263">
        <v>1</v>
      </c>
    </row>
    <row r="107" spans="4:9" ht="12.75">
      <c r="D107" s="333"/>
      <c r="E107" s="159" t="s">
        <v>1</v>
      </c>
      <c r="F107" s="261">
        <v>0.19543999999999997</v>
      </c>
      <c r="G107" s="261">
        <v>0.2219</v>
      </c>
      <c r="H107" s="261">
        <v>0.24836</v>
      </c>
      <c r="I107" s="266">
        <v>1</v>
      </c>
    </row>
    <row r="108" spans="4:9" ht="12.75">
      <c r="D108" s="333"/>
      <c r="E108" s="159" t="s">
        <v>18</v>
      </c>
      <c r="F108" s="261">
        <v>0.01</v>
      </c>
      <c r="G108" s="261">
        <v>0.4007</v>
      </c>
      <c r="H108" s="264">
        <v>0.8761</v>
      </c>
      <c r="I108" s="269"/>
    </row>
    <row r="109" spans="4:9" ht="12.75">
      <c r="D109" s="333" t="s">
        <v>10</v>
      </c>
      <c r="E109" s="159" t="s">
        <v>2</v>
      </c>
      <c r="F109" s="107">
        <v>1.0869</v>
      </c>
      <c r="G109" s="107">
        <v>1.3103</v>
      </c>
      <c r="H109" s="265">
        <v>1.5337</v>
      </c>
      <c r="I109" s="270"/>
    </row>
    <row r="110" spans="4:9" ht="12.75">
      <c r="D110" s="333"/>
      <c r="E110" s="159" t="s">
        <v>1</v>
      </c>
      <c r="F110" s="107">
        <v>-3.2744999999999997</v>
      </c>
      <c r="G110" s="107">
        <v>-1.5087</v>
      </c>
      <c r="H110" s="262">
        <v>-0.01</v>
      </c>
      <c r="I110" s="267">
        <v>2</v>
      </c>
    </row>
    <row r="111" spans="4:9" ht="12.75">
      <c r="D111" s="333"/>
      <c r="E111" s="159" t="s">
        <v>7</v>
      </c>
      <c r="F111" s="107">
        <v>0.029900000000000003</v>
      </c>
      <c r="G111" s="107">
        <v>0.0751</v>
      </c>
      <c r="H111" s="107">
        <v>0.12029999999999999</v>
      </c>
      <c r="I111" s="260">
        <v>2</v>
      </c>
    </row>
    <row r="112" spans="4:9" ht="12.75">
      <c r="D112" s="333"/>
      <c r="E112" s="159" t="s">
        <v>8</v>
      </c>
      <c r="F112" s="107">
        <v>2.6227</v>
      </c>
      <c r="G112" s="107">
        <v>3.4825</v>
      </c>
      <c r="H112" s="107">
        <v>4.3423</v>
      </c>
      <c r="I112" s="268">
        <v>2</v>
      </c>
    </row>
    <row r="113" spans="4:9" ht="12.75">
      <c r="D113" s="333"/>
      <c r="E113" s="159" t="s">
        <v>9</v>
      </c>
      <c r="F113" s="107">
        <v>1</v>
      </c>
      <c r="G113" s="107">
        <v>1</v>
      </c>
      <c r="H113" s="265">
        <v>2.6</v>
      </c>
      <c r="I113" s="269"/>
    </row>
    <row r="114" spans="4:9" ht="12.75">
      <c r="D114" s="333" t="s">
        <v>25</v>
      </c>
      <c r="E114" s="159" t="s">
        <v>21</v>
      </c>
      <c r="F114" s="107">
        <v>0.1925</v>
      </c>
      <c r="G114" s="107">
        <v>0.385</v>
      </c>
      <c r="H114" s="265">
        <v>0.77</v>
      </c>
      <c r="I114" s="271"/>
    </row>
    <row r="115" spans="4:9" ht="12.75">
      <c r="D115" s="333"/>
      <c r="E115" s="159" t="s">
        <v>67</v>
      </c>
      <c r="F115" s="107">
        <v>2</v>
      </c>
      <c r="G115" s="107">
        <v>5</v>
      </c>
      <c r="H115" s="265">
        <v>10</v>
      </c>
      <c r="I115" s="270"/>
    </row>
    <row r="118" spans="4:8" ht="12.75">
      <c r="D118" s="327" t="s">
        <v>6</v>
      </c>
      <c r="E118" s="327"/>
      <c r="F118" s="112" t="s">
        <v>474</v>
      </c>
      <c r="G118" s="112" t="s">
        <v>475</v>
      </c>
      <c r="H118" s="112" t="s">
        <v>476</v>
      </c>
    </row>
    <row r="119" spans="4:8" ht="12.75">
      <c r="D119" s="330" t="s">
        <v>17</v>
      </c>
      <c r="E119" s="256" t="s">
        <v>155</v>
      </c>
      <c r="F119" s="272">
        <v>0.0016710559553183143</v>
      </c>
      <c r="G119" s="262">
        <v>0.0033421119106366286</v>
      </c>
      <c r="H119" s="262">
        <v>0.006684223821273257</v>
      </c>
    </row>
    <row r="120" spans="4:8" ht="12.75">
      <c r="D120" s="331"/>
      <c r="E120" s="256" t="s">
        <v>156</v>
      </c>
      <c r="F120" s="272">
        <v>0.2</v>
      </c>
      <c r="G120" s="262">
        <v>0.5303606488608785</v>
      </c>
      <c r="H120" s="262">
        <v>0.8</v>
      </c>
    </row>
    <row r="121" spans="4:8" ht="12.75" customHeight="1">
      <c r="D121" s="330" t="s">
        <v>289</v>
      </c>
      <c r="E121" s="273" t="s">
        <v>157</v>
      </c>
      <c r="F121" s="274">
        <v>0</v>
      </c>
      <c r="G121" s="274">
        <v>0.9399999999999995</v>
      </c>
      <c r="H121" s="274">
        <v>1.94</v>
      </c>
    </row>
    <row r="122" spans="4:8" ht="12.75">
      <c r="D122" s="332"/>
      <c r="E122" s="275" t="s">
        <v>158</v>
      </c>
      <c r="F122" s="274">
        <v>0.76</v>
      </c>
      <c r="G122" s="274">
        <v>1.76</v>
      </c>
      <c r="H122" s="274">
        <v>2.76</v>
      </c>
    </row>
    <row r="123" spans="4:8" ht="12.75">
      <c r="D123" s="332"/>
      <c r="E123" s="275" t="s">
        <v>481</v>
      </c>
      <c r="F123" s="274">
        <v>3.9333333333333336</v>
      </c>
      <c r="G123" s="274">
        <v>4.933333333333334</v>
      </c>
      <c r="H123" s="274">
        <v>5.933333333333334</v>
      </c>
    </row>
    <row r="124" spans="4:8" ht="12.75">
      <c r="D124" s="332"/>
      <c r="E124" s="275" t="s">
        <v>482</v>
      </c>
      <c r="F124" s="274">
        <v>5.09</v>
      </c>
      <c r="G124" s="274">
        <v>6.09</v>
      </c>
      <c r="H124" s="274">
        <v>7.09</v>
      </c>
    </row>
    <row r="125" spans="4:8" ht="12.75">
      <c r="D125" s="332"/>
      <c r="E125" s="275" t="s">
        <v>160</v>
      </c>
      <c r="F125" s="274">
        <v>5.324444444444444</v>
      </c>
      <c r="G125" s="274">
        <v>6.324444444444444</v>
      </c>
      <c r="H125" s="274">
        <v>7.324444444444444</v>
      </c>
    </row>
    <row r="126" spans="4:8" ht="12.75">
      <c r="D126" s="332"/>
      <c r="E126" s="275" t="s">
        <v>161</v>
      </c>
      <c r="F126" s="274">
        <v>7</v>
      </c>
      <c r="G126" s="274">
        <v>8</v>
      </c>
      <c r="H126" s="274">
        <v>9</v>
      </c>
    </row>
    <row r="127" spans="4:8" ht="12.75">
      <c r="D127" s="332"/>
      <c r="E127" s="256" t="s">
        <v>155</v>
      </c>
      <c r="F127" s="274">
        <v>0</v>
      </c>
      <c r="G127" s="107">
        <v>0</v>
      </c>
      <c r="H127" s="274">
        <v>1</v>
      </c>
    </row>
    <row r="128" spans="4:8" ht="12.75">
      <c r="D128" s="332"/>
      <c r="E128" s="256" t="s">
        <v>156</v>
      </c>
      <c r="F128" s="274">
        <v>11</v>
      </c>
      <c r="G128" s="107">
        <v>12</v>
      </c>
      <c r="H128" s="274">
        <v>13</v>
      </c>
    </row>
    <row r="129" spans="4:8" ht="25.5">
      <c r="D129" s="331"/>
      <c r="E129" s="273" t="s">
        <v>157</v>
      </c>
      <c r="F129" s="272">
        <v>0.06</v>
      </c>
      <c r="G129" s="107">
        <v>0.12</v>
      </c>
      <c r="H129" s="262">
        <v>0.24</v>
      </c>
    </row>
    <row r="130" spans="4:8" ht="12.75">
      <c r="D130" s="330" t="s">
        <v>17</v>
      </c>
      <c r="E130" s="275" t="s">
        <v>158</v>
      </c>
      <c r="F130" s="272">
        <v>0.0675</v>
      </c>
      <c r="G130" s="107">
        <v>0.135</v>
      </c>
      <c r="H130" s="262">
        <v>0.27</v>
      </c>
    </row>
    <row r="131" spans="4:8" ht="12.75">
      <c r="D131" s="332"/>
      <c r="E131" s="275" t="s">
        <v>481</v>
      </c>
      <c r="F131" s="272">
        <v>0.1175</v>
      </c>
      <c r="G131" s="107">
        <v>0.235</v>
      </c>
      <c r="H131" s="262">
        <v>0.47</v>
      </c>
    </row>
    <row r="132" spans="4:8" ht="12.75">
      <c r="D132" s="332"/>
      <c r="E132" s="275" t="s">
        <v>482</v>
      </c>
      <c r="F132" s="272">
        <v>0.1175</v>
      </c>
      <c r="G132" s="107">
        <v>0.235</v>
      </c>
      <c r="H132" s="262">
        <v>0.47</v>
      </c>
    </row>
    <row r="133" spans="4:8" ht="12.75">
      <c r="D133" s="332"/>
      <c r="E133" s="275" t="s">
        <v>160</v>
      </c>
      <c r="F133" s="272">
        <v>0.0675</v>
      </c>
      <c r="G133" s="107">
        <v>0.135</v>
      </c>
      <c r="H133" s="262">
        <v>0.27</v>
      </c>
    </row>
    <row r="134" spans="4:8" ht="12.75">
      <c r="D134" s="331"/>
      <c r="E134" s="275" t="s">
        <v>161</v>
      </c>
      <c r="F134" s="272">
        <v>0.07</v>
      </c>
      <c r="G134" s="107">
        <v>0.14</v>
      </c>
      <c r="H134" s="262">
        <v>0.28</v>
      </c>
    </row>
    <row r="135" spans="4:8" ht="12.75">
      <c r="D135" s="330" t="s">
        <v>17</v>
      </c>
      <c r="E135" s="275" t="s">
        <v>483</v>
      </c>
      <c r="F135" s="276">
        <v>0</v>
      </c>
      <c r="G135" s="276">
        <v>0.135</v>
      </c>
      <c r="H135" s="276">
        <v>1</v>
      </c>
    </row>
    <row r="136" spans="4:8" ht="12.75">
      <c r="D136" s="331"/>
      <c r="E136" s="275" t="s">
        <v>484</v>
      </c>
      <c r="F136" s="276">
        <v>0</v>
      </c>
      <c r="G136" s="276">
        <v>0.55</v>
      </c>
      <c r="H136" s="276">
        <v>1</v>
      </c>
    </row>
    <row r="137" spans="4:8" ht="12.75">
      <c r="D137" s="328" t="s">
        <v>139</v>
      </c>
      <c r="E137" s="277" t="s">
        <v>65</v>
      </c>
      <c r="F137" s="253">
        <f>LN(1)</f>
        <v>0</v>
      </c>
      <c r="G137" s="253">
        <v>0.46947479718243673</v>
      </c>
      <c r="H137" s="253">
        <f>LN(4)</f>
        <v>1.3862943611198906</v>
      </c>
    </row>
    <row r="138" spans="4:8" ht="12.75">
      <c r="D138" s="329"/>
      <c r="E138" s="277" t="s">
        <v>21</v>
      </c>
      <c r="F138" s="253">
        <f>LN(2)</f>
        <v>0.6931471805599453</v>
      </c>
      <c r="G138" s="253">
        <v>1.1612377921118526</v>
      </c>
      <c r="H138" s="253">
        <f>LN(8)</f>
        <v>2.0794415416798357</v>
      </c>
    </row>
    <row r="139" spans="4:8" ht="12.75">
      <c r="D139" s="328" t="s">
        <v>485</v>
      </c>
      <c r="E139" s="256" t="s">
        <v>137</v>
      </c>
      <c r="F139" s="107">
        <v>0.0763</v>
      </c>
      <c r="G139" s="107">
        <v>0.1324</v>
      </c>
      <c r="H139" s="107">
        <v>0.2274</v>
      </c>
    </row>
    <row r="140" spans="4:8" ht="12.75">
      <c r="D140" s="329"/>
      <c r="E140" s="256" t="s">
        <v>138</v>
      </c>
      <c r="F140" s="107">
        <v>38.49</v>
      </c>
      <c r="G140" s="107">
        <v>51.45</v>
      </c>
      <c r="H140" s="107">
        <v>57.96</v>
      </c>
    </row>
  </sheetData>
  <mergeCells count="23">
    <mergeCell ref="D51:D52"/>
    <mergeCell ref="E51:F51"/>
    <mergeCell ref="G51:H51"/>
    <mergeCell ref="I51:J51"/>
    <mergeCell ref="E34:F34"/>
    <mergeCell ref="G34:H34"/>
    <mergeCell ref="I34:J34"/>
    <mergeCell ref="D34:D35"/>
    <mergeCell ref="F66:I66"/>
    <mergeCell ref="E90:E100"/>
    <mergeCell ref="E79:E89"/>
    <mergeCell ref="E68:E78"/>
    <mergeCell ref="D105:E105"/>
    <mergeCell ref="D114:D115"/>
    <mergeCell ref="D106:D108"/>
    <mergeCell ref="D109:D113"/>
    <mergeCell ref="D139:D140"/>
    <mergeCell ref="D118:E118"/>
    <mergeCell ref="D119:D120"/>
    <mergeCell ref="D121:D129"/>
    <mergeCell ref="D130:D134"/>
    <mergeCell ref="D135:D136"/>
    <mergeCell ref="D137:D13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111"/>
  <dimension ref="B1:AD108"/>
  <sheetViews>
    <sheetView workbookViewId="0" topLeftCell="A29">
      <selection activeCell="G58" sqref="G58"/>
    </sheetView>
  </sheetViews>
  <sheetFormatPr defaultColWidth="9.140625" defaultRowHeight="12.75"/>
  <cols>
    <col min="2" max="2" width="10.28125" style="0" customWidth="1"/>
    <col min="3" max="3" width="29.57421875" style="0" customWidth="1"/>
    <col min="4" max="4" width="16.421875" style="0" customWidth="1"/>
    <col min="5" max="5" width="10.57421875" style="0" bestFit="1" customWidth="1"/>
    <col min="6" max="6" width="10.00390625" style="0" customWidth="1"/>
    <col min="7" max="7" width="11.00390625" style="0" customWidth="1"/>
    <col min="12" max="12" width="11.00390625" style="0" customWidth="1"/>
    <col min="13" max="13" width="10.57421875" style="0" customWidth="1"/>
    <col min="15" max="15" width="12.28125" style="0" customWidth="1"/>
    <col min="16" max="16" width="11.140625" style="0" customWidth="1"/>
    <col min="18" max="19" width="9.00390625" style="0" customWidth="1"/>
    <col min="28" max="29" width="10.8515625" style="0" customWidth="1"/>
    <col min="30" max="30" width="14.8515625" style="0" customWidth="1"/>
    <col min="31" max="31" width="11.28125" style="0" customWidth="1"/>
    <col min="32" max="32" width="12.421875" style="0" customWidth="1"/>
    <col min="33" max="33" width="10.57421875" style="0" bestFit="1" customWidth="1"/>
    <col min="34" max="34" width="11.28125" style="0" customWidth="1"/>
    <col min="35" max="35" width="13.421875" style="0" customWidth="1"/>
    <col min="36" max="36" width="9.00390625" style="0" customWidth="1"/>
    <col min="37" max="37" width="11.57421875" style="0" customWidth="1"/>
    <col min="38" max="38" width="10.28125" style="0" customWidth="1"/>
    <col min="41" max="41" width="10.28125" style="0" bestFit="1" customWidth="1"/>
    <col min="45" max="45" width="10.00390625" style="0" customWidth="1"/>
    <col min="48" max="48" width="11.00390625" style="0" customWidth="1"/>
    <col min="49" max="49" width="9.57421875" style="0" bestFit="1" customWidth="1"/>
  </cols>
  <sheetData>
    <row r="1" ht="12.75">
      <c r="B1" s="4"/>
    </row>
    <row r="2" spans="2:12" ht="12.75">
      <c r="B2" s="295" t="s">
        <v>76</v>
      </c>
      <c r="C2" s="296"/>
      <c r="D2" s="63">
        <v>0.7575810185185184</v>
      </c>
      <c r="H2" t="s">
        <v>93</v>
      </c>
      <c r="L2" s="65"/>
    </row>
    <row r="3" spans="2:9" ht="12.75">
      <c r="B3" s="295" t="s">
        <v>75</v>
      </c>
      <c r="C3" s="296"/>
      <c r="D3" s="63">
        <v>0.7575810185185184</v>
      </c>
      <c r="H3" s="73" t="s">
        <v>79</v>
      </c>
      <c r="I3" s="74"/>
    </row>
    <row r="4" spans="2:9" ht="12.75">
      <c r="B4" s="295" t="s">
        <v>77</v>
      </c>
      <c r="C4" s="296"/>
      <c r="D4" s="64">
        <f>D2-D3</f>
        <v>0</v>
      </c>
      <c r="H4" s="73" t="s">
        <v>80</v>
      </c>
      <c r="I4" s="74"/>
    </row>
    <row r="5" spans="8:9" ht="12.75">
      <c r="H5" s="74" t="b">
        <v>1</v>
      </c>
      <c r="I5" s="74"/>
    </row>
    <row r="6" spans="8:9" ht="12.75">
      <c r="H6" s="74" t="b">
        <v>0</v>
      </c>
      <c r="I6" s="74"/>
    </row>
    <row r="7" spans="2:4" ht="12.75">
      <c r="B7" s="298" t="s">
        <v>27</v>
      </c>
      <c r="C7" s="299"/>
      <c r="D7" s="300"/>
    </row>
    <row r="8" spans="2:4" ht="12.75">
      <c r="B8" s="295" t="s">
        <v>28</v>
      </c>
      <c r="C8" s="296"/>
      <c r="D8" s="164">
        <v>10</v>
      </c>
    </row>
    <row r="9" spans="2:4" ht="12.75">
      <c r="B9" s="295" t="s">
        <v>60</v>
      </c>
      <c r="C9" s="296"/>
      <c r="D9" s="165">
        <v>7</v>
      </c>
    </row>
    <row r="10" spans="2:4" ht="12.75">
      <c r="B10" s="295" t="s">
        <v>26</v>
      </c>
      <c r="C10" s="296"/>
      <c r="D10" s="166">
        <f>1/(24)</f>
        <v>0.041666666666666664</v>
      </c>
    </row>
    <row r="11" spans="2:4" ht="12.75" customHeight="1">
      <c r="B11" s="295" t="s">
        <v>81</v>
      </c>
      <c r="C11" s="296"/>
      <c r="D11" s="167">
        <v>104</v>
      </c>
    </row>
    <row r="12" spans="2:4" ht="12.75">
      <c r="B12" s="295" t="s">
        <v>78</v>
      </c>
      <c r="C12" s="296"/>
      <c r="D12" s="168" t="s">
        <v>80</v>
      </c>
    </row>
    <row r="13" spans="2:4" ht="12.75">
      <c r="B13" s="295" t="s">
        <v>92</v>
      </c>
      <c r="C13" s="296"/>
      <c r="D13" s="168" t="b">
        <v>1</v>
      </c>
    </row>
    <row r="14" spans="2:4" ht="12.75">
      <c r="B14" s="297" t="s">
        <v>175</v>
      </c>
      <c r="C14" s="297"/>
      <c r="D14" s="297"/>
    </row>
    <row r="15" spans="2:4" ht="12.75">
      <c r="B15" s="54" t="s">
        <v>167</v>
      </c>
      <c r="C15" s="54"/>
      <c r="D15" s="196">
        <f>SensML!D15/2</f>
        <v>0.09912</v>
      </c>
    </row>
    <row r="16" spans="2:4" ht="12.75">
      <c r="B16" s="54" t="s">
        <v>168</v>
      </c>
      <c r="C16" s="54"/>
      <c r="D16" s="196">
        <f>SensML!D16/2</f>
        <v>0.0074190600462709</v>
      </c>
    </row>
    <row r="17" spans="2:4" ht="12.75">
      <c r="B17" s="54" t="s">
        <v>170</v>
      </c>
      <c r="C17" s="54"/>
      <c r="D17" s="196">
        <f>SensML!D17/2</f>
        <v>0.043075</v>
      </c>
    </row>
    <row r="18" spans="2:4" ht="12.75">
      <c r="B18" s="54" t="s">
        <v>171</v>
      </c>
      <c r="C18" s="54"/>
      <c r="D18" s="196">
        <f>SensML!D18/2</f>
        <v>0.047</v>
      </c>
    </row>
    <row r="19" spans="2:4" ht="12.75">
      <c r="B19" s="156" t="s">
        <v>173</v>
      </c>
      <c r="C19" s="54"/>
      <c r="D19" s="196">
        <f>SensML!D19/2</f>
        <v>1.43</v>
      </c>
    </row>
    <row r="20" spans="2:4" ht="12.75">
      <c r="B20" s="54" t="s">
        <v>169</v>
      </c>
      <c r="C20" s="54"/>
      <c r="D20" s="157">
        <f>1-D18</f>
        <v>0.953</v>
      </c>
    </row>
    <row r="21" spans="2:4" ht="12.75">
      <c r="B21" s="156" t="s">
        <v>170</v>
      </c>
      <c r="C21" s="54"/>
      <c r="D21" s="158">
        <f>D15*D16*D20*D17</f>
        <v>3.0187584669015653E-05</v>
      </c>
    </row>
    <row r="22" spans="2:4" ht="12.75">
      <c r="B22" s="156" t="s">
        <v>172</v>
      </c>
      <c r="C22" s="54"/>
      <c r="D22" s="158">
        <f>D15*D16*D17*D18*D19</f>
        <v>2.128969113960695E-06</v>
      </c>
    </row>
    <row r="23" spans="2:4" ht="12.75">
      <c r="B23" s="54" t="s">
        <v>174</v>
      </c>
      <c r="C23" s="54"/>
      <c r="D23" s="158">
        <f>D21+D22</f>
        <v>3.231655378297635E-05</v>
      </c>
    </row>
    <row r="24" spans="2:5" ht="12.75" customHeight="1">
      <c r="B24" s="297" t="s">
        <v>23</v>
      </c>
      <c r="C24" s="297"/>
      <c r="D24" s="297"/>
      <c r="E24" s="297"/>
    </row>
    <row r="25" spans="2:5" ht="12.75">
      <c r="B25" s="302" t="s">
        <v>31</v>
      </c>
      <c r="C25" s="57" t="s">
        <v>143</v>
      </c>
      <c r="D25" s="57" t="s">
        <v>65</v>
      </c>
      <c r="E25" s="57" t="s">
        <v>114</v>
      </c>
    </row>
    <row r="26" spans="2:5" ht="12.75">
      <c r="B26" s="302"/>
      <c r="C26" s="54" t="s">
        <v>144</v>
      </c>
      <c r="D26" s="170">
        <f>SensML!D26/2</f>
        <v>1.3011</v>
      </c>
      <c r="E26" s="170">
        <f>SensML!E26/2</f>
        <v>0.64765</v>
      </c>
    </row>
    <row r="27" spans="2:5" ht="12.75">
      <c r="B27" s="301" t="s">
        <v>115</v>
      </c>
      <c r="C27" s="57" t="s">
        <v>143</v>
      </c>
      <c r="D27" s="57" t="s">
        <v>65</v>
      </c>
      <c r="E27" s="57" t="s">
        <v>165</v>
      </c>
    </row>
    <row r="28" spans="2:5" ht="12.75">
      <c r="B28" s="301"/>
      <c r="C28" s="54" t="s">
        <v>166</v>
      </c>
      <c r="D28" s="170">
        <f>SensML!D28/2</f>
        <v>0.695</v>
      </c>
      <c r="E28" s="170">
        <f>SensML!E28/2</f>
        <v>0.12453765231583411</v>
      </c>
    </row>
    <row r="29" spans="2:13" ht="12.75">
      <c r="B29" s="56" t="s">
        <v>112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</row>
    <row r="30" spans="2:13" ht="12.75" customHeight="1">
      <c r="B30" s="59" t="s">
        <v>110</v>
      </c>
      <c r="C30" s="59" t="s">
        <v>17</v>
      </c>
      <c r="D30" s="99" t="s">
        <v>110</v>
      </c>
      <c r="E30" s="99" t="s">
        <v>17</v>
      </c>
      <c r="F30" s="99" t="s">
        <v>110</v>
      </c>
      <c r="G30" s="99" t="s">
        <v>17</v>
      </c>
      <c r="H30" s="99" t="s">
        <v>110</v>
      </c>
      <c r="I30" s="99" t="s">
        <v>17</v>
      </c>
      <c r="J30" s="103" t="s">
        <v>111</v>
      </c>
      <c r="K30" s="59" t="s">
        <v>17</v>
      </c>
      <c r="L30" s="59" t="s">
        <v>61</v>
      </c>
      <c r="M30" s="59" t="s">
        <v>113</v>
      </c>
    </row>
    <row r="31" spans="2:13" ht="12.75">
      <c r="B31" s="53" t="s">
        <v>97</v>
      </c>
      <c r="C31" s="68">
        <f>10/54</f>
        <v>0.18518518518518517</v>
      </c>
      <c r="D31" s="100"/>
      <c r="E31" s="101"/>
      <c r="F31" s="101"/>
      <c r="G31" s="101"/>
      <c r="H31" s="101"/>
      <c r="I31" s="102"/>
      <c r="J31" s="200" t="s">
        <v>97</v>
      </c>
      <c r="K31" s="171">
        <f>SensML!K31/2</f>
        <v>0.09259259259259259</v>
      </c>
      <c r="L31" s="104">
        <f>K31/K40</f>
        <v>0.18518518518518517</v>
      </c>
      <c r="M31" s="142">
        <v>1</v>
      </c>
    </row>
    <row r="32" spans="2:13" ht="12.75" customHeight="1">
      <c r="B32" s="53" t="s">
        <v>98</v>
      </c>
      <c r="C32" s="67">
        <f>1-C31</f>
        <v>0.8148148148148149</v>
      </c>
      <c r="D32" s="53" t="s">
        <v>31</v>
      </c>
      <c r="E32" s="48">
        <v>0.75</v>
      </c>
      <c r="F32" s="53" t="s">
        <v>32</v>
      </c>
      <c r="G32" s="49">
        <f>(0.5-0.2)/2</f>
        <v>0.15</v>
      </c>
      <c r="H32" s="53" t="s">
        <v>99</v>
      </c>
      <c r="I32" s="105">
        <v>0.7887</v>
      </c>
      <c r="J32" s="200" t="s">
        <v>34</v>
      </c>
      <c r="K32" s="171">
        <f>SensML!K32/2</f>
        <v>0.03614875</v>
      </c>
      <c r="L32" s="104">
        <f>K32/$K$40+L31</f>
        <v>0.2574826851851852</v>
      </c>
      <c r="M32" s="142">
        <v>2</v>
      </c>
    </row>
    <row r="33" spans="2:13" ht="12.75">
      <c r="B33" s="69"/>
      <c r="C33" s="9"/>
      <c r="D33" s="9"/>
      <c r="E33" s="9"/>
      <c r="F33" s="9"/>
      <c r="G33" s="9"/>
      <c r="H33" s="53" t="s">
        <v>100</v>
      </c>
      <c r="I33" s="51">
        <f>1-I32</f>
        <v>0.21130000000000004</v>
      </c>
      <c r="J33" s="200" t="s">
        <v>104</v>
      </c>
      <c r="K33" s="171">
        <f>SensML!K33/2</f>
        <v>0.009684583333333337</v>
      </c>
      <c r="L33" s="104">
        <f aca="true" t="shared" si="0" ref="L33:L39">K33/$K$40+L32</f>
        <v>0.27685185185185185</v>
      </c>
      <c r="M33" s="142">
        <v>3</v>
      </c>
    </row>
    <row r="34" spans="2:13" ht="12.75" customHeight="1">
      <c r="B34" s="69"/>
      <c r="C34" s="9"/>
      <c r="D34" s="9"/>
      <c r="E34" s="9"/>
      <c r="F34" s="53" t="s">
        <v>33</v>
      </c>
      <c r="G34" s="55">
        <f>1-G32</f>
        <v>0.85</v>
      </c>
      <c r="H34" s="53" t="s">
        <v>99</v>
      </c>
      <c r="I34" s="51">
        <f>I32/2</f>
        <v>0.39435</v>
      </c>
      <c r="J34" s="200" t="s">
        <v>35</v>
      </c>
      <c r="K34" s="171">
        <f>SensML!K34/2</f>
        <v>0.10242145833333334</v>
      </c>
      <c r="L34" s="104">
        <f t="shared" si="0"/>
        <v>0.48169476851851856</v>
      </c>
      <c r="M34" s="142">
        <v>4</v>
      </c>
    </row>
    <row r="35" spans="2:13" ht="12.75">
      <c r="B35" s="69"/>
      <c r="C35" s="9"/>
      <c r="D35" s="9"/>
      <c r="E35" s="9"/>
      <c r="F35" s="9"/>
      <c r="G35" s="9"/>
      <c r="H35" s="53" t="s">
        <v>100</v>
      </c>
      <c r="I35" s="51">
        <f>1-I34</f>
        <v>0.60565</v>
      </c>
      <c r="J35" s="200" t="s">
        <v>105</v>
      </c>
      <c r="K35" s="171">
        <f>SensML!K35/2</f>
        <v>0.15730076388888892</v>
      </c>
      <c r="L35" s="104">
        <f t="shared" si="0"/>
        <v>0.7962962962962964</v>
      </c>
      <c r="M35" s="142">
        <v>5</v>
      </c>
    </row>
    <row r="36" spans="2:13" ht="12.75">
      <c r="B36" s="69"/>
      <c r="C36" s="9"/>
      <c r="D36" s="53" t="s">
        <v>103</v>
      </c>
      <c r="E36" s="52">
        <f>1-E32</f>
        <v>0.25</v>
      </c>
      <c r="F36" s="53" t="s">
        <v>30</v>
      </c>
      <c r="G36" s="68">
        <f>1-G38</f>
        <v>0.896551724137931</v>
      </c>
      <c r="H36" s="53" t="s">
        <v>101</v>
      </c>
      <c r="I36" s="51">
        <f>1-I37</f>
        <v>0.9327929212128054</v>
      </c>
      <c r="J36" s="200" t="s">
        <v>106</v>
      </c>
      <c r="K36" s="171">
        <f>SensML!K36/2</f>
        <v>0.08517840851432387</v>
      </c>
      <c r="L36" s="104">
        <f t="shared" si="0"/>
        <v>0.9666531133249441</v>
      </c>
      <c r="M36" s="142">
        <v>6</v>
      </c>
    </row>
    <row r="37" spans="2:13" ht="12.75" customHeight="1">
      <c r="B37" s="69"/>
      <c r="C37" s="9"/>
      <c r="D37" s="9"/>
      <c r="E37" s="9"/>
      <c r="F37" s="9"/>
      <c r="G37" s="9"/>
      <c r="H37" s="53" t="s">
        <v>102</v>
      </c>
      <c r="I37" s="51">
        <f>I39</f>
        <v>0.06720707878719459</v>
      </c>
      <c r="J37" s="200" t="s">
        <v>107</v>
      </c>
      <c r="K37" s="171">
        <f>SensML!K37/2</f>
        <v>0.006137044870095036</v>
      </c>
      <c r="L37" s="104">
        <f t="shared" si="0"/>
        <v>0.9789272030651341</v>
      </c>
      <c r="M37" s="142">
        <v>7</v>
      </c>
    </row>
    <row r="38" spans="2:13" ht="12.75">
      <c r="B38" s="69"/>
      <c r="C38" s="9"/>
      <c r="D38" s="9"/>
      <c r="E38" s="9"/>
      <c r="F38" s="53" t="s">
        <v>29</v>
      </c>
      <c r="G38" s="106">
        <f>3/29</f>
        <v>0.10344827586206896</v>
      </c>
      <c r="H38" s="53" t="s">
        <v>101</v>
      </c>
      <c r="I38" s="51">
        <f>1-I39</f>
        <v>0.9327929212128054</v>
      </c>
      <c r="J38" s="200" t="s">
        <v>108</v>
      </c>
      <c r="K38" s="171">
        <f>SensML!K38/2</f>
        <v>0.009828277905498908</v>
      </c>
      <c r="L38" s="104">
        <f t="shared" si="0"/>
        <v>0.9985837588761319</v>
      </c>
      <c r="M38" s="142">
        <v>8</v>
      </c>
    </row>
    <row r="39" spans="2:13" ht="12.75">
      <c r="B39" s="46"/>
      <c r="C39" s="31"/>
      <c r="D39" s="31"/>
      <c r="E39" s="31"/>
      <c r="F39" s="31"/>
      <c r="G39" s="31"/>
      <c r="H39" s="53" t="s">
        <v>102</v>
      </c>
      <c r="I39" s="50">
        <f>4/(((2*(1-0.96813))*871)+4)</f>
        <v>0.06720707878719459</v>
      </c>
      <c r="J39" s="200" t="s">
        <v>109</v>
      </c>
      <c r="K39" s="171">
        <f>SensML!K39/2</f>
        <v>0.0007081205619340426</v>
      </c>
      <c r="L39" s="104">
        <f t="shared" si="0"/>
        <v>1</v>
      </c>
      <c r="M39" s="142">
        <v>9</v>
      </c>
    </row>
    <row r="40" spans="2:30" ht="12.75">
      <c r="B40" s="298" t="s">
        <v>43</v>
      </c>
      <c r="C40" s="299"/>
      <c r="D40" s="299"/>
      <c r="E40" s="299"/>
      <c r="F40" s="299"/>
      <c r="G40" s="299"/>
      <c r="H40" s="300"/>
      <c r="K40" s="19">
        <f>SUM(K31:K39)</f>
        <v>0.5</v>
      </c>
      <c r="AD40" s="43"/>
    </row>
    <row r="41" spans="2:30" ht="12.75" customHeight="1">
      <c r="B41" s="57" t="s">
        <v>38</v>
      </c>
      <c r="C41" s="57" t="s">
        <v>39</v>
      </c>
      <c r="D41" s="57" t="s">
        <v>42</v>
      </c>
      <c r="E41" s="58" t="s">
        <v>41</v>
      </c>
      <c r="F41" s="13"/>
      <c r="G41" s="7"/>
      <c r="H41" s="8"/>
      <c r="I41" s="284" t="s">
        <v>448</v>
      </c>
      <c r="J41" s="318"/>
      <c r="AD41" s="43"/>
    </row>
    <row r="42" spans="2:10" ht="12.75">
      <c r="B42" s="48">
        <v>67.225</v>
      </c>
      <c r="C42" s="48">
        <v>-1.1969</v>
      </c>
      <c r="D42" s="52">
        <f>4.18+E42</f>
        <v>1.9847999999999857</v>
      </c>
      <c r="E42" s="55">
        <f>B42+C42*D44</f>
        <v>-2.195200000000014</v>
      </c>
      <c r="F42" s="46"/>
      <c r="G42" s="31"/>
      <c r="H42" s="11"/>
      <c r="I42" s="319"/>
      <c r="J42" s="320"/>
    </row>
    <row r="43" spans="2:17" ht="12.75">
      <c r="B43" s="57" t="s">
        <v>36</v>
      </c>
      <c r="C43" s="57" t="s">
        <v>18</v>
      </c>
      <c r="D43" s="57" t="s">
        <v>40</v>
      </c>
      <c r="E43" s="57" t="s">
        <v>44</v>
      </c>
      <c r="F43" s="59" t="s">
        <v>8</v>
      </c>
      <c r="G43" s="59" t="s">
        <v>45</v>
      </c>
      <c r="H43" s="59" t="s">
        <v>47</v>
      </c>
      <c r="I43" s="321"/>
      <c r="J43" s="322"/>
      <c r="M43" s="288" t="s">
        <v>178</v>
      </c>
      <c r="N43" s="289"/>
      <c r="O43" s="289"/>
      <c r="P43" s="289"/>
      <c r="Q43" s="290"/>
    </row>
    <row r="44" spans="2:17" ht="12.75">
      <c r="B44" s="205">
        <f>-EXP(D42)</f>
        <v>-7.27759172154746</v>
      </c>
      <c r="C44" s="205">
        <f>EXP(E42)</f>
        <v>0.11133629201963281</v>
      </c>
      <c r="D44" s="202">
        <v>58</v>
      </c>
      <c r="E44" s="224">
        <v>0</v>
      </c>
      <c r="F44" s="203">
        <v>0.11</v>
      </c>
      <c r="G44" s="203">
        <v>0.25</v>
      </c>
      <c r="H44" s="204">
        <v>0</v>
      </c>
      <c r="I44" s="52">
        <f>IF(E44=0,1,J44)</f>
        <v>1</v>
      </c>
      <c r="J44" s="223">
        <v>1</v>
      </c>
      <c r="M44" s="112" t="s">
        <v>6</v>
      </c>
      <c r="N44" s="112" t="s">
        <v>0</v>
      </c>
      <c r="O44" s="112" t="s">
        <v>1</v>
      </c>
      <c r="P44" s="112"/>
      <c r="Q44" s="112" t="s">
        <v>2</v>
      </c>
    </row>
    <row r="45" spans="2:17" ht="12.75" customHeight="1">
      <c r="B45" s="297" t="s">
        <v>164</v>
      </c>
      <c r="C45" s="297"/>
      <c r="D45" s="297"/>
      <c r="E45" s="297"/>
      <c r="F45" s="297"/>
      <c r="G45" s="297"/>
      <c r="H45" s="297"/>
      <c r="I45" s="297"/>
      <c r="J45" s="297"/>
      <c r="K45" s="297"/>
      <c r="M45" s="178" t="s">
        <v>3</v>
      </c>
      <c r="N45" s="179">
        <v>-0.9337</v>
      </c>
      <c r="O45" s="179">
        <v>0.2108</v>
      </c>
      <c r="P45" s="179"/>
      <c r="Q45" s="179">
        <v>-0.8272</v>
      </c>
    </row>
    <row r="46" spans="2:17" ht="12.75">
      <c r="B46" s="306" t="s">
        <v>24</v>
      </c>
      <c r="C46" s="57" t="s">
        <v>6</v>
      </c>
      <c r="D46" s="57" t="s">
        <v>0</v>
      </c>
      <c r="E46" s="57" t="s">
        <v>1</v>
      </c>
      <c r="F46" s="57" t="s">
        <v>18</v>
      </c>
      <c r="G46" s="57" t="s">
        <v>19</v>
      </c>
      <c r="H46" s="57" t="s">
        <v>12</v>
      </c>
      <c r="I46" s="57" t="s">
        <v>20</v>
      </c>
      <c r="J46" s="57" t="s">
        <v>4</v>
      </c>
      <c r="K46" s="57" t="s">
        <v>176</v>
      </c>
      <c r="M46" s="180"/>
      <c r="N46" s="181"/>
      <c r="O46" s="181"/>
      <c r="P46" s="181"/>
      <c r="Q46" s="182"/>
    </row>
    <row r="47" spans="2:17" ht="12.75">
      <c r="B47" s="307"/>
      <c r="C47" s="60" t="s">
        <v>3</v>
      </c>
      <c r="D47" s="172">
        <f>SensML!D47-2*SensML!N48</f>
        <v>-1.5863</v>
      </c>
      <c r="E47" s="172">
        <f>SensML!E47-2*SensML!O48</f>
        <v>0.19543999999999997</v>
      </c>
      <c r="F47" s="172">
        <v>0.01</v>
      </c>
      <c r="G47" s="206">
        <v>45.5733</v>
      </c>
      <c r="H47" s="207">
        <v>0.3864</v>
      </c>
      <c r="I47" s="206">
        <v>0.303</v>
      </c>
      <c r="J47" s="208">
        <f>10.59</f>
        <v>10.59</v>
      </c>
      <c r="K47" s="209">
        <v>1</v>
      </c>
      <c r="M47" s="183" t="s">
        <v>3</v>
      </c>
      <c r="N47" s="184">
        <v>-0.9337</v>
      </c>
      <c r="O47" s="184">
        <v>0.2108</v>
      </c>
      <c r="P47" s="184"/>
      <c r="Q47" s="184">
        <v>-0.8272</v>
      </c>
    </row>
    <row r="48" spans="2:17" ht="12.75">
      <c r="B48" s="306" t="s">
        <v>10</v>
      </c>
      <c r="C48" s="57" t="s">
        <v>6</v>
      </c>
      <c r="D48" s="57" t="s">
        <v>2</v>
      </c>
      <c r="E48" s="57" t="s">
        <v>1</v>
      </c>
      <c r="F48" s="57" t="s">
        <v>7</v>
      </c>
      <c r="G48" s="58" t="s">
        <v>8</v>
      </c>
      <c r="H48" s="57" t="s">
        <v>9</v>
      </c>
      <c r="I48" s="7"/>
      <c r="J48" s="7"/>
      <c r="K48" s="8"/>
      <c r="M48" s="185" t="s">
        <v>179</v>
      </c>
      <c r="N48" s="186">
        <v>0.29</v>
      </c>
      <c r="O48" s="186">
        <v>0.01323</v>
      </c>
      <c r="P48" s="186"/>
      <c r="Q48" s="186">
        <v>0.2377</v>
      </c>
    </row>
    <row r="49" spans="2:17" ht="12.75">
      <c r="B49" s="307"/>
      <c r="C49" s="60" t="s">
        <v>3</v>
      </c>
      <c r="D49" s="169">
        <f>SensML!D49-2*SensLB!N59</f>
        <v>1.0869</v>
      </c>
      <c r="E49" s="169">
        <f>SensML!E49-2*SensLB!O59</f>
        <v>-3.2744999999999997</v>
      </c>
      <c r="F49" s="169">
        <f>SensML!F49-2*SensLB!P59</f>
        <v>0.029900000000000003</v>
      </c>
      <c r="G49" s="169">
        <f>SensML!G49-2*SensLB!Q59</f>
        <v>2.6227</v>
      </c>
      <c r="H49" s="169">
        <v>1</v>
      </c>
      <c r="I49" s="9"/>
      <c r="J49" s="9"/>
      <c r="K49" s="10"/>
      <c r="M49" s="291" t="s">
        <v>180</v>
      </c>
      <c r="N49" s="292"/>
      <c r="O49" s="292"/>
      <c r="P49" s="292"/>
      <c r="Q49" s="293"/>
    </row>
    <row r="50" spans="2:17" ht="12.75">
      <c r="B50" s="306" t="s">
        <v>25</v>
      </c>
      <c r="C50" s="57" t="s">
        <v>6</v>
      </c>
      <c r="D50" s="57" t="s">
        <v>21</v>
      </c>
      <c r="E50" s="57" t="s">
        <v>4</v>
      </c>
      <c r="F50" s="57" t="s">
        <v>5</v>
      </c>
      <c r="G50" s="57" t="s">
        <v>67</v>
      </c>
      <c r="H50" s="9"/>
      <c r="I50" s="9"/>
      <c r="J50" s="9"/>
      <c r="K50" s="10"/>
      <c r="M50" s="12" t="s">
        <v>0</v>
      </c>
      <c r="N50" s="186">
        <v>1</v>
      </c>
      <c r="O50" s="186">
        <v>-0.8249</v>
      </c>
      <c r="P50" s="186"/>
      <c r="Q50" s="186">
        <v>-0.05672</v>
      </c>
    </row>
    <row r="51" spans="2:17" ht="12.75">
      <c r="B51" s="307"/>
      <c r="C51" s="54" t="s">
        <v>3</v>
      </c>
      <c r="D51" s="169">
        <f>SensML!D51/2</f>
        <v>0.1925</v>
      </c>
      <c r="E51" s="52">
        <f>5.5+LOG(50)</f>
        <v>7.198970004336019</v>
      </c>
      <c r="F51" s="210">
        <f>1/((2*EXP(G51))-1)</f>
        <v>0.07257888349575382</v>
      </c>
      <c r="G51" s="169">
        <v>2</v>
      </c>
      <c r="H51" s="47"/>
      <c r="I51" s="47"/>
      <c r="J51" s="47"/>
      <c r="K51" s="11"/>
      <c r="M51" s="12" t="s">
        <v>1</v>
      </c>
      <c r="N51" s="186">
        <v>-0.8249</v>
      </c>
      <c r="O51" s="186">
        <v>1</v>
      </c>
      <c r="P51" s="186"/>
      <c r="Q51" s="186">
        <v>-0.06133</v>
      </c>
    </row>
    <row r="52" spans="2:17" ht="12.75" customHeight="1">
      <c r="B52" s="56" t="s">
        <v>150</v>
      </c>
      <c r="C52" s="61"/>
      <c r="D52" s="122"/>
      <c r="E52" s="122"/>
      <c r="F52" s="122"/>
      <c r="G52" s="62"/>
      <c r="M52" s="12" t="s">
        <v>2</v>
      </c>
      <c r="N52" s="186">
        <v>-0.05672</v>
      </c>
      <c r="O52" s="186">
        <v>-0.06133</v>
      </c>
      <c r="P52" s="186"/>
      <c r="Q52" s="186">
        <v>1</v>
      </c>
    </row>
    <row r="53" spans="2:8" ht="12.75">
      <c r="B53" s="124"/>
      <c r="C53" s="125" t="s">
        <v>22</v>
      </c>
      <c r="D53" s="57" t="s">
        <v>143</v>
      </c>
      <c r="E53" s="57" t="s">
        <v>133</v>
      </c>
      <c r="F53" s="57" t="s">
        <v>65</v>
      </c>
      <c r="G53" s="57" t="s">
        <v>120</v>
      </c>
      <c r="H53" s="57" t="s">
        <v>69</v>
      </c>
    </row>
    <row r="54" spans="2:17" ht="12.75">
      <c r="B54" s="301" t="s">
        <v>15</v>
      </c>
      <c r="C54" s="54" t="s">
        <v>121</v>
      </c>
      <c r="D54" s="142" t="s">
        <v>144</v>
      </c>
      <c r="E54" s="143" t="s">
        <v>122</v>
      </c>
      <c r="F54" s="173">
        <v>3.8066624897703196</v>
      </c>
      <c r="G54" s="173">
        <v>0.01</v>
      </c>
      <c r="H54" s="140"/>
      <c r="I54" s="280"/>
      <c r="M54" s="294" t="s">
        <v>181</v>
      </c>
      <c r="N54" s="294"/>
      <c r="O54" s="294"/>
      <c r="P54" s="294"/>
      <c r="Q54" s="294"/>
    </row>
    <row r="55" spans="2:17" ht="12.75">
      <c r="B55" s="301"/>
      <c r="C55" s="54" t="s">
        <v>123</v>
      </c>
      <c r="D55" s="142" t="s">
        <v>144</v>
      </c>
      <c r="E55" s="144" t="s">
        <v>124</v>
      </c>
      <c r="F55" s="175">
        <v>3.8066624897703196</v>
      </c>
      <c r="G55" s="175">
        <v>0.01</v>
      </c>
      <c r="H55" s="222"/>
      <c r="M55" s="112" t="s">
        <v>6</v>
      </c>
      <c r="N55" s="112" t="s">
        <v>2</v>
      </c>
      <c r="O55" s="112" t="s">
        <v>1</v>
      </c>
      <c r="P55" s="112" t="s">
        <v>7</v>
      </c>
      <c r="Q55" s="112" t="s">
        <v>8</v>
      </c>
    </row>
    <row r="56" spans="2:17" ht="12.75">
      <c r="B56" s="301"/>
      <c r="C56" s="54" t="s">
        <v>125</v>
      </c>
      <c r="D56" s="142" t="s">
        <v>144</v>
      </c>
      <c r="E56" s="144" t="s">
        <v>124</v>
      </c>
      <c r="F56" s="175">
        <v>3.8066624897703196</v>
      </c>
      <c r="G56" s="175">
        <v>0.01</v>
      </c>
      <c r="H56" s="222"/>
      <c r="M56" s="178" t="s">
        <v>3</v>
      </c>
      <c r="N56" s="187">
        <v>1.3103</v>
      </c>
      <c r="O56" s="187">
        <v>-1.5087</v>
      </c>
      <c r="P56" s="187">
        <v>0.0751</v>
      </c>
      <c r="Q56" s="187">
        <v>3.4825</v>
      </c>
    </row>
    <row r="57" spans="2:17" ht="12.75">
      <c r="B57" s="301"/>
      <c r="C57" s="54" t="s">
        <v>126</v>
      </c>
      <c r="D57" s="142" t="s">
        <v>144</v>
      </c>
      <c r="E57" s="144" t="s">
        <v>124</v>
      </c>
      <c r="F57" s="175">
        <v>3.8066624897703196</v>
      </c>
      <c r="G57" s="175">
        <v>0.01</v>
      </c>
      <c r="H57" s="222"/>
      <c r="K57" s="42"/>
      <c r="M57" s="188"/>
      <c r="N57" s="101"/>
      <c r="O57" s="101"/>
      <c r="P57" s="101"/>
      <c r="Q57" s="102"/>
    </row>
    <row r="58" spans="2:17" ht="12.75" customHeight="1">
      <c r="B58" s="301"/>
      <c r="C58" s="54" t="s">
        <v>127</v>
      </c>
      <c r="D58" s="142" t="s">
        <v>144</v>
      </c>
      <c r="E58" s="144" t="s">
        <v>124</v>
      </c>
      <c r="F58" s="175">
        <v>3.8066624897703196</v>
      </c>
      <c r="G58" s="175">
        <v>0.01</v>
      </c>
      <c r="H58" s="222"/>
      <c r="M58" s="183" t="s">
        <v>3</v>
      </c>
      <c r="N58" s="187">
        <v>1.3103</v>
      </c>
      <c r="O58" s="187">
        <v>-1.5087</v>
      </c>
      <c r="P58" s="187">
        <v>0.0751</v>
      </c>
      <c r="Q58" s="187">
        <v>3.4825</v>
      </c>
    </row>
    <row r="59" spans="2:17" ht="12.75">
      <c r="B59" s="301"/>
      <c r="C59" s="54" t="s">
        <v>128</v>
      </c>
      <c r="D59" s="142" t="s">
        <v>144</v>
      </c>
      <c r="E59" s="143" t="s">
        <v>122</v>
      </c>
      <c r="F59" s="173">
        <v>3.8066624897703196</v>
      </c>
      <c r="G59" s="173">
        <v>0.01</v>
      </c>
      <c r="H59" s="222"/>
      <c r="M59" s="185" t="s">
        <v>182</v>
      </c>
      <c r="N59" s="109">
        <v>0.1117</v>
      </c>
      <c r="O59" s="109">
        <v>0.8829</v>
      </c>
      <c r="P59" s="109">
        <v>0.0226</v>
      </c>
      <c r="Q59" s="109">
        <v>0.4299</v>
      </c>
    </row>
    <row r="60" spans="2:17" ht="12.75" customHeight="1">
      <c r="B60" s="301"/>
      <c r="C60" s="54" t="s">
        <v>129</v>
      </c>
      <c r="D60" s="142" t="s">
        <v>144</v>
      </c>
      <c r="E60" s="143" t="s">
        <v>122</v>
      </c>
      <c r="F60" s="173">
        <v>3.8066624897703196</v>
      </c>
      <c r="G60" s="173">
        <v>0.01</v>
      </c>
      <c r="H60" s="222"/>
      <c r="M60" s="291" t="s">
        <v>180</v>
      </c>
      <c r="N60" s="292"/>
      <c r="O60" s="292"/>
      <c r="P60" s="292"/>
      <c r="Q60" s="293"/>
    </row>
    <row r="61" spans="2:17" ht="12.75">
      <c r="B61" s="301"/>
      <c r="C61" s="54" t="s">
        <v>130</v>
      </c>
      <c r="D61" s="142" t="s">
        <v>144</v>
      </c>
      <c r="E61" s="144" t="s">
        <v>124</v>
      </c>
      <c r="F61" s="175">
        <v>3.8066624897703196</v>
      </c>
      <c r="G61" s="175">
        <v>0.01</v>
      </c>
      <c r="H61" s="222"/>
      <c r="M61" s="12" t="s">
        <v>2</v>
      </c>
      <c r="N61" s="189">
        <v>1</v>
      </c>
      <c r="O61" s="189">
        <v>0</v>
      </c>
      <c r="P61" s="189">
        <v>0</v>
      </c>
      <c r="Q61" s="189">
        <v>-0.0504</v>
      </c>
    </row>
    <row r="62" spans="2:29" ht="12.75">
      <c r="B62" s="301"/>
      <c r="C62" s="54" t="s">
        <v>131</v>
      </c>
      <c r="D62" s="142" t="s">
        <v>144</v>
      </c>
      <c r="E62" s="144" t="s">
        <v>124</v>
      </c>
      <c r="F62" s="175">
        <v>3.8066624897703196</v>
      </c>
      <c r="G62" s="175">
        <v>0.01</v>
      </c>
      <c r="H62" s="222"/>
      <c r="M62" s="12" t="s">
        <v>1</v>
      </c>
      <c r="N62" s="189">
        <v>0</v>
      </c>
      <c r="O62" s="189">
        <v>1</v>
      </c>
      <c r="P62" s="189">
        <v>-0.9937</v>
      </c>
      <c r="Q62" s="189">
        <v>0.9718</v>
      </c>
      <c r="AB62" s="19"/>
      <c r="AC62" s="16"/>
    </row>
    <row r="63" spans="2:29" ht="12.75">
      <c r="B63" s="301"/>
      <c r="C63" s="54" t="s">
        <v>132</v>
      </c>
      <c r="D63" s="142" t="s">
        <v>144</v>
      </c>
      <c r="E63" s="144" t="s">
        <v>124</v>
      </c>
      <c r="F63" s="175">
        <v>3.8066624897703196</v>
      </c>
      <c r="G63" s="175">
        <v>0.01</v>
      </c>
      <c r="H63" s="222"/>
      <c r="M63" s="12" t="s">
        <v>7</v>
      </c>
      <c r="N63" s="189">
        <v>0</v>
      </c>
      <c r="O63" s="189">
        <v>-0.9937</v>
      </c>
      <c r="P63" s="189">
        <v>1</v>
      </c>
      <c r="Q63" s="189">
        <v>-0.9452</v>
      </c>
      <c r="AB63" s="19"/>
      <c r="AC63" s="16"/>
    </row>
    <row r="64" spans="2:29" ht="12.75">
      <c r="B64" s="301" t="s">
        <v>14</v>
      </c>
      <c r="C64" s="54" t="s">
        <v>121</v>
      </c>
      <c r="D64" s="142" t="s">
        <v>144</v>
      </c>
      <c r="E64" s="143" t="s">
        <v>122</v>
      </c>
      <c r="F64" s="173">
        <f>LN(EXP(SensML!F64)/2)</f>
        <v>-2.0731471805599453</v>
      </c>
      <c r="G64" s="173">
        <v>0.01</v>
      </c>
      <c r="H64" s="223">
        <v>2</v>
      </c>
      <c r="J64" s="42"/>
      <c r="M64" s="12" t="s">
        <v>8</v>
      </c>
      <c r="N64" s="189">
        <v>-0.0504</v>
      </c>
      <c r="O64" s="189">
        <v>0.9718</v>
      </c>
      <c r="P64" s="189">
        <v>-0.9452</v>
      </c>
      <c r="Q64" s="189">
        <v>1</v>
      </c>
      <c r="AB64" s="19"/>
      <c r="AC64" s="16"/>
    </row>
    <row r="65" spans="2:29" ht="12.75" customHeight="1">
      <c r="B65" s="301"/>
      <c r="C65" s="54" t="s">
        <v>123</v>
      </c>
      <c r="D65" s="142" t="s">
        <v>144</v>
      </c>
      <c r="E65" s="144" t="s">
        <v>124</v>
      </c>
      <c r="F65" s="175">
        <f>LN(EXP(SensML!F65)/2)</f>
        <v>0.02771162064921491</v>
      </c>
      <c r="G65" s="175">
        <v>0.01</v>
      </c>
      <c r="H65" s="222"/>
      <c r="J65" s="42"/>
      <c r="AB65" s="19"/>
      <c r="AC65" s="16"/>
    </row>
    <row r="66" spans="2:29" ht="12.75">
      <c r="B66" s="301"/>
      <c r="C66" s="54" t="s">
        <v>125</v>
      </c>
      <c r="D66" s="142" t="s">
        <v>144</v>
      </c>
      <c r="E66" s="143" t="s">
        <v>122</v>
      </c>
      <c r="F66" s="175">
        <f>LN(EXP(SensML!F66)/2)</f>
        <v>-2.0794415416798357</v>
      </c>
      <c r="G66" s="175">
        <v>0.01</v>
      </c>
      <c r="H66" s="222"/>
      <c r="J66" s="42"/>
      <c r="AB66" s="19"/>
      <c r="AC66" s="16"/>
    </row>
    <row r="67" spans="2:29" ht="12.75">
      <c r="B67" s="301"/>
      <c r="C67" s="54" t="s">
        <v>126</v>
      </c>
      <c r="D67" s="142" t="s">
        <v>144</v>
      </c>
      <c r="E67" s="144" t="s">
        <v>124</v>
      </c>
      <c r="F67" s="175">
        <f>LN(EXP(SensML!F67)/2)</f>
        <v>-0.7366960281312857</v>
      </c>
      <c r="G67" s="175">
        <v>0.01</v>
      </c>
      <c r="H67" s="222"/>
      <c r="J67" s="42"/>
      <c r="AB67" s="19"/>
      <c r="AC67" s="16"/>
    </row>
    <row r="68" spans="2:29" ht="12.75">
      <c r="B68" s="301"/>
      <c r="C68" s="54" t="s">
        <v>127</v>
      </c>
      <c r="D68" s="142" t="s">
        <v>144</v>
      </c>
      <c r="E68" s="144" t="s">
        <v>124</v>
      </c>
      <c r="F68" s="175">
        <f>LN(EXP(SensML!F68)/2)</f>
        <v>-0.02642799128342253</v>
      </c>
      <c r="G68" s="175">
        <v>0.01</v>
      </c>
      <c r="H68" s="222"/>
      <c r="J68" s="42"/>
      <c r="AB68" s="19"/>
      <c r="AC68" s="16"/>
    </row>
    <row r="69" spans="2:29" ht="12.75">
      <c r="B69" s="301"/>
      <c r="C69" s="54" t="s">
        <v>128</v>
      </c>
      <c r="D69" s="142" t="s">
        <v>144</v>
      </c>
      <c r="E69" s="143" t="s">
        <v>122</v>
      </c>
      <c r="F69" s="173">
        <f>LN(EXP(SensML!F69)/2)</f>
        <v>-0.6408098431568242</v>
      </c>
      <c r="G69" s="173">
        <v>0.01</v>
      </c>
      <c r="H69" s="222"/>
      <c r="J69" s="42"/>
      <c r="AB69" s="19"/>
      <c r="AC69" s="16"/>
    </row>
    <row r="70" spans="2:29" ht="12.75">
      <c r="B70" s="301"/>
      <c r="C70" s="54" t="s">
        <v>129</v>
      </c>
      <c r="D70" s="142" t="s">
        <v>144</v>
      </c>
      <c r="E70" s="143" t="s">
        <v>122</v>
      </c>
      <c r="F70" s="173">
        <f>LN(EXP(SensML!F70)/2)</f>
        <v>-1.3862943611198906</v>
      </c>
      <c r="G70" s="173">
        <v>0.01</v>
      </c>
      <c r="H70" s="222"/>
      <c r="J70" s="42"/>
      <c r="AB70" s="19"/>
      <c r="AC70" s="16"/>
    </row>
    <row r="71" spans="2:10" ht="12.75">
      <c r="B71" s="301"/>
      <c r="C71" s="54" t="s">
        <v>130</v>
      </c>
      <c r="D71" s="142" t="s">
        <v>144</v>
      </c>
      <c r="E71" s="144" t="s">
        <v>124</v>
      </c>
      <c r="F71" s="175">
        <f>LN(EXP(SensML!F71)/2)</f>
        <v>1.6376727422408528</v>
      </c>
      <c r="G71" s="175">
        <v>0.01</v>
      </c>
      <c r="H71" s="222"/>
      <c r="J71" s="42"/>
    </row>
    <row r="72" spans="2:15" ht="12.75">
      <c r="B72" s="301"/>
      <c r="C72" s="54" t="s">
        <v>131</v>
      </c>
      <c r="D72" s="142" t="s">
        <v>144</v>
      </c>
      <c r="E72" s="144" t="s">
        <v>124</v>
      </c>
      <c r="F72" s="175">
        <f>LN(EXP(SensML!F72)/2)</f>
        <v>-3.8138968607747947</v>
      </c>
      <c r="G72" s="175">
        <v>0.01</v>
      </c>
      <c r="H72" s="222"/>
      <c r="J72" s="42"/>
      <c r="O72" s="126"/>
    </row>
    <row r="73" spans="2:10" ht="12.75">
      <c r="B73" s="301"/>
      <c r="C73" s="60" t="s">
        <v>132</v>
      </c>
      <c r="D73" s="146" t="s">
        <v>144</v>
      </c>
      <c r="E73" s="145" t="s">
        <v>122</v>
      </c>
      <c r="F73" s="175">
        <f>LN(EXP(SensML!F73)/2)</f>
        <v>1.0845268501847614</v>
      </c>
      <c r="G73" s="175">
        <v>0.01</v>
      </c>
      <c r="H73" s="18"/>
      <c r="J73" s="42"/>
    </row>
    <row r="74" spans="2:10" ht="12.75">
      <c r="B74" s="305" t="s">
        <v>146</v>
      </c>
      <c r="C74" s="148" t="s">
        <v>151</v>
      </c>
      <c r="D74" s="149"/>
      <c r="E74" s="303" t="s">
        <v>149</v>
      </c>
      <c r="F74" s="303"/>
      <c r="G74" s="303"/>
      <c r="H74" s="304"/>
      <c r="J74" s="42"/>
    </row>
    <row r="75" spans="2:8" ht="12.75">
      <c r="B75" s="301"/>
      <c r="C75" s="147" t="s">
        <v>22</v>
      </c>
      <c r="D75" s="59" t="s">
        <v>143</v>
      </c>
      <c r="E75" s="177">
        <v>0</v>
      </c>
      <c r="F75" s="177">
        <v>0.01</v>
      </c>
      <c r="G75" s="177">
        <v>0.1</v>
      </c>
      <c r="H75" s="177">
        <v>1</v>
      </c>
    </row>
    <row r="76" spans="2:8" ht="12.75" customHeight="1">
      <c r="B76" s="301"/>
      <c r="C76" s="141" t="s">
        <v>147</v>
      </c>
      <c r="D76" s="53" t="s">
        <v>145</v>
      </c>
      <c r="E76" s="170">
        <v>0</v>
      </c>
      <c r="F76" s="170">
        <v>1</v>
      </c>
      <c r="G76" s="170">
        <v>1</v>
      </c>
      <c r="H76" s="170">
        <v>1</v>
      </c>
    </row>
    <row r="77" spans="2:16" ht="12.75">
      <c r="B77" s="301"/>
      <c r="C77" s="141" t="s">
        <v>148</v>
      </c>
      <c r="D77" s="53" t="s">
        <v>145</v>
      </c>
      <c r="E77" s="170">
        <v>0</v>
      </c>
      <c r="F77" s="170">
        <v>1</v>
      </c>
      <c r="G77" s="170">
        <v>1</v>
      </c>
      <c r="H77" s="170">
        <v>1</v>
      </c>
      <c r="J77" s="312" t="s">
        <v>82</v>
      </c>
      <c r="K77" s="313"/>
      <c r="L77" s="313"/>
      <c r="M77" s="313"/>
      <c r="N77" s="313"/>
      <c r="O77" s="313"/>
      <c r="P77" s="314"/>
    </row>
    <row r="78" spans="2:16" ht="12.75">
      <c r="B78" s="301"/>
      <c r="C78" s="141" t="s">
        <v>123</v>
      </c>
      <c r="D78" s="53" t="s">
        <v>145</v>
      </c>
      <c r="E78" s="170">
        <v>0</v>
      </c>
      <c r="F78" s="170">
        <v>1</v>
      </c>
      <c r="G78" s="170">
        <v>1</v>
      </c>
      <c r="H78" s="170">
        <v>1</v>
      </c>
      <c r="J78" s="155" t="s">
        <v>88</v>
      </c>
      <c r="K78" s="155" t="s">
        <v>83</v>
      </c>
      <c r="L78" s="323" t="s">
        <v>84</v>
      </c>
      <c r="M78" s="323"/>
      <c r="N78" s="323"/>
      <c r="O78" s="323"/>
      <c r="P78" s="323"/>
    </row>
    <row r="79" spans="2:16" ht="12.75">
      <c r="B79" s="301"/>
      <c r="C79" s="141" t="s">
        <v>125</v>
      </c>
      <c r="D79" s="53" t="s">
        <v>145</v>
      </c>
      <c r="E79" s="170">
        <v>0</v>
      </c>
      <c r="F79" s="170">
        <v>1</v>
      </c>
      <c r="G79" s="170">
        <v>1</v>
      </c>
      <c r="H79" s="170">
        <v>1</v>
      </c>
      <c r="J79" s="159" t="s">
        <v>86</v>
      </c>
      <c r="K79" s="160">
        <v>0.01</v>
      </c>
      <c r="L79" s="310" t="s">
        <v>91</v>
      </c>
      <c r="M79" s="310"/>
      <c r="N79" s="310"/>
      <c r="O79" s="310"/>
      <c r="P79" s="310"/>
    </row>
    <row r="80" spans="2:16" ht="12.75">
      <c r="B80" s="301"/>
      <c r="C80" s="141" t="s">
        <v>126</v>
      </c>
      <c r="D80" s="53" t="s">
        <v>145</v>
      </c>
      <c r="E80" s="170">
        <v>0</v>
      </c>
      <c r="F80" s="170">
        <v>1</v>
      </c>
      <c r="G80" s="170">
        <v>1</v>
      </c>
      <c r="H80" s="170">
        <v>1</v>
      </c>
      <c r="J80" s="159" t="s">
        <v>87</v>
      </c>
      <c r="K80" s="160">
        <v>0.1</v>
      </c>
      <c r="L80" s="310" t="s">
        <v>90</v>
      </c>
      <c r="M80" s="310"/>
      <c r="N80" s="310"/>
      <c r="O80" s="310"/>
      <c r="P80" s="310"/>
    </row>
    <row r="81" spans="2:16" ht="12.75">
      <c r="B81" s="301"/>
      <c r="C81" s="141" t="s">
        <v>127</v>
      </c>
      <c r="D81" s="53" t="s">
        <v>145</v>
      </c>
      <c r="E81" s="170">
        <v>0</v>
      </c>
      <c r="F81" s="170">
        <v>1</v>
      </c>
      <c r="G81" s="170">
        <v>1</v>
      </c>
      <c r="H81" s="170">
        <v>1</v>
      </c>
      <c r="J81" s="161"/>
      <c r="K81" s="160">
        <v>1</v>
      </c>
      <c r="L81" s="310" t="s">
        <v>89</v>
      </c>
      <c r="M81" s="310"/>
      <c r="N81" s="310"/>
      <c r="O81" s="310"/>
      <c r="P81" s="310"/>
    </row>
    <row r="82" spans="2:16" ht="12.75">
      <c r="B82" s="301"/>
      <c r="C82" s="141" t="s">
        <v>128</v>
      </c>
      <c r="D82" s="53" t="s">
        <v>145</v>
      </c>
      <c r="E82" s="170">
        <v>0</v>
      </c>
      <c r="F82" s="170">
        <v>1</v>
      </c>
      <c r="G82" s="170">
        <v>1</v>
      </c>
      <c r="H82" s="170">
        <v>1</v>
      </c>
      <c r="J82" s="162"/>
      <c r="K82" s="163">
        <f>0.11*60</f>
        <v>6.6</v>
      </c>
      <c r="L82" s="310" t="s">
        <v>85</v>
      </c>
      <c r="M82" s="310"/>
      <c r="N82" s="310"/>
      <c r="O82" s="310"/>
      <c r="P82" s="310"/>
    </row>
    <row r="83" spans="2:8" ht="12.75">
      <c r="B83" s="301"/>
      <c r="C83" s="141" t="s">
        <v>129</v>
      </c>
      <c r="D83" s="53" t="s">
        <v>145</v>
      </c>
      <c r="E83" s="170">
        <v>0</v>
      </c>
      <c r="F83" s="170">
        <v>1</v>
      </c>
      <c r="G83" s="170">
        <v>1</v>
      </c>
      <c r="H83" s="170">
        <v>1</v>
      </c>
    </row>
    <row r="84" spans="2:8" ht="12.75">
      <c r="B84" s="301"/>
      <c r="C84" s="141" t="s">
        <v>130</v>
      </c>
      <c r="D84" s="53" t="s">
        <v>145</v>
      </c>
      <c r="E84" s="170">
        <v>0</v>
      </c>
      <c r="F84" s="170">
        <v>1</v>
      </c>
      <c r="G84" s="170">
        <v>1</v>
      </c>
      <c r="H84" s="170">
        <v>1</v>
      </c>
    </row>
    <row r="85" spans="2:8" ht="12.75">
      <c r="B85" s="301"/>
      <c r="C85" s="141" t="s">
        <v>131</v>
      </c>
      <c r="D85" s="53" t="s">
        <v>145</v>
      </c>
      <c r="E85" s="170">
        <v>0</v>
      </c>
      <c r="F85" s="170">
        <v>1</v>
      </c>
      <c r="G85" s="170">
        <v>1</v>
      </c>
      <c r="H85" s="170">
        <v>1</v>
      </c>
    </row>
    <row r="86" spans="2:8" ht="12.75">
      <c r="B86" s="301"/>
      <c r="C86" s="141" t="s">
        <v>132</v>
      </c>
      <c r="D86" s="53" t="s">
        <v>145</v>
      </c>
      <c r="E86" s="170">
        <v>0</v>
      </c>
      <c r="F86" s="170">
        <v>1</v>
      </c>
      <c r="G86" s="170">
        <v>1</v>
      </c>
      <c r="H86" s="170">
        <v>1</v>
      </c>
    </row>
    <row r="87" spans="2:7" ht="12.75">
      <c r="B87" s="56" t="s">
        <v>163</v>
      </c>
      <c r="C87" s="122"/>
      <c r="D87" s="122"/>
      <c r="E87" s="122"/>
      <c r="F87" s="122"/>
      <c r="G87" s="123"/>
    </row>
    <row r="88" spans="2:7" ht="12.75">
      <c r="B88" s="302" t="s">
        <v>162</v>
      </c>
      <c r="C88" s="150" t="s">
        <v>152</v>
      </c>
      <c r="D88" s="125" t="s">
        <v>17</v>
      </c>
      <c r="E88" s="283" t="s">
        <v>153</v>
      </c>
      <c r="F88" s="283"/>
      <c r="G88" s="283"/>
    </row>
    <row r="89" spans="2:7" ht="12.75">
      <c r="B89" s="302"/>
      <c r="C89" s="151" t="s">
        <v>154</v>
      </c>
      <c r="D89" s="190">
        <f>1-(D96+D97)</f>
        <v>0.7983289440446817</v>
      </c>
      <c r="E89" s="154"/>
      <c r="F89" s="59" t="s">
        <v>17</v>
      </c>
      <c r="G89" s="59" t="s">
        <v>61</v>
      </c>
    </row>
    <row r="90" spans="2:7" ht="12.75">
      <c r="B90" s="302"/>
      <c r="C90" s="287" t="s">
        <v>157</v>
      </c>
      <c r="D90" s="287"/>
      <c r="E90" s="191">
        <f>MAX(0,SensML!E90-1)</f>
        <v>0</v>
      </c>
      <c r="F90" s="201">
        <f>SensML!F90/2</f>
        <v>0.06</v>
      </c>
      <c r="G90" s="52">
        <f>F90/F96</f>
        <v>0.12</v>
      </c>
    </row>
    <row r="91" spans="2:7" ht="12.75">
      <c r="B91" s="302"/>
      <c r="C91" s="311" t="s">
        <v>158</v>
      </c>
      <c r="D91" s="311"/>
      <c r="E91" s="191">
        <f>MAX(0,SensML!E91-1)</f>
        <v>0.76</v>
      </c>
      <c r="F91" s="201">
        <f>SensML!F91/2</f>
        <v>0.0675</v>
      </c>
      <c r="G91" s="52">
        <f>F91/$F$96+G90</f>
        <v>0.255</v>
      </c>
    </row>
    <row r="92" spans="2:7" ht="12.75">
      <c r="B92" s="302"/>
      <c r="C92" s="311" t="s">
        <v>159</v>
      </c>
      <c r="D92" s="311"/>
      <c r="E92" s="191">
        <f>MAX(0,SensML!E92-1)</f>
        <v>3.9333333333333336</v>
      </c>
      <c r="F92" s="201">
        <f>SensML!F92/2</f>
        <v>0.1175</v>
      </c>
      <c r="G92" s="52">
        <f>F92/$F$96+G91</f>
        <v>0.49</v>
      </c>
    </row>
    <row r="93" spans="2:7" ht="12.75">
      <c r="B93" s="302"/>
      <c r="C93" s="311" t="s">
        <v>159</v>
      </c>
      <c r="D93" s="311"/>
      <c r="E93" s="191">
        <f>MAX(0,SensML!E93-1)</f>
        <v>5.09</v>
      </c>
      <c r="F93" s="201">
        <f>SensML!F93/2</f>
        <v>0.1175</v>
      </c>
      <c r="G93" s="52">
        <f>F93/$F$96+G92</f>
        <v>0.725</v>
      </c>
    </row>
    <row r="94" spans="2:7" ht="12.75">
      <c r="B94" s="302"/>
      <c r="C94" s="311" t="s">
        <v>160</v>
      </c>
      <c r="D94" s="311"/>
      <c r="E94" s="191">
        <f>MAX(0,SensML!E94-1)</f>
        <v>5.324444444444444</v>
      </c>
      <c r="F94" s="201">
        <f>SensML!F94/2</f>
        <v>0.0675</v>
      </c>
      <c r="G94" s="52">
        <f>F94/$F$96+G93</f>
        <v>0.86</v>
      </c>
    </row>
    <row r="95" spans="2:7" ht="12.75">
      <c r="B95" s="302"/>
      <c r="C95" s="311" t="s">
        <v>161</v>
      </c>
      <c r="D95" s="311"/>
      <c r="E95" s="191">
        <f>MAX(0,SensML!E95-1)</f>
        <v>7</v>
      </c>
      <c r="F95" s="201">
        <f>SensML!F95/2</f>
        <v>0.07</v>
      </c>
      <c r="G95" s="52">
        <f>F95/$F$96+G94</f>
        <v>1</v>
      </c>
    </row>
    <row r="96" spans="2:6" ht="12.75">
      <c r="B96" s="302"/>
      <c r="C96" s="153" t="s">
        <v>155</v>
      </c>
      <c r="D96" s="201">
        <f>SensML!D96/2</f>
        <v>0.0016710559553183143</v>
      </c>
      <c r="E96" s="191">
        <f>MAX(0,SensML!E96-1)</f>
        <v>0</v>
      </c>
      <c r="F96">
        <f>SUM(F90:F95)</f>
        <v>0.5</v>
      </c>
    </row>
    <row r="97" spans="2:5" ht="12.75">
      <c r="B97" s="302"/>
      <c r="C97" s="152" t="s">
        <v>156</v>
      </c>
      <c r="D97" s="201">
        <v>0.2</v>
      </c>
      <c r="E97" s="191">
        <f>MAX(0,SensML!E97-1)</f>
        <v>11</v>
      </c>
    </row>
    <row r="98" spans="2:4" ht="12.75">
      <c r="B98" s="317" t="s">
        <v>177</v>
      </c>
      <c r="C98" s="285"/>
      <c r="D98" s="286"/>
    </row>
    <row r="99" spans="2:4" ht="12.75">
      <c r="B99" s="316" t="s">
        <v>62</v>
      </c>
      <c r="C99" s="316"/>
      <c r="D99" s="194">
        <v>0</v>
      </c>
    </row>
    <row r="100" spans="2:4" ht="12.75">
      <c r="B100" s="316" t="s">
        <v>63</v>
      </c>
      <c r="C100" s="316"/>
      <c r="D100" s="194">
        <v>0</v>
      </c>
    </row>
    <row r="101" spans="2:4" ht="12.75">
      <c r="B101" s="298" t="s">
        <v>139</v>
      </c>
      <c r="C101" s="299"/>
      <c r="D101" s="315"/>
    </row>
    <row r="102" spans="2:4" ht="12.75">
      <c r="B102" s="308" t="s">
        <v>142</v>
      </c>
      <c r="C102" s="309"/>
      <c r="D102" s="140"/>
    </row>
    <row r="103" spans="2:4" ht="12.75">
      <c r="B103" s="308"/>
      <c r="C103" s="309"/>
      <c r="D103" s="18"/>
    </row>
    <row r="104" spans="2:4" ht="12.75">
      <c r="B104" s="308" t="s">
        <v>65</v>
      </c>
      <c r="C104" s="308"/>
      <c r="D104" s="195">
        <f>LN(1)</f>
        <v>0</v>
      </c>
    </row>
    <row r="105" spans="2:4" ht="12.75">
      <c r="B105" s="308" t="s">
        <v>21</v>
      </c>
      <c r="C105" s="308"/>
      <c r="D105" s="170">
        <f>LN(2)</f>
        <v>0.6931471805599453</v>
      </c>
    </row>
    <row r="106" spans="2:3" ht="12.75">
      <c r="B106" s="298" t="s">
        <v>136</v>
      </c>
      <c r="C106" s="300"/>
    </row>
    <row r="107" spans="2:3" ht="12.75">
      <c r="B107" s="54" t="s">
        <v>137</v>
      </c>
      <c r="C107" s="169">
        <v>0.0763</v>
      </c>
    </row>
    <row r="108" spans="2:3" ht="12.75">
      <c r="B108" s="54" t="s">
        <v>138</v>
      </c>
      <c r="C108" s="169">
        <v>38.49</v>
      </c>
    </row>
  </sheetData>
  <mergeCells count="50">
    <mergeCell ref="M60:Q60"/>
    <mergeCell ref="B50:B51"/>
    <mergeCell ref="M43:Q43"/>
    <mergeCell ref="M49:Q49"/>
    <mergeCell ref="M54:Q54"/>
    <mergeCell ref="I41:J43"/>
    <mergeCell ref="B101:D101"/>
    <mergeCell ref="B40:H40"/>
    <mergeCell ref="B13:C13"/>
    <mergeCell ref="C91:D91"/>
    <mergeCell ref="C92:D92"/>
    <mergeCell ref="C93:D93"/>
    <mergeCell ref="C94:D94"/>
    <mergeCell ref="C95:D95"/>
    <mergeCell ref="E88:G88"/>
    <mergeCell ref="B64:B73"/>
    <mergeCell ref="B102:C103"/>
    <mergeCell ref="B104:C104"/>
    <mergeCell ref="B105:C105"/>
    <mergeCell ref="B106:C106"/>
    <mergeCell ref="B99:C99"/>
    <mergeCell ref="B12:C12"/>
    <mergeCell ref="B10:C10"/>
    <mergeCell ref="B100:C100"/>
    <mergeCell ref="B74:B86"/>
    <mergeCell ref="C90:D90"/>
    <mergeCell ref="B88:B97"/>
    <mergeCell ref="B27:B28"/>
    <mergeCell ref="B25:B26"/>
    <mergeCell ref="B24:E24"/>
    <mergeCell ref="L79:P79"/>
    <mergeCell ref="L78:P78"/>
    <mergeCell ref="E74:H74"/>
    <mergeCell ref="B7:D7"/>
    <mergeCell ref="B8:C8"/>
    <mergeCell ref="B11:C11"/>
    <mergeCell ref="B9:C9"/>
    <mergeCell ref="B54:B63"/>
    <mergeCell ref="B46:B47"/>
    <mergeCell ref="B48:B49"/>
    <mergeCell ref="B98:D98"/>
    <mergeCell ref="L80:P80"/>
    <mergeCell ref="B4:C4"/>
    <mergeCell ref="B2:C2"/>
    <mergeCell ref="B3:C3"/>
    <mergeCell ref="B14:D14"/>
    <mergeCell ref="B45:K45"/>
    <mergeCell ref="L82:P82"/>
    <mergeCell ref="J77:P77"/>
    <mergeCell ref="L81:P81"/>
  </mergeCells>
  <dataValidations count="2">
    <dataValidation type="list" allowBlank="1" showInputMessage="1" showErrorMessage="1" promptTitle="Lag Method" prompt="Select &#10;ResetLag or AccumulateLag" errorTitle="Lag Method" error="Select ResetLag or AccumulateLag" sqref="D12">
      <formula1>$H$3:$H$4</formula1>
    </dataValidation>
    <dataValidation type="list" allowBlank="1" showInputMessage="1" showErrorMessage="1" promptTitle="Stochastic Growth?" prompt="Pick &quot;True&quot; if you wish to use the stochastic growth model.  Pick &quot;False&quot; if you wish to use the deterministic growth model." errorTitle="Stochastic growth" error="Select TRUE or FALSE" sqref="D13">
      <formula1>$H$5:$H$6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11"/>
  <dimension ref="B1:AD108"/>
  <sheetViews>
    <sheetView workbookViewId="0" topLeftCell="B36">
      <selection activeCell="B45" sqref="B45:K45"/>
    </sheetView>
  </sheetViews>
  <sheetFormatPr defaultColWidth="9.140625" defaultRowHeight="12.75"/>
  <cols>
    <col min="2" max="2" width="10.28125" style="0" customWidth="1"/>
    <col min="3" max="3" width="29.57421875" style="0" customWidth="1"/>
    <col min="4" max="4" width="16.421875" style="0" customWidth="1"/>
    <col min="5" max="5" width="10.57421875" style="0" bestFit="1" customWidth="1"/>
    <col min="6" max="6" width="10.00390625" style="0" customWidth="1"/>
    <col min="7" max="7" width="11.00390625" style="0" customWidth="1"/>
    <col min="12" max="12" width="11.00390625" style="0" customWidth="1"/>
    <col min="13" max="13" width="10.57421875" style="0" customWidth="1"/>
    <col min="15" max="15" width="12.28125" style="0" customWidth="1"/>
    <col min="16" max="16" width="11.140625" style="0" customWidth="1"/>
    <col min="18" max="19" width="9.00390625" style="0" customWidth="1"/>
    <col min="28" max="29" width="10.8515625" style="0" customWidth="1"/>
    <col min="30" max="30" width="14.8515625" style="0" customWidth="1"/>
    <col min="31" max="31" width="11.28125" style="0" customWidth="1"/>
    <col min="32" max="32" width="12.421875" style="0" customWidth="1"/>
    <col min="33" max="33" width="10.57421875" style="0" bestFit="1" customWidth="1"/>
    <col min="34" max="34" width="11.28125" style="0" customWidth="1"/>
    <col min="35" max="35" width="13.421875" style="0" customWidth="1"/>
    <col min="36" max="36" width="9.00390625" style="0" customWidth="1"/>
    <col min="37" max="37" width="11.57421875" style="0" customWidth="1"/>
    <col min="38" max="38" width="10.28125" style="0" customWidth="1"/>
    <col min="41" max="41" width="10.28125" style="0" bestFit="1" customWidth="1"/>
    <col min="45" max="45" width="10.00390625" style="0" customWidth="1"/>
    <col min="48" max="48" width="11.00390625" style="0" customWidth="1"/>
    <col min="49" max="49" width="9.57421875" style="0" bestFit="1" customWidth="1"/>
  </cols>
  <sheetData>
    <row r="1" ht="12.75">
      <c r="B1" s="4"/>
    </row>
    <row r="2" spans="2:12" ht="12.75">
      <c r="B2" s="295" t="s">
        <v>76</v>
      </c>
      <c r="C2" s="296"/>
      <c r="D2" s="63">
        <v>0.7575810185185184</v>
      </c>
      <c r="H2" t="s">
        <v>93</v>
      </c>
      <c r="L2" s="65"/>
    </row>
    <row r="3" spans="2:9" ht="12.75">
      <c r="B3" s="295" t="s">
        <v>75</v>
      </c>
      <c r="C3" s="296"/>
      <c r="D3" s="63">
        <v>0.7575810185185184</v>
      </c>
      <c r="H3" s="73" t="s">
        <v>79</v>
      </c>
      <c r="I3" s="74"/>
    </row>
    <row r="4" spans="2:9" ht="12.75">
      <c r="B4" s="295" t="s">
        <v>77</v>
      </c>
      <c r="C4" s="296"/>
      <c r="D4" s="64">
        <f>D2-D3</f>
        <v>0</v>
      </c>
      <c r="H4" s="73" t="s">
        <v>80</v>
      </c>
      <c r="I4" s="74"/>
    </row>
    <row r="5" spans="8:9" ht="12.75">
      <c r="H5" s="74" t="b">
        <v>1</v>
      </c>
      <c r="I5" s="74"/>
    </row>
    <row r="6" spans="8:9" ht="12.75">
      <c r="H6" s="74" t="b">
        <v>0</v>
      </c>
      <c r="I6" s="74"/>
    </row>
    <row r="7" spans="2:4" ht="12.75">
      <c r="B7" s="298" t="s">
        <v>27</v>
      </c>
      <c r="C7" s="299"/>
      <c r="D7" s="300"/>
    </row>
    <row r="8" spans="2:4" ht="12.75">
      <c r="B8" s="295" t="s">
        <v>28</v>
      </c>
      <c r="C8" s="296"/>
      <c r="D8" s="164">
        <v>10000</v>
      </c>
    </row>
    <row r="9" spans="2:4" ht="12.75">
      <c r="B9" s="295" t="s">
        <v>60</v>
      </c>
      <c r="C9" s="296"/>
      <c r="D9" s="165">
        <v>7</v>
      </c>
    </row>
    <row r="10" spans="2:4" ht="12.75">
      <c r="B10" s="295" t="s">
        <v>26</v>
      </c>
      <c r="C10" s="296"/>
      <c r="D10" s="166">
        <f>1/(24)</f>
        <v>0.041666666666666664</v>
      </c>
    </row>
    <row r="11" spans="2:4" ht="12.75" customHeight="1">
      <c r="B11" s="295" t="s">
        <v>81</v>
      </c>
      <c r="C11" s="296"/>
      <c r="D11" s="167">
        <v>104</v>
      </c>
    </row>
    <row r="12" spans="2:4" ht="12.75">
      <c r="B12" s="295" t="s">
        <v>78</v>
      </c>
      <c r="C12" s="296"/>
      <c r="D12" s="168" t="s">
        <v>80</v>
      </c>
    </row>
    <row r="13" spans="2:4" ht="12.75">
      <c r="B13" s="295" t="s">
        <v>92</v>
      </c>
      <c r="C13" s="296"/>
      <c r="D13" s="168" t="b">
        <v>1</v>
      </c>
    </row>
    <row r="14" spans="2:4" ht="12.75">
      <c r="B14" s="297" t="s">
        <v>175</v>
      </c>
      <c r="C14" s="297"/>
      <c r="D14" s="297"/>
    </row>
    <row r="15" spans="2:4" ht="12.75">
      <c r="B15" s="54" t="s">
        <v>167</v>
      </c>
      <c r="C15" s="54"/>
      <c r="D15" s="196">
        <f>0.096*2.065</f>
        <v>0.19824</v>
      </c>
    </row>
    <row r="16" spans="2:4" ht="12.75">
      <c r="B16" s="54" t="s">
        <v>168</v>
      </c>
      <c r="C16" s="54"/>
      <c r="D16" s="197">
        <v>0.0148381200925418</v>
      </c>
    </row>
    <row r="17" spans="2:4" ht="12.75">
      <c r="B17" s="54" t="s">
        <v>170</v>
      </c>
      <c r="C17" s="54"/>
      <c r="D17" s="196">
        <v>0.08615</v>
      </c>
    </row>
    <row r="18" spans="2:4" ht="12.75">
      <c r="B18" s="54" t="s">
        <v>171</v>
      </c>
      <c r="C18" s="54"/>
      <c r="D18" s="196">
        <v>0.094</v>
      </c>
    </row>
    <row r="19" spans="2:4" ht="12.75">
      <c r="B19" s="156" t="s">
        <v>173</v>
      </c>
      <c r="C19" s="54"/>
      <c r="D19" s="198">
        <v>2.86</v>
      </c>
    </row>
    <row r="20" spans="2:4" ht="12.75">
      <c r="B20" s="54" t="s">
        <v>169</v>
      </c>
      <c r="C20" s="54"/>
      <c r="D20" s="157">
        <f>1-D18</f>
        <v>0.906</v>
      </c>
    </row>
    <row r="21" spans="2:4" ht="12.75">
      <c r="B21" s="156" t="s">
        <v>170</v>
      </c>
      <c r="C21" s="54"/>
      <c r="D21" s="158">
        <f>D15*D16*D20*D17</f>
        <v>0.0002295903606306668</v>
      </c>
    </row>
    <row r="22" spans="2:4" ht="12.75">
      <c r="B22" s="156" t="s">
        <v>172</v>
      </c>
      <c r="C22" s="54"/>
      <c r="D22" s="158">
        <f>D15*D16*D17*D18*D19</f>
        <v>6.812701164674224E-05</v>
      </c>
    </row>
    <row r="23" spans="2:4" ht="12.75">
      <c r="B23" s="54" t="s">
        <v>174</v>
      </c>
      <c r="C23" s="54"/>
      <c r="D23" s="158">
        <f>D21+D22</f>
        <v>0.00029771737227740906</v>
      </c>
    </row>
    <row r="24" spans="2:5" ht="12.75" customHeight="1">
      <c r="B24" s="297" t="s">
        <v>23</v>
      </c>
      <c r="C24" s="297"/>
      <c r="D24" s="297"/>
      <c r="E24" s="297"/>
    </row>
    <row r="25" spans="2:5" ht="12.75">
      <c r="B25" s="302" t="s">
        <v>31</v>
      </c>
      <c r="C25" s="57" t="s">
        <v>143</v>
      </c>
      <c r="D25" s="57" t="s">
        <v>65</v>
      </c>
      <c r="E25" s="57" t="s">
        <v>114</v>
      </c>
    </row>
    <row r="26" spans="2:5" ht="12.75">
      <c r="B26" s="302"/>
      <c r="C26" s="54" t="s">
        <v>144</v>
      </c>
      <c r="D26" s="169">
        <v>2.6022</v>
      </c>
      <c r="E26" s="169">
        <v>1.2953</v>
      </c>
    </row>
    <row r="27" spans="2:5" ht="12.75">
      <c r="B27" s="301" t="s">
        <v>115</v>
      </c>
      <c r="C27" s="57" t="s">
        <v>143</v>
      </c>
      <c r="D27" s="57" t="s">
        <v>65</v>
      </c>
      <c r="E27" s="57" t="s">
        <v>165</v>
      </c>
    </row>
    <row r="28" spans="2:5" ht="12.75">
      <c r="B28" s="301"/>
      <c r="C28" s="54" t="s">
        <v>166</v>
      </c>
      <c r="D28" s="169">
        <v>1.39</v>
      </c>
      <c r="E28" s="170">
        <f>POISSON(0,D28,0)</f>
        <v>0.24907530463166822</v>
      </c>
    </row>
    <row r="29" spans="2:13" ht="12.75">
      <c r="B29" s="56" t="s">
        <v>112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</row>
    <row r="30" spans="2:13" ht="12.75" customHeight="1">
      <c r="B30" s="59" t="s">
        <v>110</v>
      </c>
      <c r="C30" s="59" t="s">
        <v>17</v>
      </c>
      <c r="D30" s="99" t="s">
        <v>110</v>
      </c>
      <c r="E30" s="99" t="s">
        <v>17</v>
      </c>
      <c r="F30" s="99" t="s">
        <v>110</v>
      </c>
      <c r="G30" s="99" t="s">
        <v>17</v>
      </c>
      <c r="H30" s="99" t="s">
        <v>110</v>
      </c>
      <c r="I30" s="99" t="s">
        <v>17</v>
      </c>
      <c r="J30" s="103" t="s">
        <v>111</v>
      </c>
      <c r="K30" s="59" t="s">
        <v>17</v>
      </c>
      <c r="L30" s="59" t="s">
        <v>61</v>
      </c>
      <c r="M30" s="59" t="s">
        <v>113</v>
      </c>
    </row>
    <row r="31" spans="2:13" ht="12.75">
      <c r="B31" s="53" t="s">
        <v>97</v>
      </c>
      <c r="C31" s="68">
        <f>10/54</f>
        <v>0.18518518518518517</v>
      </c>
      <c r="D31" s="100"/>
      <c r="E31" s="101"/>
      <c r="F31" s="101"/>
      <c r="G31" s="101"/>
      <c r="H31" s="101"/>
      <c r="I31" s="102"/>
      <c r="J31" s="200" t="s">
        <v>97</v>
      </c>
      <c r="K31" s="171">
        <f>C31</f>
        <v>0.18518518518518517</v>
      </c>
      <c r="L31" s="104">
        <f>K31/K40</f>
        <v>0.18518518518518517</v>
      </c>
      <c r="M31" s="142">
        <v>1</v>
      </c>
    </row>
    <row r="32" spans="2:13" ht="12.75" customHeight="1">
      <c r="B32" s="53" t="s">
        <v>98</v>
      </c>
      <c r="C32" s="67">
        <f>1-C31</f>
        <v>0.8148148148148149</v>
      </c>
      <c r="D32" s="53" t="s">
        <v>31</v>
      </c>
      <c r="E32" s="48">
        <v>0.75</v>
      </c>
      <c r="F32" s="53" t="s">
        <v>32</v>
      </c>
      <c r="G32" s="49">
        <f>(0.5-0.2)/2</f>
        <v>0.15</v>
      </c>
      <c r="H32" s="53" t="s">
        <v>99</v>
      </c>
      <c r="I32" s="105">
        <v>0.7887</v>
      </c>
      <c r="J32" s="200" t="s">
        <v>34</v>
      </c>
      <c r="K32" s="171">
        <f>C32*E32*G32*I32</f>
        <v>0.0722975</v>
      </c>
      <c r="L32" s="104">
        <f>K32/$K$40+L31</f>
        <v>0.2574826851851852</v>
      </c>
      <c r="M32" s="142">
        <v>2</v>
      </c>
    </row>
    <row r="33" spans="2:13" ht="12.75">
      <c r="B33" s="69"/>
      <c r="C33" s="9"/>
      <c r="D33" s="9"/>
      <c r="E33" s="9"/>
      <c r="F33" s="9"/>
      <c r="G33" s="9"/>
      <c r="H33" s="53" t="s">
        <v>100</v>
      </c>
      <c r="I33" s="51">
        <f>1-I32</f>
        <v>0.21130000000000004</v>
      </c>
      <c r="J33" s="200" t="s">
        <v>104</v>
      </c>
      <c r="K33" s="171">
        <f>C32*E32*G32*I33</f>
        <v>0.019369166666666673</v>
      </c>
      <c r="L33" s="104">
        <f aca="true" t="shared" si="0" ref="L33:L39">K33/$K$40+L32</f>
        <v>0.27685185185185185</v>
      </c>
      <c r="M33" s="142">
        <v>3</v>
      </c>
    </row>
    <row r="34" spans="2:13" ht="12.75" customHeight="1">
      <c r="B34" s="69"/>
      <c r="C34" s="9"/>
      <c r="D34" s="9"/>
      <c r="E34" s="9"/>
      <c r="F34" s="53" t="s">
        <v>33</v>
      </c>
      <c r="G34" s="55">
        <f>1-G32</f>
        <v>0.85</v>
      </c>
      <c r="H34" s="53" t="s">
        <v>99</v>
      </c>
      <c r="I34" s="51">
        <f>I32/2</f>
        <v>0.39435</v>
      </c>
      <c r="J34" s="200" t="s">
        <v>35</v>
      </c>
      <c r="K34" s="171">
        <f>C32*E32*G34*I34</f>
        <v>0.20484291666666668</v>
      </c>
      <c r="L34" s="104">
        <f t="shared" si="0"/>
        <v>0.48169476851851856</v>
      </c>
      <c r="M34" s="142">
        <v>4</v>
      </c>
    </row>
    <row r="35" spans="2:13" ht="12.75">
      <c r="B35" s="69"/>
      <c r="C35" s="9"/>
      <c r="D35" s="9"/>
      <c r="E35" s="9"/>
      <c r="F35" s="9"/>
      <c r="G35" s="9"/>
      <c r="H35" s="53" t="s">
        <v>100</v>
      </c>
      <c r="I35" s="51">
        <f>1-I34</f>
        <v>0.60565</v>
      </c>
      <c r="J35" s="200" t="s">
        <v>105</v>
      </c>
      <c r="K35" s="171">
        <f>C32*E32*G34*I35</f>
        <v>0.31460152777777783</v>
      </c>
      <c r="L35" s="104">
        <f t="shared" si="0"/>
        <v>0.7962962962962964</v>
      </c>
      <c r="M35" s="142">
        <v>5</v>
      </c>
    </row>
    <row r="36" spans="2:13" ht="12.75">
      <c r="B36" s="69"/>
      <c r="C36" s="9"/>
      <c r="D36" s="53" t="s">
        <v>103</v>
      </c>
      <c r="E36" s="52">
        <f>1-E32</f>
        <v>0.25</v>
      </c>
      <c r="F36" s="53" t="s">
        <v>30</v>
      </c>
      <c r="G36" s="68">
        <f>1-G38</f>
        <v>0.896551724137931</v>
      </c>
      <c r="H36" s="53" t="s">
        <v>101</v>
      </c>
      <c r="I36" s="51">
        <f>1-I37</f>
        <v>0.9327929212128054</v>
      </c>
      <c r="J36" s="200" t="s">
        <v>106</v>
      </c>
      <c r="K36" s="171">
        <f>C32*E36*G36*I36</f>
        <v>0.17035681702864774</v>
      </c>
      <c r="L36" s="104">
        <f t="shared" si="0"/>
        <v>0.9666531133249441</v>
      </c>
      <c r="M36" s="142">
        <v>6</v>
      </c>
    </row>
    <row r="37" spans="2:13" ht="12.75" customHeight="1">
      <c r="B37" s="69"/>
      <c r="C37" s="9"/>
      <c r="D37" s="9"/>
      <c r="E37" s="9"/>
      <c r="F37" s="9"/>
      <c r="G37" s="9"/>
      <c r="H37" s="53" t="s">
        <v>102</v>
      </c>
      <c r="I37" s="51">
        <f>I39</f>
        <v>0.06720707878719459</v>
      </c>
      <c r="J37" s="200" t="s">
        <v>107</v>
      </c>
      <c r="K37" s="171">
        <f>C32*E36*G36*I37</f>
        <v>0.012274089740190073</v>
      </c>
      <c r="L37" s="104">
        <f t="shared" si="0"/>
        <v>0.9789272030651341</v>
      </c>
      <c r="M37" s="142">
        <v>7</v>
      </c>
    </row>
    <row r="38" spans="2:13" ht="12.75">
      <c r="B38" s="69"/>
      <c r="C38" s="9"/>
      <c r="D38" s="9"/>
      <c r="E38" s="9"/>
      <c r="F38" s="53" t="s">
        <v>29</v>
      </c>
      <c r="G38" s="106">
        <f>3/29</f>
        <v>0.10344827586206896</v>
      </c>
      <c r="H38" s="53" t="s">
        <v>101</v>
      </c>
      <c r="I38" s="51">
        <f>1-I39</f>
        <v>0.9327929212128054</v>
      </c>
      <c r="J38" s="200" t="s">
        <v>108</v>
      </c>
      <c r="K38" s="171">
        <f>C32*E36*G38*I38</f>
        <v>0.019656555810997817</v>
      </c>
      <c r="L38" s="104">
        <f t="shared" si="0"/>
        <v>0.9985837588761319</v>
      </c>
      <c r="M38" s="142">
        <v>8</v>
      </c>
    </row>
    <row r="39" spans="2:13" ht="12.75">
      <c r="B39" s="46"/>
      <c r="C39" s="31"/>
      <c r="D39" s="31"/>
      <c r="E39" s="31"/>
      <c r="F39" s="31"/>
      <c r="G39" s="31"/>
      <c r="H39" s="53" t="s">
        <v>102</v>
      </c>
      <c r="I39" s="50">
        <f>4/(((2*(1-0.96813))*871)+4)</f>
        <v>0.06720707878719459</v>
      </c>
      <c r="J39" s="200" t="s">
        <v>109</v>
      </c>
      <c r="K39" s="171">
        <f>C32*E36*G38*I39</f>
        <v>0.0014162411238680852</v>
      </c>
      <c r="L39" s="104">
        <f t="shared" si="0"/>
        <v>1</v>
      </c>
      <c r="M39" s="142">
        <v>9</v>
      </c>
    </row>
    <row r="40" spans="2:30" ht="12.75">
      <c r="B40" s="298" t="s">
        <v>43</v>
      </c>
      <c r="C40" s="299"/>
      <c r="D40" s="299"/>
      <c r="E40" s="299"/>
      <c r="F40" s="299"/>
      <c r="G40" s="299"/>
      <c r="H40" s="300"/>
      <c r="K40" s="19">
        <f>SUM(K31:K39)</f>
        <v>1</v>
      </c>
      <c r="AD40" s="43"/>
    </row>
    <row r="41" spans="2:30" ht="12.75" customHeight="1">
      <c r="B41" s="57" t="s">
        <v>38</v>
      </c>
      <c r="C41" s="57" t="s">
        <v>39</v>
      </c>
      <c r="D41" s="57" t="s">
        <v>42</v>
      </c>
      <c r="E41" s="58" t="s">
        <v>41</v>
      </c>
      <c r="F41" s="13"/>
      <c r="G41" s="7"/>
      <c r="H41" s="8"/>
      <c r="I41" s="284" t="s">
        <v>448</v>
      </c>
      <c r="J41" s="318"/>
      <c r="AD41" s="43"/>
    </row>
    <row r="42" spans="2:10" ht="12.75">
      <c r="B42" s="48">
        <v>67.225</v>
      </c>
      <c r="C42" s="48">
        <v>-1.1969</v>
      </c>
      <c r="D42" s="52">
        <f>4.18+E42</f>
        <v>1.9847999999999857</v>
      </c>
      <c r="E42" s="55">
        <f>B42+C42*D44</f>
        <v>-2.195200000000014</v>
      </c>
      <c r="F42" s="46"/>
      <c r="G42" s="31"/>
      <c r="H42" s="11"/>
      <c r="I42" s="319"/>
      <c r="J42" s="320"/>
    </row>
    <row r="43" spans="2:17" ht="12.75">
      <c r="B43" s="57" t="s">
        <v>36</v>
      </c>
      <c r="C43" s="57" t="s">
        <v>18</v>
      </c>
      <c r="D43" s="57" t="s">
        <v>40</v>
      </c>
      <c r="E43" s="57" t="s">
        <v>44</v>
      </c>
      <c r="F43" s="59" t="s">
        <v>8</v>
      </c>
      <c r="G43" s="59" t="s">
        <v>45</v>
      </c>
      <c r="H43" s="59" t="s">
        <v>47</v>
      </c>
      <c r="I43" s="321"/>
      <c r="J43" s="322"/>
      <c r="M43" s="288" t="s">
        <v>178</v>
      </c>
      <c r="N43" s="289"/>
      <c r="O43" s="289"/>
      <c r="P43" s="289"/>
      <c r="Q43" s="290"/>
    </row>
    <row r="44" spans="2:17" ht="12.75">
      <c r="B44" s="205">
        <f>-EXP(D42)</f>
        <v>-7.27759172154746</v>
      </c>
      <c r="C44" s="205">
        <f>EXP(E42)</f>
        <v>0.11133629201963281</v>
      </c>
      <c r="D44" s="202">
        <v>58</v>
      </c>
      <c r="E44" s="224">
        <v>0</v>
      </c>
      <c r="F44" s="203">
        <v>0.11</v>
      </c>
      <c r="G44" s="203">
        <v>0.25</v>
      </c>
      <c r="H44" s="204">
        <v>0</v>
      </c>
      <c r="I44" s="52">
        <f>IF(E44=0,1,J44)</f>
        <v>1</v>
      </c>
      <c r="J44" s="223">
        <v>1</v>
      </c>
      <c r="M44" s="112" t="s">
        <v>6</v>
      </c>
      <c r="N44" s="112" t="s">
        <v>0</v>
      </c>
      <c r="O44" s="112" t="s">
        <v>1</v>
      </c>
      <c r="P44" s="112"/>
      <c r="Q44" s="112" t="s">
        <v>2</v>
      </c>
    </row>
    <row r="45" spans="2:17" ht="12.75" customHeight="1">
      <c r="B45" s="297" t="s">
        <v>164</v>
      </c>
      <c r="C45" s="297"/>
      <c r="D45" s="297"/>
      <c r="E45" s="297"/>
      <c r="F45" s="297"/>
      <c r="G45" s="297"/>
      <c r="H45" s="297"/>
      <c r="I45" s="297"/>
      <c r="J45" s="297"/>
      <c r="K45" s="297"/>
      <c r="M45" s="178" t="s">
        <v>3</v>
      </c>
      <c r="N45" s="179">
        <v>-0.9337</v>
      </c>
      <c r="O45" s="179">
        <v>0.2108</v>
      </c>
      <c r="P45" s="179"/>
      <c r="Q45" s="179">
        <v>-0.8272</v>
      </c>
    </row>
    <row r="46" spans="2:17" ht="12.75">
      <c r="B46" s="306" t="s">
        <v>24</v>
      </c>
      <c r="C46" s="57" t="s">
        <v>6</v>
      </c>
      <c r="D46" s="57" t="s">
        <v>0</v>
      </c>
      <c r="E46" s="57" t="s">
        <v>1</v>
      </c>
      <c r="F46" s="57" t="s">
        <v>18</v>
      </c>
      <c r="G46" s="57" t="s">
        <v>19</v>
      </c>
      <c r="H46" s="57" t="s">
        <v>12</v>
      </c>
      <c r="I46" s="57" t="s">
        <v>20</v>
      </c>
      <c r="J46" s="57" t="s">
        <v>4</v>
      </c>
      <c r="K46" s="57" t="s">
        <v>176</v>
      </c>
      <c r="M46" s="180"/>
      <c r="N46" s="181"/>
      <c r="O46" s="181"/>
      <c r="P46" s="181"/>
      <c r="Q46" s="182"/>
    </row>
    <row r="47" spans="2:17" ht="12.75">
      <c r="B47" s="307"/>
      <c r="C47" s="60" t="s">
        <v>3</v>
      </c>
      <c r="D47" s="172">
        <v>-1.0063</v>
      </c>
      <c r="E47" s="172">
        <v>0.2219</v>
      </c>
      <c r="F47" s="172">
        <v>0.4007</v>
      </c>
      <c r="G47" s="206">
        <v>45.5733</v>
      </c>
      <c r="H47" s="207">
        <v>0.3864</v>
      </c>
      <c r="I47" s="206">
        <v>0.303</v>
      </c>
      <c r="J47" s="208">
        <f>10.59</f>
        <v>10.59</v>
      </c>
      <c r="K47" s="209">
        <v>1</v>
      </c>
      <c r="M47" s="183" t="s">
        <v>3</v>
      </c>
      <c r="N47" s="184">
        <v>-0.9337</v>
      </c>
      <c r="O47" s="184">
        <v>0.2108</v>
      </c>
      <c r="P47" s="184"/>
      <c r="Q47" s="184">
        <v>-0.8272</v>
      </c>
    </row>
    <row r="48" spans="2:17" ht="12.75">
      <c r="B48" s="306" t="s">
        <v>10</v>
      </c>
      <c r="C48" s="57" t="s">
        <v>6</v>
      </c>
      <c r="D48" s="57" t="s">
        <v>2</v>
      </c>
      <c r="E48" s="57" t="s">
        <v>1</v>
      </c>
      <c r="F48" s="57" t="s">
        <v>7</v>
      </c>
      <c r="G48" s="58" t="s">
        <v>8</v>
      </c>
      <c r="H48" s="57" t="s">
        <v>9</v>
      </c>
      <c r="I48" s="7"/>
      <c r="J48" s="7"/>
      <c r="K48" s="8"/>
      <c r="M48" s="185" t="s">
        <v>179</v>
      </c>
      <c r="N48" s="186">
        <v>0.29</v>
      </c>
      <c r="O48" s="186">
        <v>0.01323</v>
      </c>
      <c r="P48" s="186"/>
      <c r="Q48" s="186">
        <v>0.2377</v>
      </c>
    </row>
    <row r="49" spans="2:17" ht="12.75">
      <c r="B49" s="307"/>
      <c r="C49" s="60" t="s">
        <v>3</v>
      </c>
      <c r="D49" s="169">
        <f>N58</f>
        <v>1.3103</v>
      </c>
      <c r="E49" s="169">
        <f>O58</f>
        <v>-1.5087</v>
      </c>
      <c r="F49" s="169">
        <f>P58</f>
        <v>0.0751</v>
      </c>
      <c r="G49" s="169">
        <f>Q58</f>
        <v>3.4825</v>
      </c>
      <c r="H49" s="169">
        <v>1</v>
      </c>
      <c r="I49" s="9"/>
      <c r="J49" s="9"/>
      <c r="K49" s="10"/>
      <c r="M49" s="291" t="s">
        <v>180</v>
      </c>
      <c r="N49" s="292"/>
      <c r="O49" s="292"/>
      <c r="P49" s="292"/>
      <c r="Q49" s="293"/>
    </row>
    <row r="50" spans="2:17" ht="12.75">
      <c r="B50" s="306" t="s">
        <v>25</v>
      </c>
      <c r="C50" s="57" t="s">
        <v>6</v>
      </c>
      <c r="D50" s="57" t="s">
        <v>21</v>
      </c>
      <c r="E50" s="57" t="s">
        <v>4</v>
      </c>
      <c r="F50" s="57" t="s">
        <v>5</v>
      </c>
      <c r="G50" s="57" t="s">
        <v>67</v>
      </c>
      <c r="H50" s="9"/>
      <c r="I50" s="9"/>
      <c r="J50" s="9"/>
      <c r="K50" s="10"/>
      <c r="M50" s="12" t="s">
        <v>0</v>
      </c>
      <c r="N50" s="186">
        <v>1</v>
      </c>
      <c r="O50" s="186">
        <v>-0.8249</v>
      </c>
      <c r="P50" s="186"/>
      <c r="Q50" s="186">
        <v>-0.05672</v>
      </c>
    </row>
    <row r="51" spans="2:17" ht="12.75">
      <c r="B51" s="307"/>
      <c r="C51" s="54" t="s">
        <v>3</v>
      </c>
      <c r="D51" s="169">
        <v>0.385</v>
      </c>
      <c r="E51" s="52">
        <f>5.5+LOG(50)</f>
        <v>7.198970004336019</v>
      </c>
      <c r="F51" s="210">
        <f>1/((2*EXP(G51))-1)</f>
        <v>0.003380361849030984</v>
      </c>
      <c r="G51" s="169">
        <v>5</v>
      </c>
      <c r="H51" s="47"/>
      <c r="I51" s="47"/>
      <c r="J51" s="47"/>
      <c r="K51" s="11"/>
      <c r="M51" s="12" t="s">
        <v>1</v>
      </c>
      <c r="N51" s="186">
        <v>-0.8249</v>
      </c>
      <c r="O51" s="186">
        <v>1</v>
      </c>
      <c r="P51" s="186"/>
      <c r="Q51" s="186">
        <v>-0.06133</v>
      </c>
    </row>
    <row r="52" spans="2:17" ht="12.75" customHeight="1">
      <c r="B52" s="56" t="s">
        <v>150</v>
      </c>
      <c r="C52" s="61"/>
      <c r="D52" s="122"/>
      <c r="E52" s="122"/>
      <c r="F52" s="122"/>
      <c r="G52" s="62"/>
      <c r="M52" s="12" t="s">
        <v>2</v>
      </c>
      <c r="N52" s="186">
        <v>-0.05672</v>
      </c>
      <c r="O52" s="186">
        <v>-0.06133</v>
      </c>
      <c r="P52" s="186"/>
      <c r="Q52" s="186">
        <v>1</v>
      </c>
    </row>
    <row r="53" spans="2:8" ht="12.75">
      <c r="B53" s="124"/>
      <c r="C53" s="125" t="s">
        <v>22</v>
      </c>
      <c r="D53" s="57" t="s">
        <v>143</v>
      </c>
      <c r="E53" s="57" t="s">
        <v>133</v>
      </c>
      <c r="F53" s="57" t="s">
        <v>65</v>
      </c>
      <c r="G53" s="57" t="s">
        <v>120</v>
      </c>
      <c r="H53" s="57" t="s">
        <v>69</v>
      </c>
    </row>
    <row r="54" spans="2:17" ht="12.75">
      <c r="B54" s="301" t="s">
        <v>15</v>
      </c>
      <c r="C54" s="54" t="s">
        <v>121</v>
      </c>
      <c r="D54" s="142" t="s">
        <v>144</v>
      </c>
      <c r="E54" s="143" t="s">
        <v>122</v>
      </c>
      <c r="F54" s="173">
        <v>4.31748811353631</v>
      </c>
      <c r="G54" s="173">
        <v>0.15</v>
      </c>
      <c r="H54" s="140"/>
      <c r="I54" s="42"/>
      <c r="M54" s="294" t="s">
        <v>181</v>
      </c>
      <c r="N54" s="294"/>
      <c r="O54" s="294"/>
      <c r="P54" s="294"/>
      <c r="Q54" s="294"/>
    </row>
    <row r="55" spans="2:17" ht="12.75">
      <c r="B55" s="301"/>
      <c r="C55" s="54" t="s">
        <v>123</v>
      </c>
      <c r="D55" s="142" t="s">
        <v>144</v>
      </c>
      <c r="E55" s="144" t="s">
        <v>124</v>
      </c>
      <c r="F55" s="174">
        <v>4.008218657008211</v>
      </c>
      <c r="G55" s="174">
        <v>0.1356504682374151</v>
      </c>
      <c r="H55" s="222"/>
      <c r="M55" s="112" t="s">
        <v>6</v>
      </c>
      <c r="N55" s="112" t="s">
        <v>2</v>
      </c>
      <c r="O55" s="112" t="s">
        <v>1</v>
      </c>
      <c r="P55" s="112" t="s">
        <v>7</v>
      </c>
      <c r="Q55" s="112" t="s">
        <v>8</v>
      </c>
    </row>
    <row r="56" spans="2:17" ht="12.75">
      <c r="B56" s="301"/>
      <c r="C56" s="54" t="s">
        <v>125</v>
      </c>
      <c r="D56" s="142" t="s">
        <v>144</v>
      </c>
      <c r="E56" s="144" t="s">
        <v>124</v>
      </c>
      <c r="F56" s="175">
        <v>3.920908388550437</v>
      </c>
      <c r="G56" s="175">
        <v>0.13518587475694585</v>
      </c>
      <c r="H56" s="222"/>
      <c r="M56" s="178" t="s">
        <v>3</v>
      </c>
      <c r="N56" s="187">
        <v>1.3103</v>
      </c>
      <c r="O56" s="187">
        <v>-1.5087</v>
      </c>
      <c r="P56" s="187">
        <v>0.0751</v>
      </c>
      <c r="Q56" s="187">
        <v>3.4825</v>
      </c>
    </row>
    <row r="57" spans="2:17" ht="12.75">
      <c r="B57" s="301"/>
      <c r="C57" s="54" t="s">
        <v>126</v>
      </c>
      <c r="D57" s="142" t="s">
        <v>144</v>
      </c>
      <c r="E57" s="144" t="s">
        <v>124</v>
      </c>
      <c r="F57" s="175">
        <v>3.856636781952395</v>
      </c>
      <c r="G57" s="175">
        <v>0.15018771550071305</v>
      </c>
      <c r="H57" s="222"/>
      <c r="K57" s="42"/>
      <c r="M57" s="188"/>
      <c r="N57" s="101"/>
      <c r="O57" s="101"/>
      <c r="P57" s="101"/>
      <c r="Q57" s="102"/>
    </row>
    <row r="58" spans="2:17" ht="12.75" customHeight="1">
      <c r="B58" s="301"/>
      <c r="C58" s="54" t="s">
        <v>127</v>
      </c>
      <c r="D58" s="142" t="s">
        <v>144</v>
      </c>
      <c r="E58" s="144" t="s">
        <v>124</v>
      </c>
      <c r="F58" s="175">
        <v>3.9690771145537576</v>
      </c>
      <c r="G58" s="175">
        <v>0.1390343767249419</v>
      </c>
      <c r="H58" s="222"/>
      <c r="M58" s="183" t="s">
        <v>3</v>
      </c>
      <c r="N58" s="187">
        <v>1.3103</v>
      </c>
      <c r="O58" s="187">
        <v>-1.5087</v>
      </c>
      <c r="P58" s="187">
        <v>0.0751</v>
      </c>
      <c r="Q58" s="187">
        <v>3.4825</v>
      </c>
    </row>
    <row r="59" spans="2:17" ht="12.75">
      <c r="B59" s="301"/>
      <c r="C59" s="54" t="s">
        <v>128</v>
      </c>
      <c r="D59" s="142" t="s">
        <v>144</v>
      </c>
      <c r="E59" s="143" t="s">
        <v>122</v>
      </c>
      <c r="F59" s="173">
        <v>3.871816226853579</v>
      </c>
      <c r="G59" s="173">
        <v>0.15018771550071305</v>
      </c>
      <c r="H59" s="222"/>
      <c r="M59" s="185" t="s">
        <v>182</v>
      </c>
      <c r="N59" s="109">
        <v>0.1117</v>
      </c>
      <c r="O59" s="109">
        <v>0.8829</v>
      </c>
      <c r="P59" s="109">
        <v>0.0226</v>
      </c>
      <c r="Q59" s="109">
        <v>0.4299</v>
      </c>
    </row>
    <row r="60" spans="2:17" ht="12.75" customHeight="1">
      <c r="B60" s="301"/>
      <c r="C60" s="54" t="s">
        <v>129</v>
      </c>
      <c r="D60" s="142" t="s">
        <v>144</v>
      </c>
      <c r="E60" s="143" t="s">
        <v>122</v>
      </c>
      <c r="F60" s="173">
        <v>3.940366327360699</v>
      </c>
      <c r="G60" s="173">
        <v>0.15</v>
      </c>
      <c r="H60" s="222"/>
      <c r="M60" s="291" t="s">
        <v>180</v>
      </c>
      <c r="N60" s="292"/>
      <c r="O60" s="292"/>
      <c r="P60" s="292"/>
      <c r="Q60" s="293"/>
    </row>
    <row r="61" spans="2:17" ht="12.75">
      <c r="B61" s="301"/>
      <c r="C61" s="54" t="s">
        <v>130</v>
      </c>
      <c r="D61" s="142" t="s">
        <v>144</v>
      </c>
      <c r="E61" s="144" t="s">
        <v>124</v>
      </c>
      <c r="F61" s="175">
        <v>3.662513201338808</v>
      </c>
      <c r="G61" s="175">
        <v>0.09857523914148338</v>
      </c>
      <c r="H61" s="222"/>
      <c r="M61" s="12" t="s">
        <v>2</v>
      </c>
      <c r="N61" s="189">
        <v>1</v>
      </c>
      <c r="O61" s="189">
        <v>0</v>
      </c>
      <c r="P61" s="189">
        <v>0</v>
      </c>
      <c r="Q61" s="189">
        <v>-0.0504</v>
      </c>
    </row>
    <row r="62" spans="2:29" ht="12.75">
      <c r="B62" s="301"/>
      <c r="C62" s="54" t="s">
        <v>131</v>
      </c>
      <c r="D62" s="142" t="s">
        <v>144</v>
      </c>
      <c r="E62" s="144" t="s">
        <v>124</v>
      </c>
      <c r="F62" s="175">
        <v>4.415172288584312</v>
      </c>
      <c r="G62" s="175">
        <v>0.1418634529761184</v>
      </c>
      <c r="H62" s="222"/>
      <c r="M62" s="12" t="s">
        <v>1</v>
      </c>
      <c r="N62" s="189">
        <v>0</v>
      </c>
      <c r="O62" s="189">
        <v>1</v>
      </c>
      <c r="P62" s="189">
        <v>-0.9937</v>
      </c>
      <c r="Q62" s="189">
        <v>0.9718</v>
      </c>
      <c r="AB62" s="19"/>
      <c r="AC62" s="16"/>
    </row>
    <row r="63" spans="2:29" ht="12.75">
      <c r="B63" s="301"/>
      <c r="C63" s="54" t="s">
        <v>132</v>
      </c>
      <c r="D63" s="142" t="s">
        <v>144</v>
      </c>
      <c r="E63" s="144" t="s">
        <v>124</v>
      </c>
      <c r="F63" s="175">
        <v>3.6566406692021167</v>
      </c>
      <c r="G63" s="175">
        <v>0.10614428449329977</v>
      </c>
      <c r="H63" s="222"/>
      <c r="M63" s="12" t="s">
        <v>7</v>
      </c>
      <c r="N63" s="189">
        <v>0</v>
      </c>
      <c r="O63" s="189">
        <v>-0.9937</v>
      </c>
      <c r="P63" s="189">
        <v>1</v>
      </c>
      <c r="Q63" s="189">
        <v>-0.9452</v>
      </c>
      <c r="AB63" s="19"/>
      <c r="AC63" s="16"/>
    </row>
    <row r="64" spans="2:29" ht="12.75">
      <c r="B64" s="301" t="s">
        <v>14</v>
      </c>
      <c r="C64" s="54" t="s">
        <v>121</v>
      </c>
      <c r="D64" s="142" t="s">
        <v>144</v>
      </c>
      <c r="E64" s="143" t="s">
        <v>122</v>
      </c>
      <c r="F64" s="173">
        <v>-1.38</v>
      </c>
      <c r="G64" s="173">
        <v>0.594326532941044</v>
      </c>
      <c r="H64" s="223">
        <v>2</v>
      </c>
      <c r="J64" s="42"/>
      <c r="M64" s="12" t="s">
        <v>8</v>
      </c>
      <c r="N64" s="189">
        <v>-0.0504</v>
      </c>
      <c r="O64" s="189">
        <v>0.9718</v>
      </c>
      <c r="P64" s="189">
        <v>-0.9452</v>
      </c>
      <c r="Q64" s="189">
        <v>1</v>
      </c>
      <c r="AB64" s="19"/>
      <c r="AC64" s="16"/>
    </row>
    <row r="65" spans="2:29" ht="12.75" customHeight="1">
      <c r="B65" s="301"/>
      <c r="C65" s="54" t="s">
        <v>123</v>
      </c>
      <c r="D65" s="142" t="s">
        <v>144</v>
      </c>
      <c r="E65" s="144" t="s">
        <v>124</v>
      </c>
      <c r="F65" s="174">
        <v>0.7208588012091602</v>
      </c>
      <c r="G65" s="174">
        <v>0.594326532941044</v>
      </c>
      <c r="H65" s="222"/>
      <c r="J65" s="42"/>
      <c r="AB65" s="19"/>
      <c r="AC65" s="16"/>
    </row>
    <row r="66" spans="2:29" ht="12.75">
      <c r="B66" s="301"/>
      <c r="C66" s="54" t="s">
        <v>125</v>
      </c>
      <c r="D66" s="142" t="s">
        <v>144</v>
      </c>
      <c r="E66" s="143" t="s">
        <v>122</v>
      </c>
      <c r="F66" s="173">
        <v>-1.3862943611198906</v>
      </c>
      <c r="G66" s="173">
        <v>0.59</v>
      </c>
      <c r="H66" s="222"/>
      <c r="J66" s="42"/>
      <c r="AB66" s="19"/>
      <c r="AC66" s="16"/>
    </row>
    <row r="67" spans="2:29" ht="12.75">
      <c r="B67" s="301"/>
      <c r="C67" s="54" t="s">
        <v>126</v>
      </c>
      <c r="D67" s="142" t="s">
        <v>144</v>
      </c>
      <c r="E67" s="144" t="s">
        <v>124</v>
      </c>
      <c r="F67" s="175">
        <v>-0.04354884757134036</v>
      </c>
      <c r="G67" s="175">
        <v>1.3325519681244338</v>
      </c>
      <c r="H67" s="222"/>
      <c r="J67" s="42"/>
      <c r="AB67" s="19"/>
      <c r="AC67" s="16"/>
    </row>
    <row r="68" spans="2:29" ht="12.75">
      <c r="B68" s="301"/>
      <c r="C68" s="54" t="s">
        <v>127</v>
      </c>
      <c r="D68" s="142" t="s">
        <v>144</v>
      </c>
      <c r="E68" s="144" t="s">
        <v>124</v>
      </c>
      <c r="F68" s="175">
        <v>0.6667191892765227</v>
      </c>
      <c r="G68" s="175">
        <v>0.8866819091081973</v>
      </c>
      <c r="H68" s="222"/>
      <c r="J68" s="42"/>
      <c r="AB68" s="19"/>
      <c r="AC68" s="16"/>
    </row>
    <row r="69" spans="2:29" ht="12.75">
      <c r="B69" s="301"/>
      <c r="C69" s="54" t="s">
        <v>128</v>
      </c>
      <c r="D69" s="142" t="s">
        <v>144</v>
      </c>
      <c r="E69" s="143" t="s">
        <v>122</v>
      </c>
      <c r="F69" s="173">
        <v>0.05233733740312117</v>
      </c>
      <c r="G69" s="173">
        <v>1.3325519681244338</v>
      </c>
      <c r="H69" s="222"/>
      <c r="J69" s="42"/>
      <c r="AB69" s="19"/>
      <c r="AC69" s="16"/>
    </row>
    <row r="70" spans="2:29" ht="12.75">
      <c r="B70" s="301"/>
      <c r="C70" s="54" t="s">
        <v>129</v>
      </c>
      <c r="D70" s="142" t="s">
        <v>144</v>
      </c>
      <c r="E70" s="143" t="s">
        <v>122</v>
      </c>
      <c r="F70" s="173">
        <v>-0.6931471805599453</v>
      </c>
      <c r="G70" s="173">
        <v>0.59</v>
      </c>
      <c r="H70" s="222"/>
      <c r="J70" s="42"/>
      <c r="AB70" s="19"/>
      <c r="AC70" s="16"/>
    </row>
    <row r="71" spans="2:10" ht="12.75">
      <c r="B71" s="301"/>
      <c r="C71" s="54" t="s">
        <v>130</v>
      </c>
      <c r="D71" s="142" t="s">
        <v>144</v>
      </c>
      <c r="E71" s="144" t="s">
        <v>124</v>
      </c>
      <c r="F71" s="175">
        <v>2.330819922800798</v>
      </c>
      <c r="G71" s="175">
        <v>0.5851779254091566</v>
      </c>
      <c r="H71" s="222"/>
      <c r="J71" s="42"/>
    </row>
    <row r="72" spans="2:15" ht="12.75">
      <c r="B72" s="301"/>
      <c r="C72" s="54" t="s">
        <v>131</v>
      </c>
      <c r="D72" s="142" t="s">
        <v>144</v>
      </c>
      <c r="E72" s="144" t="s">
        <v>124</v>
      </c>
      <c r="F72" s="175">
        <v>-3.1207496802148493</v>
      </c>
      <c r="G72" s="175">
        <v>0.3731698633502608</v>
      </c>
      <c r="H72" s="222"/>
      <c r="J72" s="42"/>
      <c r="O72" s="126"/>
    </row>
    <row r="73" spans="2:10" ht="12.75">
      <c r="B73" s="301"/>
      <c r="C73" s="60" t="s">
        <v>132</v>
      </c>
      <c r="D73" s="146" t="s">
        <v>144</v>
      </c>
      <c r="E73" s="145" t="s">
        <v>122</v>
      </c>
      <c r="F73" s="176">
        <v>1.7776740307447068</v>
      </c>
      <c r="G73" s="176">
        <v>0.5851779254091566</v>
      </c>
      <c r="H73" s="18"/>
      <c r="J73" s="42"/>
    </row>
    <row r="74" spans="2:10" ht="12.75">
      <c r="B74" s="305" t="s">
        <v>146</v>
      </c>
      <c r="C74" s="148" t="s">
        <v>151</v>
      </c>
      <c r="D74" s="149"/>
      <c r="E74" s="303" t="s">
        <v>149</v>
      </c>
      <c r="F74" s="303"/>
      <c r="G74" s="303"/>
      <c r="H74" s="304"/>
      <c r="J74" s="42"/>
    </row>
    <row r="75" spans="2:8" ht="12.75">
      <c r="B75" s="301"/>
      <c r="C75" s="147" t="s">
        <v>22</v>
      </c>
      <c r="D75" s="59" t="s">
        <v>143</v>
      </c>
      <c r="E75" s="177">
        <v>0</v>
      </c>
      <c r="F75" s="177">
        <v>0.01</v>
      </c>
      <c r="G75" s="177">
        <v>0.1</v>
      </c>
      <c r="H75" s="177">
        <v>1</v>
      </c>
    </row>
    <row r="76" spans="2:8" ht="12.75" customHeight="1">
      <c r="B76" s="301"/>
      <c r="C76" s="141" t="s">
        <v>147</v>
      </c>
      <c r="D76" s="53" t="s">
        <v>145</v>
      </c>
      <c r="E76" s="170">
        <v>0</v>
      </c>
      <c r="F76" s="170">
        <v>0</v>
      </c>
      <c r="G76" s="170">
        <v>0</v>
      </c>
      <c r="H76" s="170">
        <v>1</v>
      </c>
    </row>
    <row r="77" spans="2:16" ht="12.75">
      <c r="B77" s="301"/>
      <c r="C77" s="141" t="s">
        <v>148</v>
      </c>
      <c r="D77" s="53" t="s">
        <v>145</v>
      </c>
      <c r="E77" s="170">
        <v>0</v>
      </c>
      <c r="F77" s="170">
        <v>0</v>
      </c>
      <c r="G77" s="170">
        <v>0</v>
      </c>
      <c r="H77" s="170">
        <v>1</v>
      </c>
      <c r="J77" s="312" t="s">
        <v>82</v>
      </c>
      <c r="K77" s="313"/>
      <c r="L77" s="313"/>
      <c r="M77" s="313"/>
      <c r="N77" s="313"/>
      <c r="O77" s="313"/>
      <c r="P77" s="314"/>
    </row>
    <row r="78" spans="2:16" ht="12.75">
      <c r="B78" s="301"/>
      <c r="C78" s="141" t="s">
        <v>123</v>
      </c>
      <c r="D78" s="53" t="s">
        <v>145</v>
      </c>
      <c r="E78" s="170">
        <v>0</v>
      </c>
      <c r="F78" s="170">
        <v>0.01</v>
      </c>
      <c r="G78" s="170">
        <v>1</v>
      </c>
      <c r="H78" s="170">
        <v>1</v>
      </c>
      <c r="J78" s="155" t="s">
        <v>88</v>
      </c>
      <c r="K78" s="155" t="s">
        <v>83</v>
      </c>
      <c r="L78" s="323" t="s">
        <v>84</v>
      </c>
      <c r="M78" s="323"/>
      <c r="N78" s="323"/>
      <c r="O78" s="323"/>
      <c r="P78" s="323"/>
    </row>
    <row r="79" spans="2:16" ht="12.75">
      <c r="B79" s="301"/>
      <c r="C79" s="141" t="s">
        <v>125</v>
      </c>
      <c r="D79" s="53" t="s">
        <v>145</v>
      </c>
      <c r="E79" s="170">
        <v>0</v>
      </c>
      <c r="F79" s="170">
        <v>0.01</v>
      </c>
      <c r="G79" s="170">
        <v>1</v>
      </c>
      <c r="H79" s="170">
        <v>1</v>
      </c>
      <c r="J79" s="159" t="s">
        <v>86</v>
      </c>
      <c r="K79" s="160">
        <v>0.01</v>
      </c>
      <c r="L79" s="310" t="s">
        <v>91</v>
      </c>
      <c r="M79" s="310"/>
      <c r="N79" s="310"/>
      <c r="O79" s="310"/>
      <c r="P79" s="310"/>
    </row>
    <row r="80" spans="2:16" ht="12.75">
      <c r="B80" s="301"/>
      <c r="C80" s="141" t="s">
        <v>126</v>
      </c>
      <c r="D80" s="53" t="s">
        <v>145</v>
      </c>
      <c r="E80" s="170">
        <v>0</v>
      </c>
      <c r="F80" s="170">
        <v>0.01</v>
      </c>
      <c r="G80" s="170">
        <v>1</v>
      </c>
      <c r="H80" s="170">
        <v>1</v>
      </c>
      <c r="J80" s="159" t="s">
        <v>87</v>
      </c>
      <c r="K80" s="160">
        <v>0.1</v>
      </c>
      <c r="L80" s="310" t="s">
        <v>90</v>
      </c>
      <c r="M80" s="310"/>
      <c r="N80" s="310"/>
      <c r="O80" s="310"/>
      <c r="P80" s="310"/>
    </row>
    <row r="81" spans="2:16" ht="12.75">
      <c r="B81" s="301"/>
      <c r="C81" s="141" t="s">
        <v>127</v>
      </c>
      <c r="D81" s="53" t="s">
        <v>145</v>
      </c>
      <c r="E81" s="170">
        <v>0</v>
      </c>
      <c r="F81" s="170">
        <v>1</v>
      </c>
      <c r="G81" s="170">
        <v>1</v>
      </c>
      <c r="H81" s="170">
        <v>1</v>
      </c>
      <c r="J81" s="161"/>
      <c r="K81" s="160">
        <v>1</v>
      </c>
      <c r="L81" s="310" t="s">
        <v>89</v>
      </c>
      <c r="M81" s="310"/>
      <c r="N81" s="310"/>
      <c r="O81" s="310"/>
      <c r="P81" s="310"/>
    </row>
    <row r="82" spans="2:16" ht="12.75">
      <c r="B82" s="301"/>
      <c r="C82" s="141" t="s">
        <v>128</v>
      </c>
      <c r="D82" s="53" t="s">
        <v>145</v>
      </c>
      <c r="E82" s="170">
        <v>0</v>
      </c>
      <c r="F82" s="170">
        <v>0.99</v>
      </c>
      <c r="G82" s="170">
        <v>1</v>
      </c>
      <c r="H82" s="170">
        <v>1</v>
      </c>
      <c r="J82" s="162"/>
      <c r="K82" s="163">
        <f>0.11*60</f>
        <v>6.6</v>
      </c>
      <c r="L82" s="310" t="s">
        <v>85</v>
      </c>
      <c r="M82" s="310"/>
      <c r="N82" s="310"/>
      <c r="O82" s="310"/>
      <c r="P82" s="310"/>
    </row>
    <row r="83" spans="2:8" ht="12.75">
      <c r="B83" s="301"/>
      <c r="C83" s="141" t="s">
        <v>129</v>
      </c>
      <c r="D83" s="53" t="s">
        <v>145</v>
      </c>
      <c r="E83" s="170">
        <v>0</v>
      </c>
      <c r="F83" s="170">
        <v>0.99</v>
      </c>
      <c r="G83" s="170">
        <v>1</v>
      </c>
      <c r="H83" s="170">
        <v>1</v>
      </c>
    </row>
    <row r="84" spans="2:8" ht="12.75">
      <c r="B84" s="301"/>
      <c r="C84" s="141" t="s">
        <v>130</v>
      </c>
      <c r="D84" s="53" t="s">
        <v>145</v>
      </c>
      <c r="E84" s="170">
        <v>0</v>
      </c>
      <c r="F84" s="170">
        <v>0.2</v>
      </c>
      <c r="G84" s="170">
        <v>1</v>
      </c>
      <c r="H84" s="170">
        <v>1</v>
      </c>
    </row>
    <row r="85" spans="2:8" ht="12.75">
      <c r="B85" s="301"/>
      <c r="C85" s="141" t="s">
        <v>131</v>
      </c>
      <c r="D85" s="53" t="s">
        <v>145</v>
      </c>
      <c r="E85" s="170">
        <v>0</v>
      </c>
      <c r="F85" s="170">
        <v>0</v>
      </c>
      <c r="G85" s="170">
        <v>1</v>
      </c>
      <c r="H85" s="170">
        <v>1</v>
      </c>
    </row>
    <row r="86" spans="2:8" ht="12.75">
      <c r="B86" s="301"/>
      <c r="C86" s="141" t="s">
        <v>132</v>
      </c>
      <c r="D86" s="53" t="s">
        <v>145</v>
      </c>
      <c r="E86" s="170">
        <v>0</v>
      </c>
      <c r="F86" s="170">
        <v>0</v>
      </c>
      <c r="G86" s="170">
        <v>0.55</v>
      </c>
      <c r="H86" s="170">
        <v>1</v>
      </c>
    </row>
    <row r="87" spans="2:7" ht="12.75">
      <c r="B87" s="56" t="s">
        <v>163</v>
      </c>
      <c r="C87" s="122"/>
      <c r="D87" s="122"/>
      <c r="E87" s="122"/>
      <c r="F87" s="122"/>
      <c r="G87" s="123"/>
    </row>
    <row r="88" spans="2:7" ht="12.75">
      <c r="B88" s="302" t="s">
        <v>162</v>
      </c>
      <c r="C88" s="150" t="s">
        <v>152</v>
      </c>
      <c r="D88" s="125" t="s">
        <v>17</v>
      </c>
      <c r="E88" s="283" t="s">
        <v>153</v>
      </c>
      <c r="F88" s="283"/>
      <c r="G88" s="283"/>
    </row>
    <row r="89" spans="2:7" ht="12.75">
      <c r="B89" s="302"/>
      <c r="C89" s="151" t="s">
        <v>154</v>
      </c>
      <c r="D89" s="190">
        <f>1-(D96+D97)</f>
        <v>0.46629723922848487</v>
      </c>
      <c r="E89" s="154"/>
      <c r="F89" s="59" t="s">
        <v>17</v>
      </c>
      <c r="G89" s="59" t="s">
        <v>61</v>
      </c>
    </row>
    <row r="90" spans="2:7" ht="12.75">
      <c r="B90" s="302"/>
      <c r="C90" s="287" t="s">
        <v>157</v>
      </c>
      <c r="D90" s="287"/>
      <c r="E90" s="191">
        <v>0.9399999999999995</v>
      </c>
      <c r="F90" s="169">
        <v>0.12</v>
      </c>
      <c r="G90" s="52">
        <f>F90/F96</f>
        <v>0.12</v>
      </c>
    </row>
    <row r="91" spans="2:7" ht="12.75">
      <c r="B91" s="302"/>
      <c r="C91" s="311" t="s">
        <v>158</v>
      </c>
      <c r="D91" s="311"/>
      <c r="E91" s="191">
        <v>1.76</v>
      </c>
      <c r="F91" s="169">
        <v>0.135</v>
      </c>
      <c r="G91" s="52">
        <f>F91/$F$96+G90</f>
        <v>0.255</v>
      </c>
    </row>
    <row r="92" spans="2:7" ht="12.75">
      <c r="B92" s="302"/>
      <c r="C92" s="311" t="s">
        <v>159</v>
      </c>
      <c r="D92" s="311"/>
      <c r="E92" s="191">
        <v>4.933333333333334</v>
      </c>
      <c r="F92" s="169">
        <v>0.235</v>
      </c>
      <c r="G92" s="52">
        <f>F92/$F$96+G91</f>
        <v>0.49</v>
      </c>
    </row>
    <row r="93" spans="2:7" ht="12.75">
      <c r="B93" s="302"/>
      <c r="C93" s="311" t="s">
        <v>159</v>
      </c>
      <c r="D93" s="311"/>
      <c r="E93" s="191">
        <v>6.09</v>
      </c>
      <c r="F93" s="169">
        <v>0.235</v>
      </c>
      <c r="G93" s="52">
        <f>F93/$F$96+G92</f>
        <v>0.725</v>
      </c>
    </row>
    <row r="94" spans="2:7" ht="12.75">
      <c r="B94" s="302"/>
      <c r="C94" s="311" t="s">
        <v>160</v>
      </c>
      <c r="D94" s="311"/>
      <c r="E94" s="191">
        <v>6.324444444444444</v>
      </c>
      <c r="F94" s="169">
        <v>0.135</v>
      </c>
      <c r="G94" s="52">
        <f>F94/$F$96+G93</f>
        <v>0.86</v>
      </c>
    </row>
    <row r="95" spans="2:7" ht="12.75">
      <c r="B95" s="302"/>
      <c r="C95" s="311" t="s">
        <v>161</v>
      </c>
      <c r="D95" s="311"/>
      <c r="E95" s="191">
        <v>8</v>
      </c>
      <c r="F95" s="169">
        <v>0.14</v>
      </c>
      <c r="G95" s="52">
        <f>F95/$F$96+G94</f>
        <v>1</v>
      </c>
    </row>
    <row r="96" spans="2:6" ht="12.75">
      <c r="B96" s="302"/>
      <c r="C96" s="153" t="s">
        <v>155</v>
      </c>
      <c r="D96" s="192">
        <v>0.0033421119106366286</v>
      </c>
      <c r="E96" s="193">
        <v>0</v>
      </c>
      <c r="F96">
        <f>SUM(F90:F95)</f>
        <v>1</v>
      </c>
    </row>
    <row r="97" spans="2:5" ht="12.75">
      <c r="B97" s="302"/>
      <c r="C97" s="152" t="s">
        <v>156</v>
      </c>
      <c r="D97" s="192">
        <v>0.5303606488608785</v>
      </c>
      <c r="E97" s="169">
        <v>12</v>
      </c>
    </row>
    <row r="98" spans="2:4" ht="12.75">
      <c r="B98" s="317" t="s">
        <v>177</v>
      </c>
      <c r="C98" s="285"/>
      <c r="D98" s="286"/>
    </row>
    <row r="99" spans="2:4" ht="12.75">
      <c r="B99" s="316" t="s">
        <v>62</v>
      </c>
      <c r="C99" s="316"/>
      <c r="D99" s="194">
        <v>0.135</v>
      </c>
    </row>
    <row r="100" spans="2:4" ht="12.75">
      <c r="B100" s="316" t="s">
        <v>63</v>
      </c>
      <c r="C100" s="316"/>
      <c r="D100" s="194">
        <v>0.55</v>
      </c>
    </row>
    <row r="101" spans="2:4" ht="12.75">
      <c r="B101" s="298" t="s">
        <v>139</v>
      </c>
      <c r="C101" s="299"/>
      <c r="D101" s="315"/>
    </row>
    <row r="102" spans="2:4" ht="12.75">
      <c r="B102" s="308" t="s">
        <v>142</v>
      </c>
      <c r="C102" s="309"/>
      <c r="D102" s="140"/>
    </row>
    <row r="103" spans="2:4" ht="12.75">
      <c r="B103" s="308"/>
      <c r="C103" s="309"/>
      <c r="D103" s="18"/>
    </row>
    <row r="104" spans="2:4" ht="12.75">
      <c r="B104" s="308" t="s">
        <v>65</v>
      </c>
      <c r="C104" s="308"/>
      <c r="D104" s="195">
        <v>0.46947479718243673</v>
      </c>
    </row>
    <row r="105" spans="2:4" ht="12.75">
      <c r="B105" s="308" t="s">
        <v>21</v>
      </c>
      <c r="C105" s="308"/>
      <c r="D105" s="170">
        <v>1.1612377921118526</v>
      </c>
    </row>
    <row r="106" spans="2:3" ht="12.75">
      <c r="B106" s="298" t="s">
        <v>136</v>
      </c>
      <c r="C106" s="300"/>
    </row>
    <row r="107" spans="2:3" ht="12.75">
      <c r="B107" s="54" t="s">
        <v>137</v>
      </c>
      <c r="C107" s="169">
        <v>0.1324</v>
      </c>
    </row>
    <row r="108" spans="2:3" ht="12.75">
      <c r="B108" s="54" t="s">
        <v>138</v>
      </c>
      <c r="C108" s="169">
        <v>51.45</v>
      </c>
    </row>
  </sheetData>
  <mergeCells count="50">
    <mergeCell ref="B98:D98"/>
    <mergeCell ref="L80:P80"/>
    <mergeCell ref="B4:C4"/>
    <mergeCell ref="B2:C2"/>
    <mergeCell ref="B3:C3"/>
    <mergeCell ref="B14:D14"/>
    <mergeCell ref="B45:K45"/>
    <mergeCell ref="L82:P82"/>
    <mergeCell ref="J77:P77"/>
    <mergeCell ref="L81:P81"/>
    <mergeCell ref="L79:P79"/>
    <mergeCell ref="L78:P78"/>
    <mergeCell ref="E74:H74"/>
    <mergeCell ref="B7:D7"/>
    <mergeCell ref="B8:C8"/>
    <mergeCell ref="B11:C11"/>
    <mergeCell ref="B9:C9"/>
    <mergeCell ref="B54:B63"/>
    <mergeCell ref="B46:B47"/>
    <mergeCell ref="B48:B49"/>
    <mergeCell ref="B99:C99"/>
    <mergeCell ref="B12:C12"/>
    <mergeCell ref="B10:C10"/>
    <mergeCell ref="B100:C100"/>
    <mergeCell ref="B74:B86"/>
    <mergeCell ref="C90:D90"/>
    <mergeCell ref="B88:B97"/>
    <mergeCell ref="B27:B28"/>
    <mergeCell ref="B25:B26"/>
    <mergeCell ref="B24:E24"/>
    <mergeCell ref="B102:C103"/>
    <mergeCell ref="B104:C104"/>
    <mergeCell ref="B105:C105"/>
    <mergeCell ref="B106:C106"/>
    <mergeCell ref="B101:D101"/>
    <mergeCell ref="B40:H40"/>
    <mergeCell ref="B13:C13"/>
    <mergeCell ref="C91:D91"/>
    <mergeCell ref="C92:D92"/>
    <mergeCell ref="C93:D93"/>
    <mergeCell ref="C94:D94"/>
    <mergeCell ref="C95:D95"/>
    <mergeCell ref="E88:G88"/>
    <mergeCell ref="B64:B73"/>
    <mergeCell ref="M60:Q60"/>
    <mergeCell ref="B50:B51"/>
    <mergeCell ref="M43:Q43"/>
    <mergeCell ref="M49:Q49"/>
    <mergeCell ref="M54:Q54"/>
    <mergeCell ref="I41:J43"/>
  </mergeCells>
  <dataValidations count="2">
    <dataValidation type="list" allowBlank="1" showInputMessage="1" showErrorMessage="1" promptTitle="Lag Method" prompt="Select &#10;ResetLag or AccumulateLag" errorTitle="Lag Method" error="Select ResetLag or AccumulateLag" sqref="D12">
      <formula1>$H$3:$H$4</formula1>
    </dataValidation>
    <dataValidation type="list" allowBlank="1" showInputMessage="1" showErrorMessage="1" promptTitle="Stochastic Growth?" prompt="Pick &quot;True&quot; if you wish to use the stochastic growth model.  Pick &quot;False&quot; if you wish to use the deterministic growth model." errorTitle="Stochastic growth" error="Select TRUE or FALSE" sqref="D13">
      <formula1>$H$5:$H$6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12"/>
  <dimension ref="B1:AD110"/>
  <sheetViews>
    <sheetView workbookViewId="0" topLeftCell="A39">
      <selection activeCell="A1" sqref="A1"/>
    </sheetView>
  </sheetViews>
  <sheetFormatPr defaultColWidth="9.140625" defaultRowHeight="12.75"/>
  <cols>
    <col min="2" max="2" width="10.28125" style="0" customWidth="1"/>
    <col min="3" max="3" width="29.57421875" style="0" customWidth="1"/>
    <col min="4" max="4" width="16.421875" style="0" customWidth="1"/>
    <col min="5" max="5" width="12.421875" style="0" bestFit="1" customWidth="1"/>
    <col min="6" max="6" width="10.00390625" style="0" customWidth="1"/>
    <col min="7" max="7" width="11.00390625" style="0" customWidth="1"/>
    <col min="12" max="12" width="11.00390625" style="0" customWidth="1"/>
    <col min="13" max="13" width="10.57421875" style="0" customWidth="1"/>
    <col min="15" max="15" width="12.28125" style="0" customWidth="1"/>
    <col min="16" max="16" width="11.140625" style="0" customWidth="1"/>
    <col min="18" max="19" width="9.00390625" style="0" customWidth="1"/>
    <col min="28" max="29" width="10.8515625" style="0" customWidth="1"/>
    <col min="30" max="30" width="14.8515625" style="0" customWidth="1"/>
    <col min="31" max="31" width="11.28125" style="0" customWidth="1"/>
    <col min="32" max="32" width="12.421875" style="0" customWidth="1"/>
    <col min="33" max="33" width="10.57421875" style="0" bestFit="1" customWidth="1"/>
    <col min="34" max="34" width="11.28125" style="0" customWidth="1"/>
    <col min="35" max="35" width="13.421875" style="0" customWidth="1"/>
    <col min="36" max="36" width="9.00390625" style="0" customWidth="1"/>
    <col min="37" max="37" width="11.57421875" style="0" customWidth="1"/>
    <col min="38" max="38" width="10.28125" style="0" customWidth="1"/>
    <col min="41" max="41" width="10.28125" style="0" bestFit="1" customWidth="1"/>
    <col min="45" max="45" width="10.00390625" style="0" customWidth="1"/>
    <col min="48" max="48" width="11.00390625" style="0" customWidth="1"/>
    <col min="49" max="49" width="9.57421875" style="0" bestFit="1" customWidth="1"/>
  </cols>
  <sheetData>
    <row r="1" ht="12.75">
      <c r="B1" s="4"/>
    </row>
    <row r="2" spans="2:12" ht="12.75">
      <c r="B2" s="295" t="s">
        <v>76</v>
      </c>
      <c r="C2" s="296"/>
      <c r="D2" s="63">
        <v>0.7575810185185184</v>
      </c>
      <c r="H2" t="s">
        <v>93</v>
      </c>
      <c r="L2" s="65"/>
    </row>
    <row r="3" spans="2:9" ht="12.75">
      <c r="B3" s="295" t="s">
        <v>75</v>
      </c>
      <c r="C3" s="296"/>
      <c r="D3" s="63">
        <v>0.7575810185185184</v>
      </c>
      <c r="H3" s="73" t="s">
        <v>79</v>
      </c>
      <c r="I3" s="74"/>
    </row>
    <row r="4" spans="2:9" ht="12.75">
      <c r="B4" s="295" t="s">
        <v>77</v>
      </c>
      <c r="C4" s="296"/>
      <c r="D4" s="64">
        <f>D2-D3</f>
        <v>0</v>
      </c>
      <c r="H4" s="73" t="s">
        <v>80</v>
      </c>
      <c r="I4" s="74"/>
    </row>
    <row r="5" spans="8:9" ht="12.75">
      <c r="H5" s="74" t="b">
        <v>1</v>
      </c>
      <c r="I5" s="74"/>
    </row>
    <row r="6" spans="8:9" ht="12.75">
      <c r="H6" s="74" t="b">
        <v>0</v>
      </c>
      <c r="I6" s="74"/>
    </row>
    <row r="7" spans="2:4" ht="12.75">
      <c r="B7" s="298" t="s">
        <v>27</v>
      </c>
      <c r="C7" s="299"/>
      <c r="D7" s="300"/>
    </row>
    <row r="8" spans="2:4" ht="12.75">
      <c r="B8" s="295" t="s">
        <v>28</v>
      </c>
      <c r="C8" s="296"/>
      <c r="D8" s="164">
        <v>10</v>
      </c>
    </row>
    <row r="9" spans="2:4" ht="12.75">
      <c r="B9" s="295" t="s">
        <v>60</v>
      </c>
      <c r="C9" s="296"/>
      <c r="D9" s="165">
        <v>7</v>
      </c>
    </row>
    <row r="10" spans="2:4" ht="12.75">
      <c r="B10" s="295" t="s">
        <v>26</v>
      </c>
      <c r="C10" s="296"/>
      <c r="D10" s="166">
        <f>1/(24)</f>
        <v>0.041666666666666664</v>
      </c>
    </row>
    <row r="11" spans="2:4" ht="12.75" customHeight="1">
      <c r="B11" s="295" t="s">
        <v>81</v>
      </c>
      <c r="C11" s="296"/>
      <c r="D11" s="167">
        <v>104</v>
      </c>
    </row>
    <row r="12" spans="2:4" ht="12.75">
      <c r="B12" s="295" t="s">
        <v>78</v>
      </c>
      <c r="C12" s="296"/>
      <c r="D12" s="168" t="s">
        <v>80</v>
      </c>
    </row>
    <row r="13" spans="2:4" ht="12.75">
      <c r="B13" s="295" t="s">
        <v>92</v>
      </c>
      <c r="C13" s="296"/>
      <c r="D13" s="168" t="b">
        <v>1</v>
      </c>
    </row>
    <row r="14" spans="2:4" ht="12.75">
      <c r="B14" s="297" t="s">
        <v>175</v>
      </c>
      <c r="C14" s="297"/>
      <c r="D14" s="297"/>
    </row>
    <row r="15" spans="2:4" ht="12.75">
      <c r="B15" s="54" t="s">
        <v>167</v>
      </c>
      <c r="C15" s="54"/>
      <c r="D15" s="196">
        <f>SensML!D15*2</f>
        <v>0.39648</v>
      </c>
    </row>
    <row r="16" spans="2:4" ht="12.75">
      <c r="B16" s="54" t="s">
        <v>168</v>
      </c>
      <c r="C16" s="54"/>
      <c r="D16" s="196">
        <f>SensML!D16*2</f>
        <v>0.0296762401850836</v>
      </c>
    </row>
    <row r="17" spans="2:4" ht="12.75">
      <c r="B17" s="54" t="s">
        <v>170</v>
      </c>
      <c r="C17" s="54"/>
      <c r="D17" s="196">
        <f>SensML!D17*2</f>
        <v>0.1723</v>
      </c>
    </row>
    <row r="18" spans="2:4" ht="12.75">
      <c r="B18" s="54" t="s">
        <v>171</v>
      </c>
      <c r="C18" s="54"/>
      <c r="D18" s="196">
        <f>SensML!D18*2</f>
        <v>0.188</v>
      </c>
    </row>
    <row r="19" spans="2:4" ht="12.75">
      <c r="B19" s="156" t="s">
        <v>173</v>
      </c>
      <c r="C19" s="54"/>
      <c r="D19" s="169">
        <f>SensML!D19*2</f>
        <v>5.72</v>
      </c>
    </row>
    <row r="20" spans="2:4" ht="12.75">
      <c r="B20" s="54" t="s">
        <v>169</v>
      </c>
      <c r="C20" s="54"/>
      <c r="D20" s="157">
        <f>1-D18</f>
        <v>0.812</v>
      </c>
    </row>
    <row r="21" spans="2:4" ht="12.75">
      <c r="B21" s="156" t="s">
        <v>170</v>
      </c>
      <c r="C21" s="54"/>
      <c r="D21" s="158">
        <f>D15*D16*D20*D17</f>
        <v>0.0016461578175019998</v>
      </c>
    </row>
    <row r="22" spans="2:4" ht="12.75">
      <c r="B22" s="156" t="s">
        <v>172</v>
      </c>
      <c r="C22" s="54"/>
      <c r="D22" s="158">
        <f>D15*D16*D17*D18*D19</f>
        <v>0.0021800643726957517</v>
      </c>
    </row>
    <row r="23" spans="2:4" ht="12.75">
      <c r="B23" s="54" t="s">
        <v>174</v>
      </c>
      <c r="C23" s="54"/>
      <c r="D23" s="158">
        <f>D21+D22</f>
        <v>0.0038262221901977514</v>
      </c>
    </row>
    <row r="24" spans="2:5" ht="12.75" customHeight="1">
      <c r="B24" s="297" t="s">
        <v>23</v>
      </c>
      <c r="C24" s="297"/>
      <c r="D24" s="297"/>
      <c r="E24" s="297"/>
    </row>
    <row r="25" spans="2:5" ht="12.75">
      <c r="B25" s="302" t="s">
        <v>31</v>
      </c>
      <c r="C25" s="57" t="s">
        <v>143</v>
      </c>
      <c r="D25" s="57" t="s">
        <v>65</v>
      </c>
      <c r="E25" s="57" t="s">
        <v>114</v>
      </c>
    </row>
    <row r="26" spans="2:5" ht="12.75">
      <c r="B26" s="302"/>
      <c r="C26" s="54" t="s">
        <v>144</v>
      </c>
      <c r="D26" s="169">
        <f>SensML!D26*2</f>
        <v>5.2044</v>
      </c>
      <c r="E26" s="169">
        <f>SensML!E26*2</f>
        <v>2.5906</v>
      </c>
    </row>
    <row r="27" spans="2:5" ht="12.75">
      <c r="B27" s="301" t="s">
        <v>115</v>
      </c>
      <c r="C27" s="57" t="s">
        <v>143</v>
      </c>
      <c r="D27" s="57" t="s">
        <v>65</v>
      </c>
      <c r="E27" s="57" t="s">
        <v>165</v>
      </c>
    </row>
    <row r="28" spans="2:5" ht="12.75">
      <c r="B28" s="301"/>
      <c r="C28" s="54" t="s">
        <v>166</v>
      </c>
      <c r="D28" s="169">
        <f>SensML!D28*2</f>
        <v>2.78</v>
      </c>
      <c r="E28" s="170">
        <f>SensML!E28*2</f>
        <v>0.49815060926333643</v>
      </c>
    </row>
    <row r="29" spans="2:13" ht="12.75">
      <c r="B29" s="56" t="s">
        <v>112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</row>
    <row r="30" spans="2:13" ht="12.75" customHeight="1">
      <c r="B30" s="59" t="s">
        <v>110</v>
      </c>
      <c r="C30" s="59" t="s">
        <v>17</v>
      </c>
      <c r="D30" s="99" t="s">
        <v>110</v>
      </c>
      <c r="E30" s="99" t="s">
        <v>17</v>
      </c>
      <c r="F30" s="99" t="s">
        <v>110</v>
      </c>
      <c r="G30" s="99" t="s">
        <v>17</v>
      </c>
      <c r="H30" s="99" t="s">
        <v>110</v>
      </c>
      <c r="I30" s="99" t="s">
        <v>17</v>
      </c>
      <c r="J30" s="103" t="s">
        <v>111</v>
      </c>
      <c r="K30" s="59" t="s">
        <v>17</v>
      </c>
      <c r="L30" s="59" t="s">
        <v>61</v>
      </c>
      <c r="M30" s="59" t="s">
        <v>113</v>
      </c>
    </row>
    <row r="31" spans="2:13" ht="12.75">
      <c r="B31" s="53" t="s">
        <v>97</v>
      </c>
      <c r="C31" s="68">
        <f>10/54</f>
        <v>0.18518518518518517</v>
      </c>
      <c r="D31" s="100"/>
      <c r="E31" s="101"/>
      <c r="F31" s="101"/>
      <c r="G31" s="101"/>
      <c r="H31" s="101"/>
      <c r="I31" s="102"/>
      <c r="J31" s="200" t="s">
        <v>97</v>
      </c>
      <c r="K31" s="171">
        <f>SensML!K31*2</f>
        <v>0.37037037037037035</v>
      </c>
      <c r="L31" s="104">
        <f>K31/K40</f>
        <v>0.18518518518518517</v>
      </c>
      <c r="M31" s="142">
        <v>1</v>
      </c>
    </row>
    <row r="32" spans="2:13" ht="12.75" customHeight="1">
      <c r="B32" s="53" t="s">
        <v>98</v>
      </c>
      <c r="C32" s="67">
        <f>1-C31</f>
        <v>0.8148148148148149</v>
      </c>
      <c r="D32" s="53" t="s">
        <v>31</v>
      </c>
      <c r="E32" s="48">
        <v>0.75</v>
      </c>
      <c r="F32" s="53" t="s">
        <v>32</v>
      </c>
      <c r="G32" s="49">
        <f>(0.5-0.2)/2</f>
        <v>0.15</v>
      </c>
      <c r="H32" s="53" t="s">
        <v>99</v>
      </c>
      <c r="I32" s="105">
        <v>0.7887</v>
      </c>
      <c r="J32" s="200" t="s">
        <v>34</v>
      </c>
      <c r="K32" s="171">
        <f>SensML!K32*2</f>
        <v>0.144595</v>
      </c>
      <c r="L32" s="104">
        <f>K32/$K$40+L31</f>
        <v>0.2574826851851852</v>
      </c>
      <c r="M32" s="142">
        <v>2</v>
      </c>
    </row>
    <row r="33" spans="2:13" ht="12.75">
      <c r="B33" s="69"/>
      <c r="C33" s="9"/>
      <c r="D33" s="9"/>
      <c r="E33" s="9"/>
      <c r="F33" s="9"/>
      <c r="G33" s="9"/>
      <c r="H33" s="53" t="s">
        <v>100</v>
      </c>
      <c r="I33" s="51">
        <f>1-I32</f>
        <v>0.21130000000000004</v>
      </c>
      <c r="J33" s="200" t="s">
        <v>104</v>
      </c>
      <c r="K33" s="171">
        <f>SensML!K33*2</f>
        <v>0.03873833333333335</v>
      </c>
      <c r="L33" s="104">
        <f aca="true" t="shared" si="0" ref="L33:L39">K33/$K$40+L32</f>
        <v>0.27685185185185185</v>
      </c>
      <c r="M33" s="142">
        <v>3</v>
      </c>
    </row>
    <row r="34" spans="2:13" ht="12.75" customHeight="1">
      <c r="B34" s="69"/>
      <c r="C34" s="9"/>
      <c r="D34" s="9"/>
      <c r="E34" s="9"/>
      <c r="F34" s="53" t="s">
        <v>33</v>
      </c>
      <c r="G34" s="55">
        <f>1-G32</f>
        <v>0.85</v>
      </c>
      <c r="H34" s="53" t="s">
        <v>99</v>
      </c>
      <c r="I34" s="51">
        <f>I32/2</f>
        <v>0.39435</v>
      </c>
      <c r="J34" s="200" t="s">
        <v>35</v>
      </c>
      <c r="K34" s="171">
        <f>SensML!K34*2</f>
        <v>0.40968583333333336</v>
      </c>
      <c r="L34" s="104">
        <f t="shared" si="0"/>
        <v>0.48169476851851856</v>
      </c>
      <c r="M34" s="142">
        <v>4</v>
      </c>
    </row>
    <row r="35" spans="2:13" ht="12.75">
      <c r="B35" s="69"/>
      <c r="C35" s="9"/>
      <c r="D35" s="9"/>
      <c r="E35" s="9"/>
      <c r="F35" s="9"/>
      <c r="G35" s="9"/>
      <c r="H35" s="53" t="s">
        <v>100</v>
      </c>
      <c r="I35" s="51">
        <f>1-I34</f>
        <v>0.60565</v>
      </c>
      <c r="J35" s="200" t="s">
        <v>105</v>
      </c>
      <c r="K35" s="171">
        <f>SensML!K35*2</f>
        <v>0.6292030555555557</v>
      </c>
      <c r="L35" s="104">
        <f t="shared" si="0"/>
        <v>0.7962962962962964</v>
      </c>
      <c r="M35" s="142">
        <v>5</v>
      </c>
    </row>
    <row r="36" spans="2:13" ht="12.75">
      <c r="B36" s="69"/>
      <c r="C36" s="9"/>
      <c r="D36" s="53" t="s">
        <v>103</v>
      </c>
      <c r="E36" s="52">
        <f>1-E32</f>
        <v>0.25</v>
      </c>
      <c r="F36" s="53" t="s">
        <v>30</v>
      </c>
      <c r="G36" s="68">
        <f>1-G38</f>
        <v>0.896551724137931</v>
      </c>
      <c r="H36" s="53" t="s">
        <v>101</v>
      </c>
      <c r="I36" s="51">
        <f>1-I37</f>
        <v>0.9327929212128054</v>
      </c>
      <c r="J36" s="200" t="s">
        <v>106</v>
      </c>
      <c r="K36" s="171">
        <f>SensML!K36*2</f>
        <v>0.3407136340572955</v>
      </c>
      <c r="L36" s="104">
        <f t="shared" si="0"/>
        <v>0.9666531133249441</v>
      </c>
      <c r="M36" s="142">
        <v>6</v>
      </c>
    </row>
    <row r="37" spans="2:13" ht="12.75" customHeight="1">
      <c r="B37" s="69"/>
      <c r="C37" s="9"/>
      <c r="D37" s="9"/>
      <c r="E37" s="9"/>
      <c r="F37" s="9"/>
      <c r="G37" s="9"/>
      <c r="H37" s="53" t="s">
        <v>102</v>
      </c>
      <c r="I37" s="51">
        <f>I39</f>
        <v>0.06720707878719459</v>
      </c>
      <c r="J37" s="200" t="s">
        <v>107</v>
      </c>
      <c r="K37" s="171">
        <f>SensML!K37*2</f>
        <v>0.024548179480380145</v>
      </c>
      <c r="L37" s="104">
        <f t="shared" si="0"/>
        <v>0.9789272030651341</v>
      </c>
      <c r="M37" s="142">
        <v>7</v>
      </c>
    </row>
    <row r="38" spans="2:13" ht="12.75">
      <c r="B38" s="69"/>
      <c r="C38" s="9"/>
      <c r="D38" s="9"/>
      <c r="E38" s="9"/>
      <c r="F38" s="53" t="s">
        <v>29</v>
      </c>
      <c r="G38" s="106">
        <f>3/29</f>
        <v>0.10344827586206896</v>
      </c>
      <c r="H38" s="53" t="s">
        <v>101</v>
      </c>
      <c r="I38" s="51">
        <f>1-I39</f>
        <v>0.9327929212128054</v>
      </c>
      <c r="J38" s="200" t="s">
        <v>108</v>
      </c>
      <c r="K38" s="171">
        <f>SensML!K38*2</f>
        <v>0.03931311162199563</v>
      </c>
      <c r="L38" s="104">
        <f t="shared" si="0"/>
        <v>0.9985837588761319</v>
      </c>
      <c r="M38" s="142">
        <v>8</v>
      </c>
    </row>
    <row r="39" spans="2:13" ht="12.75">
      <c r="B39" s="46"/>
      <c r="C39" s="31"/>
      <c r="D39" s="31"/>
      <c r="E39" s="31"/>
      <c r="F39" s="31"/>
      <c r="G39" s="31"/>
      <c r="H39" s="53" t="s">
        <v>102</v>
      </c>
      <c r="I39" s="50">
        <f>4/(((2*(1-0.96813))*871)+4)</f>
        <v>0.06720707878719459</v>
      </c>
      <c r="J39" s="200" t="s">
        <v>109</v>
      </c>
      <c r="K39" s="171">
        <f>SensML!K39*2</f>
        <v>0.0028324822477361704</v>
      </c>
      <c r="L39" s="104">
        <f t="shared" si="0"/>
        <v>1</v>
      </c>
      <c r="M39" s="142">
        <v>9</v>
      </c>
    </row>
    <row r="40" spans="2:30" ht="12.75">
      <c r="B40" s="298" t="s">
        <v>43</v>
      </c>
      <c r="C40" s="299"/>
      <c r="D40" s="299"/>
      <c r="E40" s="299"/>
      <c r="F40" s="299"/>
      <c r="G40" s="299"/>
      <c r="H40" s="300"/>
      <c r="K40" s="19">
        <f>SUM(K31:K39)</f>
        <v>2</v>
      </c>
      <c r="AD40" s="43"/>
    </row>
    <row r="41" spans="2:30" ht="12.75" customHeight="1">
      <c r="B41" s="57" t="s">
        <v>38</v>
      </c>
      <c r="C41" s="57" t="s">
        <v>39</v>
      </c>
      <c r="D41" s="57" t="s">
        <v>42</v>
      </c>
      <c r="E41" s="58" t="s">
        <v>41</v>
      </c>
      <c r="F41" s="13"/>
      <c r="G41" s="7"/>
      <c r="H41" s="8"/>
      <c r="I41" s="284" t="s">
        <v>448</v>
      </c>
      <c r="J41" s="318"/>
      <c r="AD41" s="43"/>
    </row>
    <row r="42" spans="2:10" ht="12.75">
      <c r="B42" s="48">
        <v>67.225</v>
      </c>
      <c r="C42" s="48">
        <v>-1.1969</v>
      </c>
      <c r="D42" s="52">
        <f>4.18+E42</f>
        <v>1.9847999999999857</v>
      </c>
      <c r="E42" s="55">
        <f>B42+C42*D44</f>
        <v>-2.195200000000014</v>
      </c>
      <c r="F42" s="46"/>
      <c r="G42" s="31"/>
      <c r="H42" s="11"/>
      <c r="I42" s="319"/>
      <c r="J42" s="320"/>
    </row>
    <row r="43" spans="2:17" ht="12.75">
      <c r="B43" s="57" t="s">
        <v>36</v>
      </c>
      <c r="C43" s="57" t="s">
        <v>18</v>
      </c>
      <c r="D43" s="57" t="s">
        <v>40</v>
      </c>
      <c r="E43" s="57" t="s">
        <v>44</v>
      </c>
      <c r="F43" s="59" t="s">
        <v>8</v>
      </c>
      <c r="G43" s="59" t="s">
        <v>45</v>
      </c>
      <c r="H43" s="59" t="s">
        <v>47</v>
      </c>
      <c r="I43" s="321"/>
      <c r="J43" s="322"/>
      <c r="M43" s="288" t="s">
        <v>178</v>
      </c>
      <c r="N43" s="289"/>
      <c r="O43" s="289"/>
      <c r="P43" s="289"/>
      <c r="Q43" s="290"/>
    </row>
    <row r="44" spans="2:17" ht="12.75">
      <c r="B44" s="205">
        <f>-EXP(D42)</f>
        <v>-7.27759172154746</v>
      </c>
      <c r="C44" s="205">
        <f>EXP(E42)</f>
        <v>0.11133629201963281</v>
      </c>
      <c r="D44" s="202">
        <v>58</v>
      </c>
      <c r="E44" s="224">
        <v>0</v>
      </c>
      <c r="F44" s="203">
        <v>0.11</v>
      </c>
      <c r="G44" s="203">
        <v>0.25</v>
      </c>
      <c r="H44" s="204">
        <v>0</v>
      </c>
      <c r="I44" s="52">
        <f>IF(E44=0,1,J44)</f>
        <v>1</v>
      </c>
      <c r="J44" s="223">
        <v>1</v>
      </c>
      <c r="M44" s="112" t="s">
        <v>6</v>
      </c>
      <c r="N44" s="112" t="s">
        <v>0</v>
      </c>
      <c r="O44" s="112" t="s">
        <v>1</v>
      </c>
      <c r="P44" s="112"/>
      <c r="Q44" s="112" t="s">
        <v>2</v>
      </c>
    </row>
    <row r="45" spans="2:17" ht="12.75" customHeight="1">
      <c r="B45" s="297" t="s">
        <v>164</v>
      </c>
      <c r="C45" s="297"/>
      <c r="D45" s="297"/>
      <c r="E45" s="297"/>
      <c r="F45" s="297"/>
      <c r="G45" s="297"/>
      <c r="H45" s="297"/>
      <c r="I45" s="297"/>
      <c r="J45" s="297"/>
      <c r="K45" s="297"/>
      <c r="M45" s="178" t="s">
        <v>3</v>
      </c>
      <c r="N45" s="179">
        <v>-0.9337</v>
      </c>
      <c r="O45" s="179">
        <v>0.2108</v>
      </c>
      <c r="P45" s="179"/>
      <c r="Q45" s="179">
        <v>-0.8272</v>
      </c>
    </row>
    <row r="46" spans="2:17" ht="12.75">
      <c r="B46" s="306" t="s">
        <v>24</v>
      </c>
      <c r="C46" s="57" t="s">
        <v>6</v>
      </c>
      <c r="D46" s="57" t="s">
        <v>0</v>
      </c>
      <c r="E46" s="57" t="s">
        <v>1</v>
      </c>
      <c r="F46" s="57" t="s">
        <v>18</v>
      </c>
      <c r="G46" s="57" t="s">
        <v>19</v>
      </c>
      <c r="H46" s="57" t="s">
        <v>12</v>
      </c>
      <c r="I46" s="57" t="s">
        <v>20</v>
      </c>
      <c r="J46" s="57" t="s">
        <v>4</v>
      </c>
      <c r="K46" s="57" t="s">
        <v>176</v>
      </c>
      <c r="M46" s="180"/>
      <c r="N46" s="181"/>
      <c r="O46" s="181"/>
      <c r="P46" s="181"/>
      <c r="Q46" s="182"/>
    </row>
    <row r="47" spans="2:17" ht="12.75">
      <c r="B47" s="307"/>
      <c r="C47" s="60" t="s">
        <v>3</v>
      </c>
      <c r="D47" s="172">
        <f>SensML!D47+2*SensUB!N48</f>
        <v>-0.4263</v>
      </c>
      <c r="E47" s="172">
        <f>SensML!E47+2*SensUB!O48</f>
        <v>0.24836</v>
      </c>
      <c r="F47" s="172">
        <f>SensML!F47+2*SensUB!Q48</f>
        <v>0.8761</v>
      </c>
      <c r="G47" s="206">
        <v>45.5733</v>
      </c>
      <c r="H47" s="207">
        <v>0.3864</v>
      </c>
      <c r="I47" s="206">
        <v>0.303</v>
      </c>
      <c r="J47" s="208">
        <f>10.59</f>
        <v>10.59</v>
      </c>
      <c r="K47" s="209">
        <v>1</v>
      </c>
      <c r="M47" s="183" t="s">
        <v>3</v>
      </c>
      <c r="N47" s="184">
        <v>-0.9337</v>
      </c>
      <c r="O47" s="184">
        <v>0.2108</v>
      </c>
      <c r="P47" s="184"/>
      <c r="Q47" s="184">
        <v>-0.8272</v>
      </c>
    </row>
    <row r="48" spans="2:17" ht="12.75">
      <c r="B48" s="306" t="s">
        <v>10</v>
      </c>
      <c r="C48" s="57" t="s">
        <v>6</v>
      </c>
      <c r="D48" s="57" t="s">
        <v>2</v>
      </c>
      <c r="E48" s="57" t="s">
        <v>1</v>
      </c>
      <c r="F48" s="57" t="s">
        <v>7</v>
      </c>
      <c r="G48" s="58" t="s">
        <v>8</v>
      </c>
      <c r="H48" s="57" t="s">
        <v>9</v>
      </c>
      <c r="I48" s="7"/>
      <c r="J48" s="7"/>
      <c r="K48" s="8"/>
      <c r="M48" s="185" t="s">
        <v>179</v>
      </c>
      <c r="N48" s="186">
        <v>0.29</v>
      </c>
      <c r="O48" s="186">
        <v>0.01323</v>
      </c>
      <c r="P48" s="186"/>
      <c r="Q48" s="186">
        <v>0.2377</v>
      </c>
    </row>
    <row r="49" spans="2:17" ht="12.75">
      <c r="B49" s="307"/>
      <c r="C49" s="60" t="s">
        <v>3</v>
      </c>
      <c r="D49" s="169">
        <f>SensML!D49+2*SensUB!N59</f>
        <v>1.5337</v>
      </c>
      <c r="E49" s="169">
        <v>-0.01</v>
      </c>
      <c r="F49" s="169">
        <f>SensML!F49+2*SensUB!P59</f>
        <v>0.12029999999999999</v>
      </c>
      <c r="G49" s="169">
        <f>SensML!G49+2*SensUB!Q59</f>
        <v>4.3423</v>
      </c>
      <c r="H49" s="169">
        <v>2.6</v>
      </c>
      <c r="I49" s="9"/>
      <c r="J49" s="9"/>
      <c r="K49" s="10"/>
      <c r="M49" s="291" t="s">
        <v>180</v>
      </c>
      <c r="N49" s="292"/>
      <c r="O49" s="292"/>
      <c r="P49" s="292"/>
      <c r="Q49" s="293"/>
    </row>
    <row r="50" spans="2:17" ht="12.75">
      <c r="B50" s="306" t="s">
        <v>25</v>
      </c>
      <c r="C50" s="57" t="s">
        <v>6</v>
      </c>
      <c r="D50" s="57" t="s">
        <v>21</v>
      </c>
      <c r="E50" s="57" t="s">
        <v>4</v>
      </c>
      <c r="F50" s="57" t="s">
        <v>5</v>
      </c>
      <c r="G50" s="57" t="s">
        <v>67</v>
      </c>
      <c r="H50" s="9"/>
      <c r="I50" s="9"/>
      <c r="J50" s="9"/>
      <c r="K50" s="10"/>
      <c r="M50" s="12" t="s">
        <v>0</v>
      </c>
      <c r="N50" s="186">
        <v>1</v>
      </c>
      <c r="O50" s="186">
        <v>-0.8249</v>
      </c>
      <c r="P50" s="186"/>
      <c r="Q50" s="186">
        <v>-0.05672</v>
      </c>
    </row>
    <row r="51" spans="2:17" ht="12.75">
      <c r="B51" s="307"/>
      <c r="C51" s="54" t="s">
        <v>3</v>
      </c>
      <c r="D51" s="169">
        <f>2*SensML!D51</f>
        <v>0.77</v>
      </c>
      <c r="E51" s="52">
        <f>5.5+LOG(50)</f>
        <v>7.198970004336019</v>
      </c>
      <c r="F51" s="210">
        <f>1/((2*EXP(G51))-1)</f>
        <v>2.270048018134533E-05</v>
      </c>
      <c r="G51" s="169">
        <v>10</v>
      </c>
      <c r="H51" s="47"/>
      <c r="I51" s="47"/>
      <c r="J51" s="47"/>
      <c r="K51" s="11"/>
      <c r="M51" s="12" t="s">
        <v>1</v>
      </c>
      <c r="N51" s="186">
        <v>-0.8249</v>
      </c>
      <c r="O51" s="186">
        <v>1</v>
      </c>
      <c r="P51" s="186"/>
      <c r="Q51" s="186">
        <v>-0.06133</v>
      </c>
    </row>
    <row r="52" spans="2:17" ht="12.75" customHeight="1">
      <c r="B52" s="56" t="s">
        <v>150</v>
      </c>
      <c r="C52" s="61"/>
      <c r="D52" s="122"/>
      <c r="E52" s="122"/>
      <c r="F52" s="122"/>
      <c r="G52" s="62"/>
      <c r="M52" s="12" t="s">
        <v>2</v>
      </c>
      <c r="N52" s="186">
        <v>-0.05672</v>
      </c>
      <c r="O52" s="186">
        <v>-0.06133</v>
      </c>
      <c r="P52" s="186"/>
      <c r="Q52" s="186">
        <v>1</v>
      </c>
    </row>
    <row r="53" spans="2:8" ht="12.75">
      <c r="B53" s="124"/>
      <c r="C53" s="125" t="s">
        <v>22</v>
      </c>
      <c r="D53" s="57" t="s">
        <v>143</v>
      </c>
      <c r="E53" s="57" t="s">
        <v>133</v>
      </c>
      <c r="F53" s="57" t="s">
        <v>65</v>
      </c>
      <c r="G53" s="57" t="s">
        <v>120</v>
      </c>
      <c r="H53" s="57" t="s">
        <v>69</v>
      </c>
    </row>
    <row r="54" spans="2:17" ht="12.75">
      <c r="B54" s="301" t="s">
        <v>15</v>
      </c>
      <c r="C54" s="54" t="s">
        <v>121</v>
      </c>
      <c r="D54" s="142" t="s">
        <v>144</v>
      </c>
      <c r="E54" s="143" t="s">
        <v>122</v>
      </c>
      <c r="F54" s="173">
        <f>LN(90)</f>
        <v>4.499809670330265</v>
      </c>
      <c r="G54" s="173">
        <f>LN(EXP(SensML!G54)*2)</f>
        <v>0.8431471805599453</v>
      </c>
      <c r="H54" s="140"/>
      <c r="I54" s="42"/>
      <c r="M54" s="294" t="s">
        <v>181</v>
      </c>
      <c r="N54" s="294"/>
      <c r="O54" s="294"/>
      <c r="P54" s="294"/>
      <c r="Q54" s="294"/>
    </row>
    <row r="55" spans="2:17" ht="12.75">
      <c r="B55" s="301"/>
      <c r="C55" s="54" t="s">
        <v>123</v>
      </c>
      <c r="D55" s="142" t="s">
        <v>144</v>
      </c>
      <c r="E55" s="144" t="s">
        <v>124</v>
      </c>
      <c r="F55" s="174">
        <f aca="true" t="shared" si="1" ref="F55:F63">LN(90)</f>
        <v>4.499809670330265</v>
      </c>
      <c r="G55" s="174">
        <f>LN(EXP(SensML!G55)*2)</f>
        <v>0.8287976487973605</v>
      </c>
      <c r="H55" s="222"/>
      <c r="I55" s="42"/>
      <c r="M55" s="112" t="s">
        <v>6</v>
      </c>
      <c r="N55" s="112" t="s">
        <v>2</v>
      </c>
      <c r="O55" s="112" t="s">
        <v>1</v>
      </c>
      <c r="P55" s="112" t="s">
        <v>7</v>
      </c>
      <c r="Q55" s="112" t="s">
        <v>8</v>
      </c>
    </row>
    <row r="56" spans="2:17" ht="12.75">
      <c r="B56" s="301"/>
      <c r="C56" s="54" t="s">
        <v>125</v>
      </c>
      <c r="D56" s="142" t="s">
        <v>144</v>
      </c>
      <c r="E56" s="144" t="s">
        <v>124</v>
      </c>
      <c r="F56" s="175">
        <f t="shared" si="1"/>
        <v>4.499809670330265</v>
      </c>
      <c r="G56" s="175">
        <f>LN(EXP(SensML!G56)*2)</f>
        <v>0.8283330553168913</v>
      </c>
      <c r="H56" s="222"/>
      <c r="I56" s="42"/>
      <c r="M56" s="178" t="s">
        <v>3</v>
      </c>
      <c r="N56" s="187">
        <v>1.3103</v>
      </c>
      <c r="O56" s="187">
        <v>-1.5087</v>
      </c>
      <c r="P56" s="187">
        <v>0.0751</v>
      </c>
      <c r="Q56" s="187">
        <v>3.4825</v>
      </c>
    </row>
    <row r="57" spans="2:17" ht="12.75">
      <c r="B57" s="301"/>
      <c r="C57" s="54" t="s">
        <v>126</v>
      </c>
      <c r="D57" s="142" t="s">
        <v>144</v>
      </c>
      <c r="E57" s="144" t="s">
        <v>124</v>
      </c>
      <c r="F57" s="175">
        <f t="shared" si="1"/>
        <v>4.499809670330265</v>
      </c>
      <c r="G57" s="175">
        <f>LN(EXP(SensML!G57)*2)</f>
        <v>0.8433348960606583</v>
      </c>
      <c r="H57" s="222"/>
      <c r="I57" s="42"/>
      <c r="K57" s="42"/>
      <c r="M57" s="188"/>
      <c r="N57" s="101"/>
      <c r="O57" s="101"/>
      <c r="P57" s="101"/>
      <c r="Q57" s="102"/>
    </row>
    <row r="58" spans="2:17" ht="12.75" customHeight="1">
      <c r="B58" s="301"/>
      <c r="C58" s="54" t="s">
        <v>127</v>
      </c>
      <c r="D58" s="142" t="s">
        <v>144</v>
      </c>
      <c r="E58" s="144" t="s">
        <v>124</v>
      </c>
      <c r="F58" s="175">
        <f t="shared" si="1"/>
        <v>4.499809670330265</v>
      </c>
      <c r="G58" s="175">
        <f>LN(EXP(SensML!G58)*2)</f>
        <v>0.8321815572848871</v>
      </c>
      <c r="H58" s="222"/>
      <c r="I58" s="42"/>
      <c r="M58" s="183" t="s">
        <v>3</v>
      </c>
      <c r="N58" s="187">
        <v>1.3103</v>
      </c>
      <c r="O58" s="187">
        <v>-1.5087</v>
      </c>
      <c r="P58" s="187">
        <v>0.0751</v>
      </c>
      <c r="Q58" s="187">
        <v>3.4825</v>
      </c>
    </row>
    <row r="59" spans="2:17" ht="12.75">
      <c r="B59" s="301"/>
      <c r="C59" s="54" t="s">
        <v>128</v>
      </c>
      <c r="D59" s="142" t="s">
        <v>144</v>
      </c>
      <c r="E59" s="143" t="s">
        <v>122</v>
      </c>
      <c r="F59" s="173">
        <f t="shared" si="1"/>
        <v>4.499809670330265</v>
      </c>
      <c r="G59" s="173">
        <f>LN(EXP(SensML!G59)*2)</f>
        <v>0.8433348960606583</v>
      </c>
      <c r="H59" s="222"/>
      <c r="I59" s="42"/>
      <c r="M59" s="185" t="s">
        <v>182</v>
      </c>
      <c r="N59" s="109">
        <v>0.1117</v>
      </c>
      <c r="O59" s="109">
        <v>0.8829</v>
      </c>
      <c r="P59" s="109">
        <v>0.0226</v>
      </c>
      <c r="Q59" s="109">
        <v>0.4299</v>
      </c>
    </row>
    <row r="60" spans="2:17" ht="12.75" customHeight="1">
      <c r="B60" s="301"/>
      <c r="C60" s="54" t="s">
        <v>129</v>
      </c>
      <c r="D60" s="142" t="s">
        <v>144</v>
      </c>
      <c r="E60" s="143" t="s">
        <v>122</v>
      </c>
      <c r="F60" s="281">
        <f t="shared" si="1"/>
        <v>4.499809670330265</v>
      </c>
      <c r="G60" s="173">
        <f>LN(EXP(SensML!G60)*2)</f>
        <v>0.8431471805599453</v>
      </c>
      <c r="H60" s="222"/>
      <c r="I60" s="42"/>
      <c r="M60" s="291" t="s">
        <v>180</v>
      </c>
      <c r="N60" s="292"/>
      <c r="O60" s="292"/>
      <c r="P60" s="292"/>
      <c r="Q60" s="293"/>
    </row>
    <row r="61" spans="2:17" ht="12.75">
      <c r="B61" s="301"/>
      <c r="C61" s="54" t="s">
        <v>130</v>
      </c>
      <c r="D61" s="142" t="s">
        <v>144</v>
      </c>
      <c r="E61" s="144" t="s">
        <v>124</v>
      </c>
      <c r="F61" s="175">
        <f t="shared" si="1"/>
        <v>4.499809670330265</v>
      </c>
      <c r="G61" s="175">
        <f>LN(EXP(SensML!G61)*2)</f>
        <v>0.7917224197014286</v>
      </c>
      <c r="H61" s="222"/>
      <c r="I61" s="42"/>
      <c r="M61" s="12" t="s">
        <v>2</v>
      </c>
      <c r="N61" s="189">
        <v>1</v>
      </c>
      <c r="O61" s="189">
        <v>0</v>
      </c>
      <c r="P61" s="189">
        <v>0</v>
      </c>
      <c r="Q61" s="189">
        <v>-0.0504</v>
      </c>
    </row>
    <row r="62" spans="2:29" ht="12.75">
      <c r="B62" s="301"/>
      <c r="C62" s="54" t="s">
        <v>131</v>
      </c>
      <c r="D62" s="142" t="s">
        <v>144</v>
      </c>
      <c r="E62" s="144" t="s">
        <v>124</v>
      </c>
      <c r="F62" s="175">
        <f t="shared" si="1"/>
        <v>4.499809670330265</v>
      </c>
      <c r="G62" s="175">
        <f>LN(EXP(SensML!G62)*2)</f>
        <v>0.8350106335360636</v>
      </c>
      <c r="H62" s="222"/>
      <c r="I62" s="42"/>
      <c r="M62" s="12" t="s">
        <v>1</v>
      </c>
      <c r="N62" s="189">
        <v>0</v>
      </c>
      <c r="O62" s="189">
        <v>1</v>
      </c>
      <c r="P62" s="189">
        <v>-0.9937</v>
      </c>
      <c r="Q62" s="189">
        <v>0.9718</v>
      </c>
      <c r="AB62" s="19"/>
      <c r="AC62" s="16"/>
    </row>
    <row r="63" spans="2:29" ht="12.75">
      <c r="B63" s="301"/>
      <c r="C63" s="54" t="s">
        <v>132</v>
      </c>
      <c r="D63" s="142" t="s">
        <v>144</v>
      </c>
      <c r="E63" s="144" t="s">
        <v>124</v>
      </c>
      <c r="F63" s="175">
        <f t="shared" si="1"/>
        <v>4.499809670330265</v>
      </c>
      <c r="G63" s="175">
        <f>LN(EXP(SensML!G63)*2)</f>
        <v>0.799291465053245</v>
      </c>
      <c r="H63" s="222"/>
      <c r="I63" s="42"/>
      <c r="M63" s="12" t="s">
        <v>7</v>
      </c>
      <c r="N63" s="189">
        <v>0</v>
      </c>
      <c r="O63" s="189">
        <v>-0.9937</v>
      </c>
      <c r="P63" s="189">
        <v>1</v>
      </c>
      <c r="Q63" s="189">
        <v>-0.9452</v>
      </c>
      <c r="AB63" s="19"/>
      <c r="AC63" s="16"/>
    </row>
    <row r="64" spans="2:29" ht="12.75">
      <c r="B64" s="301" t="s">
        <v>14</v>
      </c>
      <c r="C64" s="54" t="s">
        <v>121</v>
      </c>
      <c r="D64" s="142" t="s">
        <v>144</v>
      </c>
      <c r="E64" s="143" t="s">
        <v>122</v>
      </c>
      <c r="F64" s="173">
        <f>LN(EXP(SensML!F64)*2)</f>
        <v>-0.6868528194400547</v>
      </c>
      <c r="G64" s="173">
        <f>LN(EXP(SensML!G64)*2)</f>
        <v>1.2874737135009893</v>
      </c>
      <c r="H64" s="223">
        <v>2</v>
      </c>
      <c r="I64" s="42"/>
      <c r="J64" s="42"/>
      <c r="M64" s="12" t="s">
        <v>8</v>
      </c>
      <c r="N64" s="189">
        <v>-0.0504</v>
      </c>
      <c r="O64" s="189">
        <v>0.9718</v>
      </c>
      <c r="P64" s="189">
        <v>-0.9452</v>
      </c>
      <c r="Q64" s="189">
        <v>1</v>
      </c>
      <c r="AB64" s="19"/>
      <c r="AC64" s="16"/>
    </row>
    <row r="65" spans="2:29" ht="12.75" customHeight="1">
      <c r="B65" s="301"/>
      <c r="C65" s="54" t="s">
        <v>123</v>
      </c>
      <c r="D65" s="142" t="s">
        <v>144</v>
      </c>
      <c r="E65" s="144" t="s">
        <v>124</v>
      </c>
      <c r="F65" s="174">
        <f>LN(EXP(SensML!F65)*2)</f>
        <v>1.4140059817691055</v>
      </c>
      <c r="G65" s="174">
        <f>LN(EXP(SensML!G65)*2)</f>
        <v>1.2874737135009893</v>
      </c>
      <c r="H65" s="222"/>
      <c r="I65" s="42"/>
      <c r="J65" s="42"/>
      <c r="AB65" s="19"/>
      <c r="AC65" s="16"/>
    </row>
    <row r="66" spans="2:29" ht="12.75">
      <c r="B66" s="301"/>
      <c r="C66" s="54" t="s">
        <v>125</v>
      </c>
      <c r="D66" s="142" t="s">
        <v>144</v>
      </c>
      <c r="E66" s="143" t="s">
        <v>122</v>
      </c>
      <c r="F66" s="175">
        <f>LN(EXP(SensML!F66)*2)</f>
        <v>-0.6931471805599453</v>
      </c>
      <c r="G66" s="175">
        <f>LN(EXP(SensML!G66)*2)</f>
        <v>1.2831471805599453</v>
      </c>
      <c r="H66" s="222"/>
      <c r="I66" s="42"/>
      <c r="J66" s="42"/>
      <c r="AB66" s="19"/>
      <c r="AC66" s="16"/>
    </row>
    <row r="67" spans="2:29" ht="12.75">
      <c r="B67" s="301"/>
      <c r="C67" s="54" t="s">
        <v>126</v>
      </c>
      <c r="D67" s="142" t="s">
        <v>144</v>
      </c>
      <c r="E67" s="144" t="s">
        <v>124</v>
      </c>
      <c r="F67" s="175">
        <f>LN(EXP(SensML!F67)*2)</f>
        <v>0.6495983329886049</v>
      </c>
      <c r="G67" s="175">
        <f>LN(EXP(SensML!G67)*2)</f>
        <v>2.025699148684379</v>
      </c>
      <c r="H67" s="222"/>
      <c r="I67" s="42"/>
      <c r="J67" s="42"/>
      <c r="AB67" s="19"/>
      <c r="AC67" s="16"/>
    </row>
    <row r="68" spans="2:29" ht="12.75">
      <c r="B68" s="301"/>
      <c r="C68" s="54" t="s">
        <v>127</v>
      </c>
      <c r="D68" s="142" t="s">
        <v>144</v>
      </c>
      <c r="E68" s="144" t="s">
        <v>124</v>
      </c>
      <c r="F68" s="175">
        <f>LN(EXP(SensML!F68)*2)</f>
        <v>1.3598663698364681</v>
      </c>
      <c r="G68" s="175">
        <f>LN(EXP(SensML!G68)*2)</f>
        <v>1.5798290896681426</v>
      </c>
      <c r="H68" s="222"/>
      <c r="I68" s="42"/>
      <c r="J68" s="42"/>
      <c r="AB68" s="19"/>
      <c r="AC68" s="16"/>
    </row>
    <row r="69" spans="2:29" ht="12.75">
      <c r="B69" s="301"/>
      <c r="C69" s="54" t="s">
        <v>128</v>
      </c>
      <c r="D69" s="142" t="s">
        <v>144</v>
      </c>
      <c r="E69" s="143" t="s">
        <v>122</v>
      </c>
      <c r="F69" s="173">
        <f>LN(EXP(SensML!F69)*2)</f>
        <v>0.7454845179630664</v>
      </c>
      <c r="G69" s="173">
        <f>LN(EXP(SensML!G69)*2)</f>
        <v>2.025699148684379</v>
      </c>
      <c r="H69" s="222"/>
      <c r="I69" s="42"/>
      <c r="J69" s="42"/>
      <c r="AB69" s="19"/>
      <c r="AC69" s="16"/>
    </row>
    <row r="70" spans="2:29" ht="12.75">
      <c r="B70" s="301"/>
      <c r="C70" s="54" t="s">
        <v>129</v>
      </c>
      <c r="D70" s="142" t="s">
        <v>144</v>
      </c>
      <c r="E70" s="143" t="s">
        <v>122</v>
      </c>
      <c r="F70" s="281">
        <f>LN(EXP(SensML!F70)*2)</f>
        <v>0</v>
      </c>
      <c r="G70" s="173">
        <f>LN(EXP(SensML!G70)*2)</f>
        <v>1.2831471805599453</v>
      </c>
      <c r="H70" s="222"/>
      <c r="I70" s="42"/>
      <c r="J70" s="42"/>
      <c r="AB70" s="19"/>
      <c r="AC70" s="16"/>
    </row>
    <row r="71" spans="2:10" ht="12.75">
      <c r="B71" s="301"/>
      <c r="C71" s="54" t="s">
        <v>130</v>
      </c>
      <c r="D71" s="142" t="s">
        <v>144</v>
      </c>
      <c r="E71" s="144" t="s">
        <v>124</v>
      </c>
      <c r="F71" s="175">
        <f>LN(EXP(SensML!F71)*2)</f>
        <v>3.0239671033607434</v>
      </c>
      <c r="G71" s="175">
        <f>LN(EXP(SensML!G71)*2)</f>
        <v>1.2783251059691019</v>
      </c>
      <c r="H71" s="222"/>
      <c r="I71" s="42"/>
      <c r="J71" s="42"/>
    </row>
    <row r="72" spans="2:15" ht="12.75">
      <c r="B72" s="301"/>
      <c r="C72" s="54" t="s">
        <v>131</v>
      </c>
      <c r="D72" s="142" t="s">
        <v>144</v>
      </c>
      <c r="E72" s="144" t="s">
        <v>124</v>
      </c>
      <c r="F72" s="175">
        <f>LN(EXP(SensML!F72)*2)</f>
        <v>-2.427602499654904</v>
      </c>
      <c r="G72" s="175">
        <f>LN(EXP(SensML!G72)*2)</f>
        <v>1.066317043910206</v>
      </c>
      <c r="H72" s="222"/>
      <c r="I72" s="42"/>
      <c r="J72" s="42"/>
      <c r="O72" s="126"/>
    </row>
    <row r="73" spans="2:10" ht="12.75">
      <c r="B73" s="301"/>
      <c r="C73" s="60" t="s">
        <v>132</v>
      </c>
      <c r="D73" s="146" t="s">
        <v>144</v>
      </c>
      <c r="E73" s="145" t="s">
        <v>122</v>
      </c>
      <c r="F73" s="175">
        <f>LN(EXP(SensML!F73)*2)</f>
        <v>2.470821211304652</v>
      </c>
      <c r="G73" s="175">
        <f>LN(EXP(SensML!G73)*2)</f>
        <v>1.2783251059691019</v>
      </c>
      <c r="H73" s="18"/>
      <c r="I73" s="42"/>
      <c r="J73" s="42"/>
    </row>
    <row r="74" spans="2:10" ht="12.75">
      <c r="B74" s="305" t="s">
        <v>146</v>
      </c>
      <c r="C74" s="148" t="s">
        <v>151</v>
      </c>
      <c r="D74" s="149"/>
      <c r="E74" s="303" t="s">
        <v>149</v>
      </c>
      <c r="F74" s="303"/>
      <c r="G74" s="303"/>
      <c r="H74" s="304"/>
      <c r="J74" s="42"/>
    </row>
    <row r="75" spans="2:8" ht="12.75">
      <c r="B75" s="301"/>
      <c r="C75" s="147" t="s">
        <v>22</v>
      </c>
      <c r="D75" s="59" t="s">
        <v>143</v>
      </c>
      <c r="E75" s="177">
        <v>0</v>
      </c>
      <c r="F75" s="177">
        <v>0.01</v>
      </c>
      <c r="G75" s="177">
        <v>0.1</v>
      </c>
      <c r="H75" s="177">
        <v>1</v>
      </c>
    </row>
    <row r="76" spans="2:8" ht="12.75" customHeight="1">
      <c r="B76" s="301"/>
      <c r="C76" s="141" t="s">
        <v>147</v>
      </c>
      <c r="D76" s="53" t="s">
        <v>145</v>
      </c>
      <c r="E76" s="170">
        <v>0</v>
      </c>
      <c r="F76" s="170">
        <v>0</v>
      </c>
      <c r="G76" s="170">
        <v>0</v>
      </c>
      <c r="H76" s="170">
        <v>1</v>
      </c>
    </row>
    <row r="77" spans="2:16" ht="12.75">
      <c r="B77" s="301"/>
      <c r="C77" s="141" t="s">
        <v>148</v>
      </c>
      <c r="D77" s="53" t="s">
        <v>145</v>
      </c>
      <c r="E77" s="170">
        <v>0</v>
      </c>
      <c r="F77" s="170">
        <v>0</v>
      </c>
      <c r="G77" s="170">
        <v>0</v>
      </c>
      <c r="H77" s="170">
        <v>1</v>
      </c>
      <c r="J77" s="312" t="s">
        <v>82</v>
      </c>
      <c r="K77" s="313"/>
      <c r="L77" s="313"/>
      <c r="M77" s="313"/>
      <c r="N77" s="313"/>
      <c r="O77" s="313"/>
      <c r="P77" s="314"/>
    </row>
    <row r="78" spans="2:16" ht="12.75">
      <c r="B78" s="301"/>
      <c r="C78" s="141" t="s">
        <v>123</v>
      </c>
      <c r="D78" s="53" t="s">
        <v>145</v>
      </c>
      <c r="E78" s="170">
        <v>0</v>
      </c>
      <c r="F78" s="170">
        <v>0</v>
      </c>
      <c r="G78" s="170">
        <v>0</v>
      </c>
      <c r="H78" s="170">
        <v>1</v>
      </c>
      <c r="J78" s="155" t="s">
        <v>88</v>
      </c>
      <c r="K78" s="155" t="s">
        <v>83</v>
      </c>
      <c r="L78" s="323" t="s">
        <v>84</v>
      </c>
      <c r="M78" s="323"/>
      <c r="N78" s="323"/>
      <c r="O78" s="323"/>
      <c r="P78" s="323"/>
    </row>
    <row r="79" spans="2:16" ht="12.75">
      <c r="B79" s="301"/>
      <c r="C79" s="141" t="s">
        <v>125</v>
      </c>
      <c r="D79" s="53" t="s">
        <v>145</v>
      </c>
      <c r="E79" s="170">
        <v>0</v>
      </c>
      <c r="F79" s="170">
        <v>0</v>
      </c>
      <c r="G79" s="170">
        <v>0</v>
      </c>
      <c r="H79" s="170">
        <v>1</v>
      </c>
      <c r="J79" s="159" t="s">
        <v>86</v>
      </c>
      <c r="K79" s="160">
        <v>0.01</v>
      </c>
      <c r="L79" s="310" t="s">
        <v>91</v>
      </c>
      <c r="M79" s="310"/>
      <c r="N79" s="310"/>
      <c r="O79" s="310"/>
      <c r="P79" s="310"/>
    </row>
    <row r="80" spans="2:16" ht="12.75">
      <c r="B80" s="301"/>
      <c r="C80" s="141" t="s">
        <v>126</v>
      </c>
      <c r="D80" s="53" t="s">
        <v>145</v>
      </c>
      <c r="E80" s="170">
        <v>0</v>
      </c>
      <c r="F80" s="170">
        <v>0</v>
      </c>
      <c r="G80" s="170">
        <v>0</v>
      </c>
      <c r="H80" s="170">
        <v>1</v>
      </c>
      <c r="J80" s="159" t="s">
        <v>87</v>
      </c>
      <c r="K80" s="160">
        <v>0.1</v>
      </c>
      <c r="L80" s="310" t="s">
        <v>90</v>
      </c>
      <c r="M80" s="310"/>
      <c r="N80" s="310"/>
      <c r="O80" s="310"/>
      <c r="P80" s="310"/>
    </row>
    <row r="81" spans="2:16" ht="12.75">
      <c r="B81" s="301"/>
      <c r="C81" s="141" t="s">
        <v>127</v>
      </c>
      <c r="D81" s="53" t="s">
        <v>145</v>
      </c>
      <c r="E81" s="170">
        <v>0</v>
      </c>
      <c r="F81" s="170">
        <v>0</v>
      </c>
      <c r="G81" s="170">
        <v>0</v>
      </c>
      <c r="H81" s="170">
        <v>1</v>
      </c>
      <c r="J81" s="161"/>
      <c r="K81" s="160">
        <v>1</v>
      </c>
      <c r="L81" s="310" t="s">
        <v>89</v>
      </c>
      <c r="M81" s="310"/>
      <c r="N81" s="310"/>
      <c r="O81" s="310"/>
      <c r="P81" s="310"/>
    </row>
    <row r="82" spans="2:16" ht="12.75">
      <c r="B82" s="301"/>
      <c r="C82" s="141" t="s">
        <v>128</v>
      </c>
      <c r="D82" s="53" t="s">
        <v>145</v>
      </c>
      <c r="E82" s="170">
        <v>0</v>
      </c>
      <c r="F82" s="170">
        <v>0</v>
      </c>
      <c r="G82" s="170">
        <v>0</v>
      </c>
      <c r="H82" s="170">
        <v>1</v>
      </c>
      <c r="J82" s="162"/>
      <c r="K82" s="163">
        <f>0.11*60</f>
        <v>6.6</v>
      </c>
      <c r="L82" s="310" t="s">
        <v>85</v>
      </c>
      <c r="M82" s="310"/>
      <c r="N82" s="310"/>
      <c r="O82" s="310"/>
      <c r="P82" s="310"/>
    </row>
    <row r="83" spans="2:8" ht="12.75">
      <c r="B83" s="301"/>
      <c r="C83" s="141" t="s">
        <v>129</v>
      </c>
      <c r="D83" s="53" t="s">
        <v>145</v>
      </c>
      <c r="E83" s="170">
        <v>0</v>
      </c>
      <c r="F83" s="170">
        <v>0</v>
      </c>
      <c r="G83" s="170">
        <v>0</v>
      </c>
      <c r="H83" s="170">
        <v>1</v>
      </c>
    </row>
    <row r="84" spans="2:8" ht="12.75">
      <c r="B84" s="301"/>
      <c r="C84" s="141" t="s">
        <v>130</v>
      </c>
      <c r="D84" s="53" t="s">
        <v>145</v>
      </c>
      <c r="E84" s="170">
        <v>0</v>
      </c>
      <c r="F84" s="170">
        <v>0</v>
      </c>
      <c r="G84" s="170">
        <v>0</v>
      </c>
      <c r="H84" s="170">
        <v>1</v>
      </c>
    </row>
    <row r="85" spans="2:8" ht="12.75">
      <c r="B85" s="301"/>
      <c r="C85" s="141" t="s">
        <v>131</v>
      </c>
      <c r="D85" s="53" t="s">
        <v>145</v>
      </c>
      <c r="E85" s="170">
        <v>0</v>
      </c>
      <c r="F85" s="170">
        <v>0</v>
      </c>
      <c r="G85" s="170">
        <v>0</v>
      </c>
      <c r="H85" s="170">
        <v>1</v>
      </c>
    </row>
    <row r="86" spans="2:8" ht="12.75">
      <c r="B86" s="301"/>
      <c r="C86" s="141" t="s">
        <v>132</v>
      </c>
      <c r="D86" s="53" t="s">
        <v>145</v>
      </c>
      <c r="E86" s="170">
        <v>0</v>
      </c>
      <c r="F86" s="170">
        <v>0</v>
      </c>
      <c r="G86" s="170">
        <v>0</v>
      </c>
      <c r="H86" s="170">
        <v>1</v>
      </c>
    </row>
    <row r="87" spans="2:7" ht="12.75">
      <c r="B87" s="56" t="s">
        <v>163</v>
      </c>
      <c r="C87" s="122"/>
      <c r="D87" s="122"/>
      <c r="E87" s="122"/>
      <c r="F87" s="122"/>
      <c r="G87" s="123"/>
    </row>
    <row r="88" spans="2:7" ht="12.75">
      <c r="B88" s="302" t="s">
        <v>162</v>
      </c>
      <c r="C88" s="150" t="s">
        <v>152</v>
      </c>
      <c r="D88" s="125" t="s">
        <v>17</v>
      </c>
      <c r="E88" s="283" t="s">
        <v>153</v>
      </c>
      <c r="F88" s="283"/>
      <c r="G88" s="283"/>
    </row>
    <row r="89" spans="2:7" ht="12.75">
      <c r="B89" s="302"/>
      <c r="C89" s="151" t="s">
        <v>154</v>
      </c>
      <c r="D89" s="190">
        <f>1-(D96+D97)</f>
        <v>0.19331577617872675</v>
      </c>
      <c r="E89" s="154"/>
      <c r="F89" s="59" t="s">
        <v>17</v>
      </c>
      <c r="G89" s="59" t="s">
        <v>61</v>
      </c>
    </row>
    <row r="90" spans="2:7" ht="12.75">
      <c r="B90" s="302"/>
      <c r="C90" s="287" t="s">
        <v>157</v>
      </c>
      <c r="D90" s="287"/>
      <c r="E90" s="191">
        <f>SensML!E90+1</f>
        <v>1.9399999999999995</v>
      </c>
      <c r="F90" s="192">
        <f>SensML!F90*2</f>
        <v>0.24</v>
      </c>
      <c r="G90" s="52">
        <f>F90/F96</f>
        <v>0.12</v>
      </c>
    </row>
    <row r="91" spans="2:7" ht="12.75">
      <c r="B91" s="302"/>
      <c r="C91" s="311" t="s">
        <v>158</v>
      </c>
      <c r="D91" s="311"/>
      <c r="E91" s="191">
        <f>SensML!E91+1</f>
        <v>2.76</v>
      </c>
      <c r="F91" s="192">
        <f>SensML!F91*2</f>
        <v>0.27</v>
      </c>
      <c r="G91" s="52">
        <f>F91/$F$96+G90</f>
        <v>0.255</v>
      </c>
    </row>
    <row r="92" spans="2:7" ht="12.75">
      <c r="B92" s="302"/>
      <c r="C92" s="311" t="s">
        <v>159</v>
      </c>
      <c r="D92" s="311"/>
      <c r="E92" s="191">
        <f>SensML!E92+1</f>
        <v>5.933333333333334</v>
      </c>
      <c r="F92" s="192">
        <f>SensML!F92*2</f>
        <v>0.47</v>
      </c>
      <c r="G92" s="52">
        <f>F92/$F$96+G91</f>
        <v>0.49</v>
      </c>
    </row>
    <row r="93" spans="2:7" ht="12.75">
      <c r="B93" s="302"/>
      <c r="C93" s="311" t="s">
        <v>159</v>
      </c>
      <c r="D93" s="311"/>
      <c r="E93" s="191">
        <f>SensML!E93+1</f>
        <v>7.09</v>
      </c>
      <c r="F93" s="192">
        <f>SensML!F93*2</f>
        <v>0.47</v>
      </c>
      <c r="G93" s="52">
        <f>F93/$F$96+G92</f>
        <v>0.725</v>
      </c>
    </row>
    <row r="94" spans="2:7" ht="12.75">
      <c r="B94" s="302"/>
      <c r="C94" s="311" t="s">
        <v>160</v>
      </c>
      <c r="D94" s="311"/>
      <c r="E94" s="191">
        <f>SensML!E94+1</f>
        <v>7.324444444444444</v>
      </c>
      <c r="F94" s="192">
        <f>SensML!F94*2</f>
        <v>0.27</v>
      </c>
      <c r="G94" s="52">
        <f>F94/$F$96+G93</f>
        <v>0.86</v>
      </c>
    </row>
    <row r="95" spans="2:7" ht="12.75">
      <c r="B95" s="302"/>
      <c r="C95" s="311" t="s">
        <v>161</v>
      </c>
      <c r="D95" s="311"/>
      <c r="E95" s="191">
        <f>SensML!E95+1</f>
        <v>9</v>
      </c>
      <c r="F95" s="192">
        <f>SensML!F95*2</f>
        <v>0.28</v>
      </c>
      <c r="G95" s="52">
        <f>F95/$F$96+G94</f>
        <v>1</v>
      </c>
    </row>
    <row r="96" spans="2:6" ht="12.75">
      <c r="B96" s="302"/>
      <c r="C96" s="153" t="s">
        <v>155</v>
      </c>
      <c r="D96" s="192">
        <f>SensML!D96*2</f>
        <v>0.006684223821273257</v>
      </c>
      <c r="E96" s="191">
        <f>SensML!E96+1</f>
        <v>1</v>
      </c>
      <c r="F96">
        <f>SUM(F90:F95)</f>
        <v>2</v>
      </c>
    </row>
    <row r="97" spans="2:5" ht="12.75">
      <c r="B97" s="302"/>
      <c r="C97" s="152" t="s">
        <v>156</v>
      </c>
      <c r="D97" s="192">
        <v>0.8</v>
      </c>
      <c r="E97" s="191">
        <f>SensML!E97+1</f>
        <v>13</v>
      </c>
    </row>
    <row r="98" spans="2:4" ht="12.75">
      <c r="B98" s="317" t="s">
        <v>177</v>
      </c>
      <c r="C98" s="285"/>
      <c r="D98" s="286"/>
    </row>
    <row r="99" spans="2:4" ht="12.75">
      <c r="B99" s="316" t="s">
        <v>62</v>
      </c>
      <c r="C99" s="316"/>
      <c r="D99" s="194">
        <v>1</v>
      </c>
    </row>
    <row r="100" spans="2:4" ht="12.75">
      <c r="B100" s="316" t="s">
        <v>63</v>
      </c>
      <c r="C100" s="316"/>
      <c r="D100" s="194">
        <v>1</v>
      </c>
    </row>
    <row r="101" spans="2:4" ht="12.75">
      <c r="B101" s="298" t="s">
        <v>139</v>
      </c>
      <c r="C101" s="299"/>
      <c r="D101" s="315"/>
    </row>
    <row r="102" spans="2:4" ht="12.75">
      <c r="B102" s="308" t="s">
        <v>142</v>
      </c>
      <c r="C102" s="309"/>
      <c r="D102" s="140"/>
    </row>
    <row r="103" spans="2:4" ht="12.75">
      <c r="B103" s="308"/>
      <c r="C103" s="309"/>
      <c r="D103" s="18"/>
    </row>
    <row r="104" spans="2:4" ht="12.75">
      <c r="B104" s="308" t="s">
        <v>65</v>
      </c>
      <c r="C104" s="308"/>
      <c r="D104" s="195">
        <f>LN(4)</f>
        <v>1.3862943611198906</v>
      </c>
    </row>
    <row r="105" spans="2:4" ht="12.75">
      <c r="B105" s="308" t="s">
        <v>21</v>
      </c>
      <c r="C105" s="308"/>
      <c r="D105" s="170">
        <f>LN(8)</f>
        <v>2.0794415416798357</v>
      </c>
    </row>
    <row r="106" spans="2:3" ht="12.75">
      <c r="B106" s="298" t="s">
        <v>136</v>
      </c>
      <c r="C106" s="300"/>
    </row>
    <row r="107" spans="2:3" ht="12.75">
      <c r="B107" s="54" t="s">
        <v>137</v>
      </c>
      <c r="C107" s="169">
        <v>0.2274</v>
      </c>
    </row>
    <row r="108" spans="2:3" ht="12.75">
      <c r="B108" s="54" t="s">
        <v>138</v>
      </c>
      <c r="C108" s="169">
        <v>57.96</v>
      </c>
    </row>
    <row r="110" spans="3:5" ht="12.75">
      <c r="C110" s="211"/>
      <c r="D110" s="212"/>
      <c r="E110" s="212"/>
    </row>
  </sheetData>
  <mergeCells count="50">
    <mergeCell ref="M60:Q60"/>
    <mergeCell ref="B50:B51"/>
    <mergeCell ref="M43:Q43"/>
    <mergeCell ref="M49:Q49"/>
    <mergeCell ref="M54:Q54"/>
    <mergeCell ref="I41:J43"/>
    <mergeCell ref="B101:D101"/>
    <mergeCell ref="B40:H40"/>
    <mergeCell ref="B13:C13"/>
    <mergeCell ref="C91:D91"/>
    <mergeCell ref="C92:D92"/>
    <mergeCell ref="C93:D93"/>
    <mergeCell ref="C94:D94"/>
    <mergeCell ref="C95:D95"/>
    <mergeCell ref="E88:G88"/>
    <mergeCell ref="B64:B73"/>
    <mergeCell ref="B102:C103"/>
    <mergeCell ref="B104:C104"/>
    <mergeCell ref="B105:C105"/>
    <mergeCell ref="B106:C106"/>
    <mergeCell ref="B99:C99"/>
    <mergeCell ref="B12:C12"/>
    <mergeCell ref="B10:C10"/>
    <mergeCell ref="B100:C100"/>
    <mergeCell ref="B74:B86"/>
    <mergeCell ref="C90:D90"/>
    <mergeCell ref="B88:B97"/>
    <mergeCell ref="B27:B28"/>
    <mergeCell ref="B25:B26"/>
    <mergeCell ref="B24:E24"/>
    <mergeCell ref="L79:P79"/>
    <mergeCell ref="L78:P78"/>
    <mergeCell ref="E74:H74"/>
    <mergeCell ref="B7:D7"/>
    <mergeCell ref="B8:C8"/>
    <mergeCell ref="B11:C11"/>
    <mergeCell ref="B9:C9"/>
    <mergeCell ref="B54:B63"/>
    <mergeCell ref="B46:B47"/>
    <mergeCell ref="B48:B49"/>
    <mergeCell ref="B98:D98"/>
    <mergeCell ref="L80:P80"/>
    <mergeCell ref="B4:C4"/>
    <mergeCell ref="B2:C2"/>
    <mergeCell ref="B3:C3"/>
    <mergeCell ref="B14:D14"/>
    <mergeCell ref="B45:K45"/>
    <mergeCell ref="L82:P82"/>
    <mergeCell ref="J77:P77"/>
    <mergeCell ref="L81:P81"/>
  </mergeCells>
  <dataValidations count="2">
    <dataValidation type="list" allowBlank="1" showInputMessage="1" showErrorMessage="1" promptTitle="Lag Method" prompt="Select &#10;ResetLag or AccumulateLag" errorTitle="Lag Method" error="Select ResetLag or AccumulateLag" sqref="D12">
      <formula1>$H$3:$H$4</formula1>
    </dataValidation>
    <dataValidation type="list" allowBlank="1" showInputMessage="1" showErrorMessage="1" promptTitle="Stochastic Growth?" prompt="Pick &quot;True&quot; if you wish to use the stochastic growth model.  Pick &quot;False&quot; if you wish to use the deterministic growth model." errorTitle="Stochastic growth" error="Select TRUE or FALSE" sqref="D13">
      <formula1>$H$5:$H$6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Schlosser and Eric Ebel</dc:creator>
  <cp:keywords/>
  <dc:description/>
  <cp:lastModifiedBy>WSchlosser</cp:lastModifiedBy>
  <dcterms:created xsi:type="dcterms:W3CDTF">2002-07-01T19:29:57Z</dcterms:created>
  <dcterms:modified xsi:type="dcterms:W3CDTF">2004-02-19T17:54:24Z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1835075690</vt:i4>
  </property>
  <property fmtid="{D5CDD505-2E9C-101B-9397-08002B2CF9AE}" pid="4" name="_EmailSubje">
    <vt:lpwstr>RE: </vt:lpwstr>
  </property>
  <property fmtid="{D5CDD505-2E9C-101B-9397-08002B2CF9AE}" pid="5" name="_AuthorEma">
    <vt:lpwstr>Carl.Schroeder@fsis.usda.gov</vt:lpwstr>
  </property>
  <property fmtid="{D5CDD505-2E9C-101B-9397-08002B2CF9AE}" pid="6" name="_AuthorEmailDisplayNa">
    <vt:lpwstr>Schroeder, Carl</vt:lpwstr>
  </property>
</Properties>
</file>