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355" windowHeight="8700" activeTab="1"/>
  </bookViews>
  <sheets>
    <sheet name="User's Guide" sheetId="1" r:id="rId1"/>
    <sheet name="Activity Description" sheetId="2" r:id="rId2"/>
    <sheet name="ERR &amp; Sensitivity Analysis" sheetId="3" r:id="rId3"/>
    <sheet name="Mafia Airport" sheetId="4" r:id="rId4"/>
    <sheet name="Basics" sheetId="5" r:id="rId5"/>
    <sheet name="Airside-Passenger" sheetId="6" r:id="rId6"/>
    <sheet name="Airside-Freight" sheetId="7" r:id="rId7"/>
    <sheet name="Terminal" sheetId="8" r:id="rId8"/>
    <sheet name="Induced Production" sheetId="9" r:id="rId9"/>
    <sheet name="Benefit Profile" sheetId="10" r:id="rId10"/>
    <sheet name="Annex III" sheetId="11" r:id="rId11"/>
    <sheet name="GDP with pop" sheetId="12" r:id="rId12"/>
    <sheet name="Regional GDP" sheetId="13" r:id="rId13"/>
    <sheet name="GDP per capita" sheetId="14" r:id="rId14"/>
    <sheet name="Tourism Stats" sheetId="15" r:id="rId15"/>
  </sheets>
  <externalReferences>
    <externalReference r:id="rId18"/>
    <externalReference r:id="rId19"/>
    <externalReference r:id="rId20"/>
    <externalReference r:id="rId21"/>
    <externalReference r:id="rId22"/>
    <externalReference r:id="rId23"/>
    <externalReference r:id="rId24"/>
  </externalReferences>
  <definedNames>
    <definedName name="Addgrow">#REF!</definedName>
    <definedName name="annwage">#REF!</definedName>
    <definedName name="avgwage">'[5]Key Assumptions'!$G$9</definedName>
    <definedName name="cablife">'[3]Assumptions'!$H$29</definedName>
    <definedName name="CBWorkbookPriority" hidden="1">-1802552942</definedName>
    <definedName name="Costs">#REF!</definedName>
    <definedName name="Costs2">'[3]Assumptions'!$W$7:$AB$15</definedName>
    <definedName name="debt">'[4]Inputs'!$C$13</definedName>
    <definedName name="disc">#REF!</definedName>
    <definedName name="disc2">'Basics'!$G$13</definedName>
    <definedName name="disease_cases">'[1]Assumptions'!#REF!</definedName>
    <definedName name="DPY">'[5]Key Assumptions'!$G$24</definedName>
    <definedName name="ECF">'[6]LU'!$AF$8</definedName>
    <definedName name="eduwageadd">'[1]Morogoro'!$K$31</definedName>
    <definedName name="eduwagenr">'[1]Morogoro'!$K$29</definedName>
    <definedName name="ex_rate">'[3]Assumptions'!$H$14</definedName>
    <definedName name="exch">#REF!</definedName>
    <definedName name="exch2">'Basics'!$G$8</definedName>
    <definedName name="gasswitch">'[3]Assumptions'!$H$47</definedName>
    <definedName name="grow">#REF!</definedName>
    <definedName name="grow2">'Basics'!$G$9</definedName>
    <definedName name="infl">'[5]Key Assumptions'!$G$38</definedName>
    <definedName name="kigomagrow">'Benefit Profile'!#REF!</definedName>
    <definedName name="LCC">'[5]Key Assumptions'!$G$38</definedName>
    <definedName name="LCC2">'Basics'!#REF!</definedName>
    <definedName name="Lessgrow">#REF!</definedName>
    <definedName name="LF0913">'[3]Assumptions'!$G$12</definedName>
    <definedName name="LF1423">'[3]Assumptions'!$H$12</definedName>
    <definedName name="LF2433">'[3]Assumptions'!$I$12</definedName>
    <definedName name="LF2434">'[3]Assumptions'!$I$12</definedName>
    <definedName name="list">'[1]Assumptions'!#REF!</definedName>
    <definedName name="loadshed">'[3]Assumptions'!#REF!</definedName>
    <definedName name="lpb">#REF!</definedName>
    <definedName name="LU1">'[6]LU'!$A$3:$V$57</definedName>
    <definedName name="LUsum">'[6]Summary'!$A$6:$S$16</definedName>
    <definedName name="LVA">'[5]Key Assumptions'!$G$37</definedName>
    <definedName name="LVA2">'Basics'!#REF!</definedName>
    <definedName name="mafiagrow">'Benefit Profile'!$D$10</definedName>
    <definedName name="mvacap">'[3]Assumptions'!$H$31</definedName>
    <definedName name="nmarkup">#REF!</definedName>
    <definedName name="omcost">#REF!</definedName>
    <definedName name="omcost2">'Basics'!$G$10</definedName>
    <definedName name="origom">'Basics'!$G$12</definedName>
    <definedName name="pfactor">'[3]Assumptions'!$H$13</definedName>
    <definedName name="Phasing">#REF!</definedName>
    <definedName name="Phasing2">'[3]Planting'!$F$4:$S$10</definedName>
    <definedName name="pow_importprice">'[3]Assumptions'!$M$8:$O$35</definedName>
    <definedName name="ppatable">'[3]Assumptions'!$L$9:$P$35</definedName>
    <definedName name="prod">'[2]Key Assumptions'!$H$41</definedName>
    <definedName name="residcapex">'[3]Assumptions'!$H$49</definedName>
    <definedName name="startyear">'[3]Assumptions'!$H$36</definedName>
    <definedName name="TADE">'Induced Production'!$L$3</definedName>
    <definedName name="TEM">'[7]Key Assumptions'!$H$42</definedName>
    <definedName name="unserved">'[3]Assumptions'!$H$35</definedName>
    <definedName name="UWSSA">#REF!</definedName>
    <definedName name="voll">'[3]Assumptions'!$H$30</definedName>
    <definedName name="Year1">'Basics'!$G$7</definedName>
  </definedNames>
  <calcPr fullCalcOnLoad="1"/>
</workbook>
</file>

<file path=xl/comments10.xml><?xml version="1.0" encoding="utf-8"?>
<comments xmlns="http://schemas.openxmlformats.org/spreadsheetml/2006/main">
  <authors>
    <author>dennisbn</author>
  </authors>
  <commentList>
    <comment ref="D23" authorId="0">
      <text>
        <r>
          <rPr>
            <b/>
            <sz val="8"/>
            <rFont val="Tahoma"/>
            <family val="0"/>
          </rPr>
          <t>MCC:</t>
        </r>
        <r>
          <rPr>
            <sz val="8"/>
            <rFont val="Tahoma"/>
            <family val="0"/>
          </rPr>
          <t xml:space="preserve">
Discussions with George Sambali, TAA</t>
        </r>
      </text>
    </comment>
    <comment ref="B2" authorId="0">
      <text>
        <r>
          <rPr>
            <b/>
            <sz val="8"/>
            <rFont val="Tahoma"/>
            <family val="0"/>
          </rPr>
          <t>MCC:</t>
        </r>
        <r>
          <rPr>
            <sz val="8"/>
            <rFont val="Tahoma"/>
            <family val="0"/>
          </rPr>
          <t xml:space="preserve">
Discussions with George Sambali, TAA.</t>
        </r>
      </text>
    </comment>
  </commentList>
</comments>
</file>

<file path=xl/comments4.xml><?xml version="1.0" encoding="utf-8"?>
<comments xmlns="http://schemas.openxmlformats.org/spreadsheetml/2006/main">
  <authors>
    <author>dennisbn</author>
  </authors>
  <commentList>
    <comment ref="E168" authorId="0">
      <text>
        <r>
          <rPr>
            <b/>
            <sz val="8"/>
            <rFont val="Tahoma"/>
            <family val="0"/>
          </rPr>
          <t>MCC:</t>
        </r>
        <r>
          <rPr>
            <sz val="8"/>
            <rFont val="Tahoma"/>
            <family val="0"/>
          </rPr>
          <t xml:space="preserve">
Source: NBS Statistical Abstract, 2002, GoT. http://www.nbs.go.tz/abstract2002/pdf/population.pdf</t>
        </r>
      </text>
    </comment>
    <comment ref="E172" authorId="0">
      <text>
        <r>
          <rPr>
            <b/>
            <sz val="8"/>
            <rFont val="Tahoma"/>
            <family val="0"/>
          </rPr>
          <t>MCC:</t>
        </r>
        <r>
          <rPr>
            <sz val="8"/>
            <rFont val="Tahoma"/>
            <family val="0"/>
          </rPr>
          <t xml:space="preserve">
http://www.nbs.go.tz/nationalaccount/index.htm</t>
        </r>
      </text>
    </comment>
  </commentList>
</comments>
</file>

<file path=xl/comments5.xml><?xml version="1.0" encoding="utf-8"?>
<comments xmlns="http://schemas.openxmlformats.org/spreadsheetml/2006/main">
  <authors>
    <author>dennisbn</author>
  </authors>
  <commentList>
    <comment ref="S23" authorId="0">
      <text>
        <r>
          <rPr>
            <b/>
            <sz val="8"/>
            <rFont val="Tahoma"/>
            <family val="0"/>
          </rPr>
          <t>dennisbn:</t>
        </r>
        <r>
          <rPr>
            <sz val="8"/>
            <rFont val="Tahoma"/>
            <family val="0"/>
          </rPr>
          <t xml:space="preserve">
58k transmission, 250k distribution</t>
        </r>
      </text>
    </comment>
    <comment ref="BA23" authorId="0">
      <text>
        <r>
          <rPr>
            <b/>
            <sz val="8"/>
            <rFont val="Tahoma"/>
            <family val="0"/>
          </rPr>
          <t>dennisbn:</t>
        </r>
        <r>
          <rPr>
            <sz val="8"/>
            <rFont val="Tahoma"/>
            <family val="0"/>
          </rPr>
          <t xml:space="preserve">
Accounts billed for 2003/4.</t>
        </r>
      </text>
    </comment>
    <comment ref="AZ23" authorId="0">
      <text>
        <r>
          <rPr>
            <b/>
            <sz val="8"/>
            <rFont val="Tahoma"/>
            <family val="0"/>
          </rPr>
          <t>dennisbn:</t>
        </r>
        <r>
          <rPr>
            <sz val="8"/>
            <rFont val="Tahoma"/>
            <family val="0"/>
          </rPr>
          <t xml:space="preserve">
Actual average water output in 2003/4. Capacity rated at 24,000.</t>
        </r>
      </text>
    </comment>
    <comment ref="AZ27" authorId="0">
      <text>
        <r>
          <rPr>
            <b/>
            <sz val="8"/>
            <rFont val="Tahoma"/>
            <family val="0"/>
          </rPr>
          <t>dennisbn:</t>
        </r>
        <r>
          <rPr>
            <sz val="8"/>
            <rFont val="Tahoma"/>
            <family val="0"/>
          </rPr>
          <t xml:space="preserve">
Monthly figure for October 2004.</t>
        </r>
      </text>
    </comment>
    <comment ref="BA27" authorId="0">
      <text>
        <r>
          <rPr>
            <b/>
            <sz val="8"/>
            <rFont val="Tahoma"/>
            <family val="0"/>
          </rPr>
          <t>dennisbn:</t>
        </r>
        <r>
          <rPr>
            <sz val="8"/>
            <rFont val="Tahoma"/>
            <family val="0"/>
          </rPr>
          <t xml:space="preserve">
Monthly figure for October 2004.</t>
        </r>
      </text>
    </comment>
    <comment ref="BA29" authorId="0">
      <text>
        <r>
          <rPr>
            <b/>
            <sz val="8"/>
            <rFont val="Tahoma"/>
            <family val="0"/>
          </rPr>
          <t>dennisbn:</t>
        </r>
        <r>
          <rPr>
            <sz val="8"/>
            <rFont val="Tahoma"/>
            <family val="0"/>
          </rPr>
          <t xml:space="preserve">
2003/4
</t>
        </r>
      </text>
    </comment>
    <comment ref="AZ29" authorId="0">
      <text>
        <r>
          <rPr>
            <b/>
            <sz val="8"/>
            <rFont val="Tahoma"/>
            <family val="0"/>
          </rPr>
          <t>dennisbn:</t>
        </r>
        <r>
          <rPr>
            <sz val="8"/>
            <rFont val="Tahoma"/>
            <family val="0"/>
          </rPr>
          <t xml:space="preserve">
2003/4</t>
        </r>
      </text>
    </comment>
    <comment ref="S33" authorId="0">
      <text>
        <r>
          <rPr>
            <b/>
            <sz val="8"/>
            <rFont val="Tahoma"/>
            <family val="0"/>
          </rPr>
          <t>dennisbn:</t>
        </r>
        <r>
          <rPr>
            <sz val="8"/>
            <rFont val="Tahoma"/>
            <family val="0"/>
          </rPr>
          <t xml:space="preserve">
36k of transmission, 102k of distribution</t>
        </r>
      </text>
    </comment>
    <comment ref="BA35" authorId="0">
      <text>
        <r>
          <rPr>
            <b/>
            <sz val="8"/>
            <rFont val="Tahoma"/>
            <family val="0"/>
          </rPr>
          <t>dennisbn:</t>
        </r>
        <r>
          <rPr>
            <sz val="8"/>
            <rFont val="Tahoma"/>
            <family val="0"/>
          </rPr>
          <t xml:space="preserve">
Complex calculations for 2003/4</t>
        </r>
      </text>
    </comment>
    <comment ref="AZ35" authorId="0">
      <text>
        <r>
          <rPr>
            <b/>
            <sz val="8"/>
            <rFont val="Tahoma"/>
            <family val="0"/>
          </rPr>
          <t>dennisbn:</t>
        </r>
        <r>
          <rPr>
            <sz val="8"/>
            <rFont val="Tahoma"/>
            <family val="0"/>
          </rPr>
          <t xml:space="preserve">
2003/4</t>
        </r>
      </text>
    </comment>
    <comment ref="S39" authorId="0">
      <text>
        <r>
          <rPr>
            <b/>
            <sz val="8"/>
            <rFont val="Tahoma"/>
            <family val="0"/>
          </rPr>
          <t>dennisbn:</t>
        </r>
        <r>
          <rPr>
            <sz val="8"/>
            <rFont val="Tahoma"/>
            <family val="0"/>
          </rPr>
          <t xml:space="preserve">
40k of trans. And 75k of distr.</t>
        </r>
      </text>
    </comment>
    <comment ref="AJ43" authorId="0">
      <text>
        <r>
          <rPr>
            <b/>
            <sz val="8"/>
            <rFont val="Tahoma"/>
            <family val="0"/>
          </rPr>
          <t>dennisbn:</t>
        </r>
        <r>
          <rPr>
            <sz val="8"/>
            <rFont val="Tahoma"/>
            <family val="0"/>
          </rPr>
          <t xml:space="preserve">
"Bulk"</t>
        </r>
      </text>
    </comment>
    <comment ref="AK43" authorId="0">
      <text>
        <r>
          <rPr>
            <b/>
            <sz val="8"/>
            <rFont val="Tahoma"/>
            <family val="0"/>
          </rPr>
          <t>dennisbn:</t>
        </r>
        <r>
          <rPr>
            <sz val="8"/>
            <rFont val="Tahoma"/>
            <family val="0"/>
          </rPr>
          <t xml:space="preserve">
Bulk</t>
        </r>
      </text>
    </comment>
    <comment ref="AL43" authorId="0">
      <text>
        <r>
          <rPr>
            <b/>
            <sz val="8"/>
            <rFont val="Tahoma"/>
            <family val="0"/>
          </rPr>
          <t>dennisbn:</t>
        </r>
        <r>
          <rPr>
            <sz val="8"/>
            <rFont val="Tahoma"/>
            <family val="0"/>
          </rPr>
          <t xml:space="preserve">
Bulk
</t>
        </r>
      </text>
    </comment>
    <comment ref="AJ8" authorId="0">
      <text>
        <r>
          <rPr>
            <b/>
            <sz val="8"/>
            <rFont val="Tahoma"/>
            <family val="0"/>
          </rPr>
          <t>dennisbn:</t>
        </r>
        <r>
          <rPr>
            <sz val="8"/>
            <rFont val="Tahoma"/>
            <family val="0"/>
          </rPr>
          <t xml:space="preserve">
"Bottling"</t>
        </r>
      </text>
    </comment>
    <comment ref="AK8" authorId="0">
      <text>
        <r>
          <rPr>
            <b/>
            <sz val="8"/>
            <rFont val="Tahoma"/>
            <family val="0"/>
          </rPr>
          <t>dennisbn:</t>
        </r>
        <r>
          <rPr>
            <sz val="8"/>
            <rFont val="Tahoma"/>
            <family val="0"/>
          </rPr>
          <t xml:space="preserve">
Bottling
</t>
        </r>
      </text>
    </comment>
    <comment ref="AL8" authorId="0">
      <text>
        <r>
          <rPr>
            <b/>
            <sz val="8"/>
            <rFont val="Tahoma"/>
            <family val="0"/>
          </rPr>
          <t>dennisbn:</t>
        </r>
        <r>
          <rPr>
            <sz val="8"/>
            <rFont val="Tahoma"/>
            <family val="0"/>
          </rPr>
          <t xml:space="preserve">
Bottling</t>
        </r>
      </text>
    </comment>
    <comment ref="BM43" authorId="0">
      <text>
        <r>
          <rPr>
            <b/>
            <sz val="8"/>
            <rFont val="Tahoma"/>
            <family val="0"/>
          </rPr>
          <t>dennisbn:</t>
        </r>
        <r>
          <rPr>
            <sz val="8"/>
            <rFont val="Tahoma"/>
            <family val="0"/>
          </rPr>
          <t xml:space="preserve">
Except for Screening,Grit Removal</t>
        </r>
      </text>
    </comment>
    <comment ref="BN31" authorId="0">
      <text>
        <r>
          <rPr>
            <b/>
            <sz val="8"/>
            <rFont val="Tahoma"/>
            <family val="0"/>
          </rPr>
          <t>dennisbn:</t>
        </r>
        <r>
          <rPr>
            <sz val="8"/>
            <rFont val="Tahoma"/>
            <family val="0"/>
          </rPr>
          <t xml:space="preserve">
Wastewater stabilization ponds: 1 anaerobic, 1 facultative, 8 maturation
</t>
        </r>
      </text>
    </comment>
    <comment ref="BN25" authorId="0">
      <text>
        <r>
          <rPr>
            <b/>
            <sz val="8"/>
            <rFont val="Tahoma"/>
            <family val="0"/>
          </rPr>
          <t>dennisbn:</t>
        </r>
        <r>
          <rPr>
            <sz val="8"/>
            <rFont val="Tahoma"/>
            <family val="0"/>
          </rPr>
          <t xml:space="preserve">
2 sludge ponds, 1 anaerobic pond, 2 facultative ponds, 6 maturation ponds, 1 constructed wetland</t>
        </r>
      </text>
    </comment>
    <comment ref="BN8" authorId="0">
      <text>
        <r>
          <rPr>
            <b/>
            <sz val="8"/>
            <rFont val="Tahoma"/>
            <family val="0"/>
          </rPr>
          <t>dennisbn:</t>
        </r>
        <r>
          <rPr>
            <sz val="8"/>
            <rFont val="Tahoma"/>
            <family val="0"/>
          </rPr>
          <t xml:space="preserve">
1 anaerobic pond, 2 facultative ponds, 2 maturation ponds</t>
        </r>
      </text>
    </comment>
    <comment ref="BN15" authorId="0">
      <text>
        <r>
          <rPr>
            <b/>
            <sz val="8"/>
            <rFont val="Tahoma"/>
            <family val="0"/>
          </rPr>
          <t>dennisbn:</t>
        </r>
        <r>
          <rPr>
            <sz val="8"/>
            <rFont val="Tahoma"/>
            <family val="0"/>
          </rPr>
          <t xml:space="preserve">
1 anaerobic, 1 facultative, 2 maturation</t>
        </r>
      </text>
    </comment>
  </commentList>
</comments>
</file>

<file path=xl/comments6.xml><?xml version="1.0" encoding="utf-8"?>
<comments xmlns="http://schemas.openxmlformats.org/spreadsheetml/2006/main">
  <authors>
    <author>dennisbn</author>
  </authors>
  <commentList>
    <comment ref="H20" authorId="0">
      <text>
        <r>
          <rPr>
            <b/>
            <sz val="8"/>
            <rFont val="Tahoma"/>
            <family val="0"/>
          </rPr>
          <t>dennisbn:</t>
        </r>
        <r>
          <rPr>
            <sz val="8"/>
            <rFont val="Tahoma"/>
            <family val="0"/>
          </rPr>
          <t xml:space="preserve">
Notes from G.I. Sambali, Feb 26, 2007.</t>
        </r>
      </text>
    </comment>
    <comment ref="H21" authorId="0">
      <text>
        <r>
          <rPr>
            <b/>
            <sz val="8"/>
            <rFont val="Tahoma"/>
            <family val="0"/>
          </rPr>
          <t>MCC:</t>
        </r>
        <r>
          <rPr>
            <sz val="8"/>
            <rFont val="Tahoma"/>
            <family val="0"/>
          </rPr>
          <t xml:space="preserve">
Notes sent by G.I. Sambali, Feb. 26, 2007.</t>
        </r>
      </text>
    </comment>
    <comment ref="E7" authorId="0">
      <text>
        <r>
          <rPr>
            <b/>
            <sz val="8"/>
            <rFont val="Tahoma"/>
            <family val="0"/>
          </rPr>
          <t>MCC:</t>
        </r>
        <r>
          <rPr>
            <sz val="8"/>
            <rFont val="Tahoma"/>
            <family val="0"/>
          </rPr>
          <t xml:space="preserve">
Schlumberger and Bofinger, 2005, p. 54.</t>
        </r>
      </text>
    </comment>
    <comment ref="E9" authorId="0">
      <text>
        <r>
          <rPr>
            <b/>
            <sz val="8"/>
            <rFont val="Tahoma"/>
            <family val="0"/>
          </rPr>
          <t>MCC:</t>
        </r>
        <r>
          <rPr>
            <sz val="8"/>
            <rFont val="Tahoma"/>
            <family val="0"/>
          </rPr>
          <t xml:space="preserve">
Schlumberger and Bofinger, 2005, p. 54.</t>
        </r>
      </text>
    </comment>
    <comment ref="I20" authorId="0">
      <text>
        <r>
          <rPr>
            <b/>
            <sz val="8"/>
            <rFont val="Tahoma"/>
            <family val="0"/>
          </rPr>
          <t xml:space="preserve">MCC:
</t>
        </r>
        <r>
          <rPr>
            <sz val="8"/>
            <rFont val="Tahoma"/>
            <family val="2"/>
          </rPr>
          <t>MCC</t>
        </r>
        <r>
          <rPr>
            <sz val="8"/>
            <rFont val="Tahoma"/>
            <family val="0"/>
          </rPr>
          <t xml:space="preserve"> trip report, Mafia Island.
</t>
        </r>
      </text>
    </comment>
    <comment ref="E37" authorId="0">
      <text>
        <r>
          <rPr>
            <b/>
            <sz val="8"/>
            <rFont val="Tahoma"/>
            <family val="0"/>
          </rPr>
          <t>MCC:</t>
        </r>
        <r>
          <rPr>
            <sz val="8"/>
            <rFont val="Tahoma"/>
            <family val="0"/>
          </rPr>
          <t xml:space="preserve">
MCC, Mafia Island trip report.</t>
        </r>
      </text>
    </comment>
  </commentList>
</comments>
</file>

<file path=xl/comments7.xml><?xml version="1.0" encoding="utf-8"?>
<comments xmlns="http://schemas.openxmlformats.org/spreadsheetml/2006/main">
  <authors>
    <author>dennisbn</author>
  </authors>
  <commentList>
    <comment ref="C4" authorId="0">
      <text>
        <r>
          <rPr>
            <b/>
            <sz val="8"/>
            <rFont val="Tahoma"/>
            <family val="0"/>
          </rPr>
          <t>MCC:</t>
        </r>
        <r>
          <rPr>
            <sz val="8"/>
            <rFont val="Tahoma"/>
            <family val="0"/>
          </rPr>
          <t xml:space="preserve">
Tanzania Civil Aviation Authority, Civil Aviation Statistics of Tanzania, 2005</t>
        </r>
      </text>
    </comment>
    <comment ref="B2" authorId="0">
      <text>
        <r>
          <rPr>
            <b/>
            <sz val="8"/>
            <rFont val="Tahoma"/>
            <family val="0"/>
          </rPr>
          <t>MCC:</t>
        </r>
        <r>
          <rPr>
            <sz val="8"/>
            <rFont val="Tahoma"/>
            <family val="0"/>
          </rPr>
          <t xml:space="preserve">
Tanzania Civil Aviation Authority, Civil Aviation Statistics of Tanzania, 2005</t>
        </r>
      </text>
    </comment>
  </commentList>
</comments>
</file>

<file path=xl/comments8.xml><?xml version="1.0" encoding="utf-8"?>
<comments xmlns="http://schemas.openxmlformats.org/spreadsheetml/2006/main">
  <authors>
    <author>dennisbn</author>
  </authors>
  <commentList>
    <comment ref="E7" authorId="0">
      <text>
        <r>
          <rPr>
            <b/>
            <sz val="8"/>
            <rFont val="Tahoma"/>
            <family val="0"/>
          </rPr>
          <t>MCC:</t>
        </r>
        <r>
          <rPr>
            <sz val="8"/>
            <rFont val="Tahoma"/>
            <family val="0"/>
          </rPr>
          <t xml:space="preserve">
Operated by Coastal Aviation (http://www.coastal.cc/)</t>
        </r>
      </text>
    </comment>
    <comment ref="E17" authorId="0">
      <text>
        <r>
          <rPr>
            <b/>
            <sz val="8"/>
            <rFont val="Tahoma"/>
            <family val="0"/>
          </rPr>
          <t>MCC:</t>
        </r>
        <r>
          <rPr>
            <sz val="8"/>
            <rFont val="Tahoma"/>
            <family val="0"/>
          </rPr>
          <t xml:space="preserve">
From Coastal Aviation's website: http://www.coastal.cc/flight_schedule.xls</t>
        </r>
      </text>
    </comment>
    <comment ref="E13" authorId="0">
      <text>
        <r>
          <rPr>
            <b/>
            <sz val="8"/>
            <rFont val="Tahoma"/>
            <family val="0"/>
          </rPr>
          <t xml:space="preserve">MCC:  </t>
        </r>
        <r>
          <rPr>
            <sz val="8"/>
            <rFont val="Tahoma"/>
            <family val="2"/>
          </rPr>
          <t>From Coastal Aviation's website: (</t>
        </r>
        <r>
          <rPr>
            <sz val="8"/>
            <rFont val="Tahoma"/>
            <family val="0"/>
          </rPr>
          <t xml:space="preserve">
http://www.coastal.cc/flight_schedule.xls)</t>
        </r>
      </text>
    </comment>
  </commentList>
</comments>
</file>

<file path=xl/comments9.xml><?xml version="1.0" encoding="utf-8"?>
<comments xmlns="http://schemas.openxmlformats.org/spreadsheetml/2006/main">
  <authors>
    <author>dennisbn</author>
  </authors>
  <commentList>
    <comment ref="E7" authorId="0">
      <text>
        <r>
          <rPr>
            <b/>
            <sz val="8"/>
            <rFont val="Tahoma"/>
            <family val="0"/>
          </rPr>
          <t>MCC:</t>
        </r>
        <r>
          <rPr>
            <sz val="8"/>
            <rFont val="Tahoma"/>
            <family val="0"/>
          </rPr>
          <t xml:space="preserve">
From MCC, Mafia Island trip report.</t>
        </r>
      </text>
    </comment>
    <comment ref="E9" authorId="0">
      <text>
        <r>
          <rPr>
            <b/>
            <sz val="8"/>
            <rFont val="Tahoma"/>
            <family val="0"/>
          </rPr>
          <t>MCC:</t>
        </r>
        <r>
          <rPr>
            <sz val="8"/>
            <rFont val="Tahoma"/>
            <family val="0"/>
          </rPr>
          <t xml:space="preserve">
Note: 300 full time, 100 part time employers.</t>
        </r>
      </text>
    </comment>
  </commentList>
</comments>
</file>

<file path=xl/sharedStrings.xml><?xml version="1.0" encoding="utf-8"?>
<sst xmlns="http://schemas.openxmlformats.org/spreadsheetml/2006/main" count="936" uniqueCount="414">
  <si>
    <t>Arusha</t>
  </si>
  <si>
    <t>Total</t>
  </si>
  <si>
    <t>Kigoma</t>
  </si>
  <si>
    <t>Other</t>
  </si>
  <si>
    <t>Kilimanjaro</t>
  </si>
  <si>
    <t>Benefits</t>
  </si>
  <si>
    <t>Costs and Benefits</t>
  </si>
  <si>
    <t xml:space="preserve"> </t>
  </si>
  <si>
    <t>F</t>
  </si>
  <si>
    <t>Key Parameters</t>
  </si>
  <si>
    <t>1st 5 years</t>
  </si>
  <si>
    <t>Investment Costs</t>
  </si>
  <si>
    <t>With project</t>
  </si>
  <si>
    <t>Without project</t>
  </si>
  <si>
    <t>Baseline:</t>
  </si>
  <si>
    <t>Benefits -10%:</t>
  </si>
  <si>
    <t>Costs +20%:</t>
  </si>
  <si>
    <t>Delay 1 year:</t>
  </si>
  <si>
    <t>Benefits +10%:</t>
  </si>
  <si>
    <t>Costs -20%:</t>
  </si>
  <si>
    <t>Best:</t>
  </si>
  <si>
    <t>Worst:</t>
  </si>
  <si>
    <t>ERR Calculations</t>
  </si>
  <si>
    <t>Costs</t>
  </si>
  <si>
    <t>Passenger Arrivals</t>
  </si>
  <si>
    <t># of international tourists in country</t>
  </si>
  <si>
    <t># of international tourists in hotels</t>
  </si>
  <si>
    <t>Earnings in USD million</t>
  </si>
  <si>
    <t>Average # of days per tourist</t>
  </si>
  <si>
    <t>Average expenditure per tourist per day (USD)</t>
  </si>
  <si>
    <t># of hotels</t>
  </si>
  <si>
    <t># of rooms</t>
  </si>
  <si>
    <t># of beds</t>
  </si>
  <si>
    <t>Total tourist bed nights</t>
  </si>
  <si>
    <t>Average room occupancy per year (%)</t>
  </si>
  <si>
    <t>Ratio of average expenditure of package to non-package tourist</t>
  </si>
  <si>
    <t>Annual room and bed room occupancy</t>
  </si>
  <si>
    <t>Dar es Salaam</t>
  </si>
  <si>
    <t>Zanzibar</t>
  </si>
  <si>
    <t>Annual Average</t>
  </si>
  <si>
    <t>Room Occupancy</t>
  </si>
  <si>
    <t>Bed Occupancy</t>
  </si>
  <si>
    <t>Annual Accommodation Capacity</t>
  </si>
  <si>
    <t>Room nights available per year (2001)</t>
  </si>
  <si>
    <t>Bed nights available per year (2001)</t>
  </si>
  <si>
    <t>Zanzibar has 13 hotels out of a total of 95 hotels in Tanzania; 0 lodges out of 28 lodges; 0 hostels out of a total of 7 hostels; 0 tented camps out of 4 tented camps.</t>
  </si>
  <si>
    <t>Quarterly Room and Bed Nights Occupancy</t>
  </si>
  <si>
    <t>Room Occupancy (%)</t>
  </si>
  <si>
    <t>Q1</t>
  </si>
  <si>
    <t>Q2</t>
  </si>
  <si>
    <t>Q3</t>
  </si>
  <si>
    <t>Q4</t>
  </si>
  <si>
    <t>Average</t>
  </si>
  <si>
    <t>Bed Occupancy (%)</t>
  </si>
  <si>
    <t>Hotel Earnings (USD thousands)</t>
  </si>
  <si>
    <t>International accommodation</t>
  </si>
  <si>
    <t>Domestic accommodation</t>
  </si>
  <si>
    <t>International food</t>
  </si>
  <si>
    <t>Domestic food</t>
  </si>
  <si>
    <t>International conference</t>
  </si>
  <si>
    <t>Domestic conference</t>
  </si>
  <si>
    <t>International other</t>
  </si>
  <si>
    <t>Domestic other</t>
  </si>
  <si>
    <t>International total</t>
  </si>
  <si>
    <t>Domestic total</t>
  </si>
  <si>
    <t>Other groups/businesses associated with tourism</t>
  </si>
  <si>
    <t>Tour operators</t>
  </si>
  <si>
    <t>Hunting safaris</t>
  </si>
  <si>
    <t>Air transport</t>
  </si>
  <si>
    <t>Travel agents</t>
  </si>
  <si>
    <t>Recreational, cultural, and sporting activities</t>
  </si>
  <si>
    <t>Curio shops</t>
  </si>
  <si>
    <t>Visitors departing Zanzibar airport</t>
  </si>
  <si>
    <t>Business</t>
  </si>
  <si>
    <t>Leisure and holidays</t>
  </si>
  <si>
    <t>Visiting friends and relatives (VFR)</t>
  </si>
  <si>
    <t>#</t>
  </si>
  <si>
    <t>%</t>
  </si>
  <si>
    <t>Total visitors</t>
  </si>
  <si>
    <t># package visitors</t>
  </si>
  <si>
    <t># non-package visitors</t>
  </si>
  <si>
    <t>Avg. length of stay</t>
  </si>
  <si>
    <t>Avg. expend. Per person per night USD</t>
  </si>
  <si>
    <t>Package</t>
  </si>
  <si>
    <t>Non-package</t>
  </si>
  <si>
    <t>Expenditure</t>
  </si>
  <si>
    <t>Total expenditure</t>
  </si>
  <si>
    <t xml:space="preserve">   Business</t>
  </si>
  <si>
    <t xml:space="preserve">   Leisure and holiday (tourist)</t>
  </si>
  <si>
    <t xml:space="preserve">   Visiting friends and relatives (VFR)</t>
  </si>
  <si>
    <t>Share out of total:</t>
  </si>
  <si>
    <t xml:space="preserve">   Check:</t>
  </si>
  <si>
    <t xml:space="preserve">      Package</t>
  </si>
  <si>
    <t xml:space="preserve">      Non-package</t>
  </si>
  <si>
    <t>Passenger Spending</t>
  </si>
  <si>
    <t>Leisure and holiday (tourist)</t>
  </si>
  <si>
    <t xml:space="preserve">   Package</t>
  </si>
  <si>
    <t xml:space="preserve">   Non-package</t>
  </si>
  <si>
    <t>(Average expenditure per person per night, USD)</t>
  </si>
  <si>
    <t>Average Length of Stay</t>
  </si>
  <si>
    <t>(# of days)</t>
  </si>
  <si>
    <t xml:space="preserve">   Other (includes refugees)</t>
  </si>
  <si>
    <t>Total Spending by Visitors</t>
  </si>
  <si>
    <t xml:space="preserve">   Total</t>
  </si>
  <si>
    <t xml:space="preserve">   # of hotel rooms</t>
  </si>
  <si>
    <t xml:space="preserve">   # of guest house rooms</t>
  </si>
  <si>
    <t xml:space="preserve">   Total:</t>
  </si>
  <si>
    <t xml:space="preserve">   # of room nights per year</t>
  </si>
  <si>
    <t xml:space="preserve">   Occupancy rate</t>
  </si>
  <si>
    <t>Tourism Calculator</t>
  </si>
  <si>
    <t>Implied number of business/tourist visitors</t>
  </si>
  <si>
    <t xml:space="preserve">   Share of visitors arriving by air</t>
  </si>
  <si>
    <t xml:space="preserve">   Other (includes refugees and government visits)</t>
  </si>
  <si>
    <t>Mafia</t>
  </si>
  <si>
    <t>Total passenger arrivals in 2005</t>
  </si>
  <si>
    <t xml:space="preserve">   Government</t>
  </si>
  <si>
    <t>PASSENGER ASSUMPTIONS AND DATA</t>
  </si>
  <si>
    <t>Cessna Caravan 208</t>
  </si>
  <si>
    <t>Type of aircraft 1</t>
  </si>
  <si>
    <t>Number of Flights per year</t>
  </si>
  <si>
    <t>Ticket prices</t>
  </si>
  <si>
    <t>TERMINAL ASSUMPTIONS AND DATA</t>
  </si>
  <si>
    <t>Aircraft Type, Arrivals/Departures, Prices</t>
  </si>
  <si>
    <t>Terminal Revenues</t>
  </si>
  <si>
    <t>BASIC ASSUMPTIONS AND DATA</t>
  </si>
  <si>
    <t>(Monetary values in constant 2007 USD)</t>
  </si>
  <si>
    <t>Airside Passenger Benefits</t>
  </si>
  <si>
    <t>Terminal Revenue Benefits</t>
  </si>
  <si>
    <t xml:space="preserve">   Passenger capacity……………………………………</t>
  </si>
  <si>
    <t xml:space="preserve">   Cargo capacity (kg)……………………………………….</t>
  </si>
  <si>
    <t xml:space="preserve">  Total……………………………………………………</t>
  </si>
  <si>
    <t xml:space="preserve">  Aircraft 1……………………………………………….</t>
  </si>
  <si>
    <t xml:space="preserve">  Aircraft 2………………………………………………..</t>
  </si>
  <si>
    <t xml:space="preserve">   Aircraft 2 (Round trip from Dar)……………………….</t>
  </si>
  <si>
    <t xml:space="preserve">   Fuel suppliers………………………………………</t>
  </si>
  <si>
    <t xml:space="preserve">   Flight kitchens…………………………………….</t>
  </si>
  <si>
    <t xml:space="preserve">   Retailing…………………………………………….</t>
  </si>
  <si>
    <t xml:space="preserve">   Food service…………………………………………</t>
  </si>
  <si>
    <t xml:space="preserve">   Parking………………………………………………</t>
  </si>
  <si>
    <t xml:space="preserve">   Storage………………………………………………..</t>
  </si>
  <si>
    <t xml:space="preserve">   Total…………………………………………………</t>
  </si>
  <si>
    <t xml:space="preserve">   Increased # of passengers:</t>
  </si>
  <si>
    <t>Leisure and holiday (tourist)………………….</t>
  </si>
  <si>
    <t>Business……………………………………………</t>
  </si>
  <si>
    <t xml:space="preserve">  Package…………………………………………</t>
  </si>
  <si>
    <t xml:space="preserve">  Non-package…………………………………..</t>
  </si>
  <si>
    <t>Visiting friends and relatives…………………</t>
  </si>
  <si>
    <t>Government……………………………………</t>
  </si>
  <si>
    <t>Other……………………………………………….</t>
  </si>
  <si>
    <t xml:space="preserve">  # passengers without project</t>
  </si>
  <si>
    <t xml:space="preserve">  # passengers with project</t>
  </si>
  <si>
    <t>BENEFIT PROFILES</t>
  </si>
  <si>
    <t>Note: Benefit profiles specify that, upon completion of project, there will be a one-time jump in benefits that may be combined with a higher growth rate.</t>
  </si>
  <si>
    <t>One-time jump (%)</t>
  </si>
  <si>
    <t xml:space="preserve">Without project </t>
  </si>
  <si>
    <t>Passenger traffic</t>
  </si>
  <si>
    <t xml:space="preserve">   Business…………………………………………</t>
  </si>
  <si>
    <t xml:space="preserve">   Leisure and holiday……………………………….</t>
  </si>
  <si>
    <t xml:space="preserve">      Package………………………………………..</t>
  </si>
  <si>
    <t xml:space="preserve">      Non-package………………………………..</t>
  </si>
  <si>
    <t xml:space="preserve">   VFR………………………………………………..</t>
  </si>
  <si>
    <t xml:space="preserve">   Government………………………………………..</t>
  </si>
  <si>
    <t xml:space="preserve">   Other………………………………………………</t>
  </si>
  <si>
    <t xml:space="preserve">Profile   </t>
  </si>
  <si>
    <t>New growth rate (%)</t>
  </si>
  <si>
    <t>Local GDP growth……………………………………</t>
  </si>
  <si>
    <t>Benefit Profile</t>
  </si>
  <si>
    <t xml:space="preserve">   Increased passenger spending:</t>
  </si>
  <si>
    <t xml:space="preserve">   International</t>
  </si>
  <si>
    <t xml:space="preserve">     Scheduled</t>
  </si>
  <si>
    <t xml:space="preserve">     Unscheduled</t>
  </si>
  <si>
    <t>Freight</t>
  </si>
  <si>
    <t>FREIGHT ASSUMPTIONS AND DATA</t>
  </si>
  <si>
    <t>Total freight (tons)</t>
  </si>
  <si>
    <t>Freight loaded (tons)</t>
  </si>
  <si>
    <t>Aircraft movements (cargo services)</t>
  </si>
  <si>
    <t xml:space="preserve">   Domestic commercial</t>
  </si>
  <si>
    <t xml:space="preserve">   Domestic non-commercial</t>
  </si>
  <si>
    <t>Growth 1 (%)</t>
  </si>
  <si>
    <t>Growth 2 (%)</t>
  </si>
  <si>
    <t xml:space="preserve">   International…………………………………………..</t>
  </si>
  <si>
    <t xml:space="preserve">     Scheduled………………………………………….</t>
  </si>
  <si>
    <t xml:space="preserve">     Unscheduled……………………………………..</t>
  </si>
  <si>
    <t xml:space="preserve">   Domestic commercial……………………………..</t>
  </si>
  <si>
    <t xml:space="preserve">     Scheduled…………………………………………</t>
  </si>
  <si>
    <t xml:space="preserve">     Unscheduled………………………………………</t>
  </si>
  <si>
    <t xml:space="preserve">   Domestic non-commercial…………………………</t>
  </si>
  <si>
    <t xml:space="preserve">     Scheduled……………………………………….</t>
  </si>
  <si>
    <t xml:space="preserve">     Unscheduled………………………………………………….</t>
  </si>
  <si>
    <t>Airside Freight Benefits</t>
  </si>
  <si>
    <t xml:space="preserve"> Amount of freight in tons without project</t>
  </si>
  <si>
    <t xml:space="preserve"> Amount of freight in tons with project</t>
  </si>
  <si>
    <t xml:space="preserve"> Increased amount of freight in tons</t>
  </si>
  <si>
    <t xml:space="preserve">   Increased freight revenue</t>
  </si>
  <si>
    <t xml:space="preserve">   International………………………………….</t>
  </si>
  <si>
    <t xml:space="preserve">     Scheduled………………………………….</t>
  </si>
  <si>
    <t xml:space="preserve">     Unscheduled………………………………</t>
  </si>
  <si>
    <t xml:space="preserve">   Domestic commercial…………………………………….</t>
  </si>
  <si>
    <t xml:space="preserve">     Scheduled……………………………………</t>
  </si>
  <si>
    <t xml:space="preserve">     Unscheduled………………………………….</t>
  </si>
  <si>
    <t xml:space="preserve">   Domestic non-commercial………………………………….</t>
  </si>
  <si>
    <t xml:space="preserve">     Scheduled………………………………………</t>
  </si>
  <si>
    <t xml:space="preserve">   International……………………………………..</t>
  </si>
  <si>
    <t xml:space="preserve">   Domestic commercial…………………………….</t>
  </si>
  <si>
    <t xml:space="preserve">     Scheduled………………………………………..</t>
  </si>
  <si>
    <t xml:space="preserve">     Unscheduled…………………………………………..</t>
  </si>
  <si>
    <t xml:space="preserve">   Domestic non-commercial…………………………..</t>
  </si>
  <si>
    <t xml:space="preserve">     Scheduled…………………………………………..</t>
  </si>
  <si>
    <t>Revenue from freight handling (2007 constant Tsh per ton)</t>
  </si>
  <si>
    <t xml:space="preserve">  Total…………………………………………….</t>
  </si>
  <si>
    <t>UN fee for use per aircraft (USD)…………………………..</t>
  </si>
  <si>
    <t>Terminal</t>
  </si>
  <si>
    <t>Current airport sales revenue per customer (constant 2007 Tsh):</t>
  </si>
  <si>
    <t xml:space="preserve"> Revenue without project (per passenger)</t>
  </si>
  <si>
    <t xml:space="preserve"> Revenue with project (per passenger)</t>
  </si>
  <si>
    <t xml:space="preserve"> Increased revenue (total)</t>
  </si>
  <si>
    <t>Total……………………………………………….</t>
  </si>
  <si>
    <t>Total…………………………………………………</t>
  </si>
  <si>
    <t>Total………………………………………………</t>
  </si>
  <si>
    <t>Total benefits………...………………………………….</t>
  </si>
  <si>
    <t>Net benefits……………………………………………………</t>
  </si>
  <si>
    <t>Scenario 1: Benefits -10%</t>
  </si>
  <si>
    <t>Net benefits…………………………………………………….</t>
  </si>
  <si>
    <t>Scenario 2: Costs +20%</t>
  </si>
  <si>
    <t>Total costs…………………............................................</t>
  </si>
  <si>
    <t>Scenario 3: Delay 1 year</t>
  </si>
  <si>
    <t>Scenario 4: Benefits +10%</t>
  </si>
  <si>
    <t>Scenario 5: Costs -20%</t>
  </si>
  <si>
    <t>Scenario 6: Best Case</t>
  </si>
  <si>
    <t>Scenario 7: Worst Case</t>
  </si>
  <si>
    <t>Estimated Base Year Benefits</t>
  </si>
  <si>
    <t>Start*</t>
  </si>
  <si>
    <t>Gr%pa*</t>
  </si>
  <si>
    <t>$/y</t>
  </si>
  <si>
    <t>t/y</t>
  </si>
  <si>
    <t>Average value added per ton............................................</t>
  </si>
  <si>
    <t>$/t</t>
  </si>
  <si>
    <t>employees</t>
  </si>
  <si>
    <t>Average wage per head...................................................................</t>
  </si>
  <si>
    <t>INDUCED PRODUCTION</t>
  </si>
  <si>
    <t>% of original O&amp;M on existing maintainence post-upgrade……………………………..</t>
  </si>
  <si>
    <t>Exchange rate (Tshilling/$)…………………………………………………………..</t>
  </si>
  <si>
    <t>First year of construction……………………………………………………….………………</t>
  </si>
  <si>
    <t>GDP growth rate………………………………………………………………………………..</t>
  </si>
  <si>
    <t>Discount rate……………………………………………………………………………………………….</t>
  </si>
  <si>
    <t>Induced fisheries production</t>
  </si>
  <si>
    <t>Fish for export....................................................................</t>
  </si>
  <si>
    <t># of employees in fish processing………………………………………….</t>
  </si>
  <si>
    <t>Fisheries Production</t>
  </si>
  <si>
    <t>With project………………………………………………</t>
  </si>
  <si>
    <t>Without project………………………………………………………..</t>
  </si>
  <si>
    <t xml:space="preserve">    Without project</t>
  </si>
  <si>
    <t xml:space="preserve">    Increased production…………………………..</t>
  </si>
  <si>
    <t>Induced Fisheries Production (value)</t>
  </si>
  <si>
    <t xml:space="preserve">      Total………………………………………………..</t>
  </si>
  <si>
    <t xml:space="preserve">      Fisheries production………………………………………….</t>
  </si>
  <si>
    <t xml:space="preserve">    With project</t>
  </si>
  <si>
    <t xml:space="preserve">      Processing value added…………………………………….</t>
  </si>
  <si>
    <t>Include induced production benefits?</t>
  </si>
  <si>
    <t>1=Yes, 2=No</t>
  </si>
  <si>
    <t>Mafia Airport</t>
  </si>
  <si>
    <t>TANZANIA TOURISM STATISTICS</t>
  </si>
  <si>
    <t xml:space="preserve">   Periodic (15 years)………………………………………………………………………………….</t>
  </si>
  <si>
    <t>O&amp;M costs as % of capital costs (routine)………………………………………...……………….</t>
  </si>
  <si>
    <t>Number of passengers arrivals at Mafia Airport</t>
  </si>
  <si>
    <t>Percentage of upgrade completed</t>
  </si>
  <si>
    <t>Baseline</t>
  </si>
  <si>
    <t>Year 5</t>
  </si>
  <si>
    <t>government</t>
  </si>
  <si>
    <t>total</t>
  </si>
  <si>
    <t>average number of nights/stay</t>
  </si>
  <si>
    <t>(average expenditure per person per stay)</t>
  </si>
  <si>
    <r>
      <t>NPV (</t>
    </r>
    <r>
      <rPr>
        <b/>
        <sz val="10"/>
        <color indexed="12"/>
        <rFont val="Arial"/>
        <family val="2"/>
      </rPr>
      <t>Net benefits</t>
    </r>
    <r>
      <rPr>
        <b/>
        <sz val="10"/>
        <rFont val="Arial"/>
        <family val="2"/>
      </rPr>
      <t>)</t>
    </r>
  </si>
  <si>
    <t xml:space="preserve">  in 2007 USD mil, 10% discount rate</t>
  </si>
  <si>
    <r>
      <t>NPV (</t>
    </r>
    <r>
      <rPr>
        <b/>
        <sz val="10"/>
        <color indexed="12"/>
        <rFont val="Arial"/>
        <family val="2"/>
      </rPr>
      <t>Benefits</t>
    </r>
    <r>
      <rPr>
        <b/>
        <sz val="10"/>
        <rFont val="Arial"/>
        <family val="2"/>
      </rPr>
      <t>)</t>
    </r>
  </si>
  <si>
    <t>Visitor spending</t>
  </si>
  <si>
    <t>Regional GDP</t>
  </si>
  <si>
    <t xml:space="preserve">Year 5 with </t>
  </si>
  <si>
    <t>Year 5 without</t>
  </si>
  <si>
    <t>REGIONAL PER CAPITA GDP AT CURRENT PRICES (Shs)</t>
  </si>
  <si>
    <t>REGION/YEAR</t>
  </si>
  <si>
    <r>
      <t>2001</t>
    </r>
    <r>
      <rPr>
        <b/>
        <vertAlign val="superscript"/>
        <sz val="10"/>
        <color indexed="18"/>
        <rFont val="Arial"/>
        <family val="2"/>
      </rPr>
      <t>r</t>
    </r>
  </si>
  <si>
    <r>
      <t>2002</t>
    </r>
    <r>
      <rPr>
        <b/>
        <vertAlign val="superscript"/>
        <sz val="10"/>
        <color indexed="18"/>
        <rFont val="Arial"/>
        <family val="2"/>
      </rPr>
      <t>r</t>
    </r>
  </si>
  <si>
    <r>
      <t>2003</t>
    </r>
    <r>
      <rPr>
        <b/>
        <vertAlign val="superscript"/>
        <sz val="10"/>
        <color indexed="18"/>
        <rFont val="Arial"/>
        <family val="2"/>
      </rPr>
      <t>r</t>
    </r>
  </si>
  <si>
    <r>
      <t>2004</t>
    </r>
    <r>
      <rPr>
        <b/>
        <vertAlign val="superscript"/>
        <sz val="10"/>
        <color indexed="18"/>
        <rFont val="Arial"/>
        <family val="2"/>
      </rPr>
      <t>r</t>
    </r>
  </si>
  <si>
    <r>
      <t>2005</t>
    </r>
    <r>
      <rPr>
        <b/>
        <vertAlign val="superscript"/>
        <sz val="10"/>
        <color indexed="18"/>
        <rFont val="Arial"/>
        <family val="2"/>
      </rPr>
      <t>p</t>
    </r>
  </si>
  <si>
    <t>Dodoma</t>
  </si>
  <si>
    <t>Tanga</t>
  </si>
  <si>
    <t>Morogoro</t>
  </si>
  <si>
    <t>Pwani</t>
  </si>
  <si>
    <t>Dar es salaam</t>
  </si>
  <si>
    <t>Lindi</t>
  </si>
  <si>
    <t>Mtwara</t>
  </si>
  <si>
    <t>Ruvuma</t>
  </si>
  <si>
    <t>Iringa</t>
  </si>
  <si>
    <t>Mbeya</t>
  </si>
  <si>
    <t>Singida</t>
  </si>
  <si>
    <t>Tabora</t>
  </si>
  <si>
    <t>Rukwa</t>
  </si>
  <si>
    <t>Shinyanga</t>
  </si>
  <si>
    <t>Kagera</t>
  </si>
  <si>
    <t>Mwanza</t>
  </si>
  <si>
    <t>Mara</t>
  </si>
  <si>
    <t>Manyara</t>
  </si>
  <si>
    <t>TANZANIA MAINLAND</t>
  </si>
  <si>
    <t>REGIONAL GDP AT CURRENT PRICES (Shs. Million)</t>
  </si>
  <si>
    <t>Dar -es salaam</t>
  </si>
  <si>
    <t>Regional GDP with Project: USD Million</t>
  </si>
  <si>
    <t xml:space="preserve">    Incremental increase in GDP resulting from project: USD Million</t>
  </si>
  <si>
    <t>Regional GDP without Project: USD Million</t>
  </si>
  <si>
    <t xml:space="preserve">Regional per capita GDP with Project: USD </t>
  </si>
  <si>
    <t xml:space="preserve">    Incremental increase in per capita GDP resulting from project: USD</t>
  </si>
  <si>
    <t xml:space="preserve">Regional per capita GDP without Project: USD </t>
  </si>
  <si>
    <t>Regional GDP growth rate with Project</t>
  </si>
  <si>
    <t xml:space="preserve">    Incremental increase in GDP growth rate resulting from project</t>
  </si>
  <si>
    <t xml:space="preserve">      As % of counterfactual regional GDP growth rate</t>
  </si>
  <si>
    <t>Regional GDP growth rate without Project</t>
  </si>
  <si>
    <t>Regional per capita GDP growth rate with Project</t>
  </si>
  <si>
    <t xml:space="preserve">    Incremental increase in per capita GDP growth rate resulting from project</t>
  </si>
  <si>
    <t xml:space="preserve">      As % of counterfactual regional per capita GDP growth rate</t>
  </si>
  <si>
    <t>Regional per capita GDP growth rate without Project</t>
  </si>
  <si>
    <t>Population</t>
  </si>
  <si>
    <t>Five year investment cost (USD)…………………………………………………………………………..</t>
  </si>
  <si>
    <t>Number of Passengers</t>
  </si>
  <si>
    <t>Expenditure by Visitors</t>
  </si>
  <si>
    <t>IMPUTED POPULATIONS</t>
  </si>
  <si>
    <t>EXCHANGE RATES</t>
  </si>
  <si>
    <t>INFLATION</t>
  </si>
  <si>
    <t>EXCHANGE RATE</t>
  </si>
  <si>
    <t>Project name</t>
  </si>
  <si>
    <t>Spreadsheet version</t>
  </si>
  <si>
    <t>Investment memo, final</t>
  </si>
  <si>
    <t>Date</t>
  </si>
  <si>
    <t>Amount of MCC funds</t>
  </si>
  <si>
    <t>Project description</t>
  </si>
  <si>
    <t>Benefit streams included in ERR</t>
  </si>
  <si>
    <t>Costs included in ERR (other than costs borne by MCC)</t>
  </si>
  <si>
    <t>Operation and maintenance</t>
  </si>
  <si>
    <t>Estimated ERR and time horizon</t>
  </si>
  <si>
    <t>Worksheets in this file</t>
  </si>
  <si>
    <t>Activity Description</t>
  </si>
  <si>
    <t>One should read this sheet first, as it offers a summary of the project, a list of components, and states the economic rationale for the project.</t>
  </si>
  <si>
    <t>ERR &amp; Sensitivity Analysis</t>
  </si>
  <si>
    <t>A brief summary of the project's key parameters and ERR calculations.</t>
  </si>
  <si>
    <t>Annex III</t>
  </si>
  <si>
    <t>1,100 - 1,400</t>
  </si>
  <si>
    <t>Summary</t>
  </si>
  <si>
    <t>ERR and sensitivity analysis</t>
  </si>
  <si>
    <t>Description of key parameters</t>
  </si>
  <si>
    <t>Parameter values</t>
  </si>
  <si>
    <t>Values used in ERR computation</t>
  </si>
  <si>
    <t>Economic rate of return (ERR):</t>
  </si>
  <si>
    <t>MCC Estimate</t>
  </si>
  <si>
    <t>User Input</t>
  </si>
  <si>
    <t>Actual costs as a percentage of estimated costs</t>
  </si>
  <si>
    <t>Actual benefits as a percentage of estimated benefits</t>
  </si>
  <si>
    <t>Specific</t>
  </si>
  <si>
    <t>80 - 120%</t>
  </si>
  <si>
    <t>All summary parameters set to initial values?</t>
  </si>
  <si>
    <t>Parameter type</t>
  </si>
  <si>
    <t xml:space="preserve">   More Info</t>
  </si>
  <si>
    <t>Plausible range</t>
  </si>
  <si>
    <t>Exchange rate (Tanzanian shillings/$)</t>
  </si>
  <si>
    <r>
      <t xml:space="preserve">   </t>
    </r>
    <r>
      <rPr>
        <u val="single"/>
        <sz val="10"/>
        <color indexed="12"/>
        <rFont val="Arial"/>
        <family val="2"/>
      </rPr>
      <t>Activity Description</t>
    </r>
  </si>
  <si>
    <r>
      <t>Change the "</t>
    </r>
    <r>
      <rPr>
        <sz val="10"/>
        <color indexed="12"/>
        <rFont val="Arial"/>
        <family val="2"/>
      </rPr>
      <t>User Input</t>
    </r>
    <r>
      <rPr>
        <sz val="10"/>
        <rFont val="Arial"/>
        <family val="2"/>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2"/>
      </rPr>
      <t>" button at right.  Be sure to reset all summary parameters to their original values ("MCC Estimate" values) before changing specific parameters.</t>
    </r>
  </si>
  <si>
    <r>
      <t xml:space="preserve">   </t>
    </r>
    <r>
      <rPr>
        <u val="single"/>
        <sz val="10"/>
        <color indexed="12"/>
        <rFont val="Arial"/>
        <family val="0"/>
      </rPr>
      <t>User's Guide</t>
    </r>
  </si>
  <si>
    <r>
      <t xml:space="preserve">MCC Estimated ERR </t>
    </r>
    <r>
      <rPr>
        <b/>
        <sz val="8"/>
        <rFont val="Arial"/>
        <family val="2"/>
      </rPr>
      <t>(as of 8/30/2007)</t>
    </r>
    <r>
      <rPr>
        <b/>
        <sz val="10"/>
        <rFont val="Arial"/>
        <family val="2"/>
      </rPr>
      <t>:</t>
    </r>
  </si>
  <si>
    <t>Tanzania: Mafia Island Airport</t>
  </si>
  <si>
    <t>Transport Project</t>
  </si>
  <si>
    <t>Mafia Island Airport Activity</t>
  </si>
  <si>
    <t>Access to Mafia Island is limited by the poor condition of its airport and lack of feasible alternative transportation options. Resurfacing the airport’s runway and improving other airport facilities will allow for easier, more efficient, and safer access to the island, resulting in increased tourist and business travel to and from the mainland and additional jobs on the island.</t>
  </si>
  <si>
    <t xml:space="preserve">Increased tourist and business travel </t>
  </si>
  <si>
    <t>17.5% over 20 years</t>
  </si>
  <si>
    <t>Growth rate of government passenger traffic</t>
  </si>
  <si>
    <t>5 - 7%</t>
  </si>
  <si>
    <t>2 - 4</t>
  </si>
  <si>
    <t>Average length of stay for tourists (days)</t>
  </si>
  <si>
    <t>$77 - 115</t>
  </si>
  <si>
    <t>Tourist passenger spending (US$/person/night)</t>
  </si>
  <si>
    <t>Expected growth in tourism traffic with project</t>
  </si>
  <si>
    <t>Basics</t>
  </si>
  <si>
    <t>Airside-Passenger</t>
  </si>
  <si>
    <t>Airside-Freight</t>
  </si>
  <si>
    <t>Induced Production</t>
  </si>
  <si>
    <t>GDP with pop</t>
  </si>
  <si>
    <r>
      <t xml:space="preserve">Average expenditure per </t>
    </r>
    <r>
      <rPr>
        <b/>
        <sz val="10"/>
        <rFont val="Arial"/>
        <family val="0"/>
      </rPr>
      <t>package</t>
    </r>
    <r>
      <rPr>
        <sz val="10"/>
        <rFont val="Arial"/>
        <family val="0"/>
      </rPr>
      <t xml:space="preserve"> tourist per day (USD)</t>
    </r>
  </si>
  <si>
    <r>
      <t xml:space="preserve">Average expenditure per </t>
    </r>
    <r>
      <rPr>
        <b/>
        <sz val="10"/>
        <rFont val="Arial"/>
        <family val="0"/>
      </rPr>
      <t>non-package</t>
    </r>
    <r>
      <rPr>
        <sz val="10"/>
        <rFont val="Arial"/>
        <family val="0"/>
      </rPr>
      <t xml:space="preserve"> tourist per day (USD)</t>
    </r>
  </si>
  <si>
    <t>Tourism Stats</t>
  </si>
  <si>
    <t>GDP per capita</t>
  </si>
  <si>
    <t>Lists basic assumptions and data for the project.</t>
  </si>
  <si>
    <t>Shows the annual economic costs and benefits of the activity and computes the resulting ERR over a 20-year time period.</t>
  </si>
  <si>
    <t>Lists the freight assumptions and data that was considered in the analysis.</t>
  </si>
  <si>
    <t>Lists the passenger numbers and assumptions for the project that were used in the analysis.</t>
  </si>
  <si>
    <t>Shows passenger traffic statistics for the terminal.</t>
  </si>
  <si>
    <t>Components</t>
  </si>
  <si>
    <t>MCC Funding will be used to rehabilitate and upgrade the airport on Mafia Island. MCC funding will support:</t>
  </si>
  <si>
    <t xml:space="preserve">     2.   Project coordination and construction supervision.</t>
  </si>
  <si>
    <t xml:space="preserve">     1.   Refurbishment of the runway, apron and taxiway, establishment of boundary security, refurbishment of the fire station, 
             refurbishment of the terminal building and its water supply, and installation of communication equipment, the scale and 
             scope of which will be contingent on the findings of a strategic environmental assessment.</t>
  </si>
  <si>
    <t xml:space="preserve">     3.   Additional environmental assessments, together with any resulting resettlement action plans and environmental 
             management plans.</t>
  </si>
  <si>
    <t>Economic Rationale</t>
  </si>
  <si>
    <t xml:space="preserve">     4.   Capacity building at the Tanzania Airports Authority (“TAA”) related to improvements in strategic maintenance planning 
             and management of routine and periodic maintenance contracts.</t>
  </si>
  <si>
    <t xml:space="preserve">     In addition to increased passenger traffic, other benefit streams were analyzed, but not included in the model. Increases in the volume of freight arriving at and departing from Mafia Island airport were examined along with increased fisheries production. Neither of these benefit streams was included as tourism is likely to be the main sector affected by the activity.</t>
  </si>
  <si>
    <t>$372.8 million total for Transport Project</t>
  </si>
  <si>
    <t>Shows the assumed benefits from increased business production generated by the updated airport.</t>
  </si>
  <si>
    <t>Assumptions of any one-time jump in benefits, upon completion of the project, that may be combined with a higher growth rate.</t>
  </si>
  <si>
    <t>Lists the project's monitoring and evaluation indicators used in Annex III of the Compact.</t>
  </si>
  <si>
    <t>Contains statistical tables of regional GDP and GDP per capita at current prices.</t>
  </si>
  <si>
    <t>Calculations of regional GDP for multiple regions of Tanzania from 1992-2005, along with estimates of exchange rates and inflation.</t>
  </si>
  <si>
    <t>Calculations of regional GDP per capita for multiple regions of Tanzania from 1992-2005, along with estimates of exchange rates and inflation.</t>
  </si>
  <si>
    <t>Contains tables of tourism statistics for Tanzania from 1995-2003.</t>
  </si>
  <si>
    <t xml:space="preserve">     Resurfacing the airport’s runway and improving other airport facilities will allow for easier and cheaper access to the island, resulting in increased tourist and business travel to and from the mainland, which translates to more dollars spent in the local economy for tourism-related businesses. Currently, approximately 12,000 passengers arrive at the airport each year, including 7,000 for leisure and holiday trips and 400 for business travel.  The number of visitors to Mafia Island is estimated to increase by 10% post upgrade and then experience an annual growth rate of 6%. Without the upgrade, there is no expected post-project increase and annual growth in number of visitors is estimated at 4%, the local growth rate of GDP for Mafia Island. Travelers stay for an average of three nights and spend approximately US$100 per night. The increase in visitor nights on Mafia Island translates to an increase in annual visitor spending of greater than US$900,000 five years after the rehabilitation and upgrade of the airport.</t>
  </si>
  <si>
    <t>Total costs…………………..............................</t>
  </si>
  <si>
    <t xml:space="preserve">  (including studies, design, supervision, TA, capital costs, operations, maintenance, and unallocated contingencies)</t>
  </si>
  <si>
    <t>Last updated:  8/24/2007</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</si>
</sst>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
    <numFmt numFmtId="169" formatCode="0.00000"/>
    <numFmt numFmtId="170" formatCode="0.0000"/>
    <numFmt numFmtId="171" formatCode="0.000%"/>
    <numFmt numFmtId="172" formatCode="0.00000000"/>
    <numFmt numFmtId="173" formatCode="0.0000000"/>
    <numFmt numFmtId="174" formatCode="0.000000"/>
    <numFmt numFmtId="175" formatCode="#,##0.0"/>
    <numFmt numFmtId="176" formatCode="_(&quot;$&quot;* #,##0.000_);_(&quot;$&quot;* \(#,##0.000\);_(&quot;$&quot;* &quot;-&quot;???_);_(@_)"/>
    <numFmt numFmtId="177" formatCode="#,##0.000"/>
    <numFmt numFmtId="178" formatCode="#,##0.0000"/>
    <numFmt numFmtId="179" formatCode="#,##0.00000"/>
    <numFmt numFmtId="180" formatCode="_(* #,##0.000_);_(* \(#,##0.000\);_(* &quot;-&quot;??_);_(@_)"/>
    <numFmt numFmtId="181" formatCode="_(* #,##0.0000_);_(* \(#,##0.0000\);_(* &quot;-&quot;??_);_(@_)"/>
    <numFmt numFmtId="182" formatCode="0.0000%"/>
    <numFmt numFmtId="183" formatCode="0.00000%"/>
    <numFmt numFmtId="184" formatCode="0.000000%"/>
    <numFmt numFmtId="185" formatCode="0.0000000%"/>
    <numFmt numFmtId="186" formatCode="_(* #,##0.00000_);_(* \(#,##0.00000\);_(* &quot;-&quot;??_);_(@_)"/>
    <numFmt numFmtId="187" formatCode="0.0000000000000000%"/>
    <numFmt numFmtId="188" formatCode="0.00000000000000000%"/>
    <numFmt numFmtId="189" formatCode="0.000000000000000%"/>
    <numFmt numFmtId="190" formatCode="0.00000000000000%"/>
    <numFmt numFmtId="191" formatCode="0.0000000000000%"/>
    <numFmt numFmtId="192" formatCode="0.000000000000%"/>
    <numFmt numFmtId="193" formatCode="0.00000000000%"/>
    <numFmt numFmtId="194" formatCode="0.0000000000%"/>
    <numFmt numFmtId="195" formatCode="0.000000000%"/>
    <numFmt numFmtId="196" formatCode="0.00000000%"/>
    <numFmt numFmtId="197" formatCode="&quot;Yes&quot;;&quot;Yes&quot;;&quot;No&quot;"/>
    <numFmt numFmtId="198" formatCode="&quot;True&quot;;&quot;True&quot;;&quot;False&quot;"/>
    <numFmt numFmtId="199" formatCode="&quot;On&quot;;&quot;On&quot;;&quot;Off&quot;"/>
    <numFmt numFmtId="200" formatCode="[$€-2]\ #,##0.00_);[Red]\([$€-2]\ #,##0.00\)"/>
    <numFmt numFmtId="201" formatCode="_(&quot;$&quot;* #,##0.0_);_(&quot;$&quot;* \(#,##0.0\);_(&quot;$&quot;* &quot;-&quot;??_);_(@_)"/>
    <numFmt numFmtId="202" formatCode="_(&quot;$&quot;* #,##0_);_(&quot;$&quot;* \(#,##0\);_(&quot;$&quot;* &quot;-&quot;??_);_(@_)"/>
    <numFmt numFmtId="203" formatCode="_-&quot;£&quot;* #,##0_-;\-&quot;£&quot;* #,##0_-;_-&quot;£&quot;* &quot;-&quot;_-;_-@_-"/>
    <numFmt numFmtId="204" formatCode="_-* #,##0_-;\-* #,##0_-;_-* &quot;-&quot;_-;_-@_-"/>
    <numFmt numFmtId="205" formatCode="_-&quot;£&quot;* #,##0.00_-;\-&quot;£&quot;* #,##0.00_-;_-&quot;£&quot;* &quot;-&quot;??_-;_-@_-"/>
    <numFmt numFmtId="206" formatCode="_-* #,##0.00_-;\-* #,##0.00_-;_-* &quot;-&quot;??_-;_-@_-"/>
    <numFmt numFmtId="207" formatCode="0.0\ %"/>
    <numFmt numFmtId="208" formatCode="#,##0.00_ ;[Red]\-#,##0.00\ "/>
    <numFmt numFmtId="209" formatCode="#,##0_ ;[Red]\-#,##0\ "/>
    <numFmt numFmtId="210" formatCode="_(* #,##0.00_);_(* \(#,##0.00\);_(* &quot;-&quot;???_);_(@_)"/>
    <numFmt numFmtId="211" formatCode="#,##0.000;[Red]\-#,##0.000"/>
    <numFmt numFmtId="212" formatCode="&quot;$&quot;#,##0"/>
  </numFmts>
  <fonts count="31">
    <font>
      <sz val="10"/>
      <name val="Arial"/>
      <family val="0"/>
    </font>
    <font>
      <sz val="8"/>
      <name val="Tahoma"/>
      <family val="0"/>
    </font>
    <font>
      <b/>
      <sz val="8"/>
      <name val="Tahoma"/>
      <family val="0"/>
    </font>
    <font>
      <sz val="8"/>
      <name val="Arial"/>
      <family val="0"/>
    </font>
    <font>
      <b/>
      <sz val="10"/>
      <name val="Arial"/>
      <family val="2"/>
    </font>
    <font>
      <b/>
      <i/>
      <sz val="10"/>
      <name val="Arial"/>
      <family val="2"/>
    </font>
    <font>
      <i/>
      <sz val="10"/>
      <name val="Arial"/>
      <family val="2"/>
    </font>
    <font>
      <sz val="10"/>
      <color indexed="12"/>
      <name val="Arial"/>
      <family val="0"/>
    </font>
    <font>
      <u val="single"/>
      <sz val="10"/>
      <color indexed="12"/>
      <name val="Arial"/>
      <family val="0"/>
    </font>
    <font>
      <u val="single"/>
      <sz val="10"/>
      <color indexed="36"/>
      <name val="Arial"/>
      <family val="0"/>
    </font>
    <font>
      <sz val="14"/>
      <name val="Arial"/>
      <family val="0"/>
    </font>
    <font>
      <sz val="10"/>
      <color indexed="20"/>
      <name val="Arial"/>
      <family val="0"/>
    </font>
    <font>
      <b/>
      <u val="single"/>
      <sz val="10"/>
      <name val="Arial"/>
      <family val="2"/>
    </font>
    <font>
      <b/>
      <sz val="10"/>
      <color indexed="17"/>
      <name val="Arial"/>
      <family val="2"/>
    </font>
    <font>
      <b/>
      <sz val="10"/>
      <color indexed="12"/>
      <name val="Arial"/>
      <family val="2"/>
    </font>
    <font>
      <b/>
      <sz val="10"/>
      <color indexed="48"/>
      <name val="Arial"/>
      <family val="2"/>
    </font>
    <font>
      <b/>
      <sz val="10"/>
      <color indexed="18"/>
      <name val="Arial"/>
      <family val="2"/>
    </font>
    <font>
      <b/>
      <vertAlign val="superscript"/>
      <sz val="10"/>
      <color indexed="18"/>
      <name val="Arial"/>
      <family val="2"/>
    </font>
    <font>
      <sz val="8"/>
      <color indexed="21"/>
      <name val="Arial"/>
      <family val="2"/>
    </font>
    <font>
      <b/>
      <sz val="16"/>
      <name val="Arial"/>
      <family val="2"/>
    </font>
    <font>
      <b/>
      <sz val="18"/>
      <color indexed="32"/>
      <name val="Arial"/>
      <family val="2"/>
    </font>
    <font>
      <sz val="8"/>
      <color indexed="17"/>
      <name val="Arial"/>
      <family val="2"/>
    </font>
    <font>
      <b/>
      <sz val="12"/>
      <name val="Arial"/>
      <family val="2"/>
    </font>
    <font>
      <sz val="10"/>
      <color indexed="23"/>
      <name val="Arial"/>
      <family val="2"/>
    </font>
    <font>
      <b/>
      <sz val="10"/>
      <color indexed="55"/>
      <name val="Arial"/>
      <family val="2"/>
    </font>
    <font>
      <sz val="10"/>
      <color indexed="9"/>
      <name val="Arial"/>
      <family val="2"/>
    </font>
    <font>
      <b/>
      <sz val="10"/>
      <color indexed="9"/>
      <name val="Arial"/>
      <family val="2"/>
    </font>
    <font>
      <b/>
      <sz val="8"/>
      <name val="Arial"/>
      <family val="2"/>
    </font>
    <font>
      <u val="single"/>
      <sz val="10"/>
      <name val="Arial"/>
      <family val="2"/>
    </font>
    <font>
      <b/>
      <sz val="10.75"/>
      <name val="Arial"/>
      <family val="0"/>
    </font>
    <font>
      <sz val="10.75"/>
      <name val="Arial"/>
      <family val="0"/>
    </font>
  </fonts>
  <fills count="1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44"/>
        <bgColor indexed="64"/>
      </patternFill>
    </fill>
    <fill>
      <patternFill patternType="solid">
        <fgColor indexed="10"/>
        <bgColor indexed="64"/>
      </patternFill>
    </fill>
  </fills>
  <borders count="52">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double"/>
      <top style="double"/>
      <bottom>
        <color indexed="63"/>
      </bottom>
    </border>
    <border>
      <left>
        <color indexed="63"/>
      </left>
      <right style="double"/>
      <top>
        <color indexed="63"/>
      </top>
      <bottom style="double"/>
    </border>
    <border>
      <left style="double"/>
      <right style="thin"/>
      <top>
        <color indexed="63"/>
      </top>
      <bottom>
        <color indexed="63"/>
      </bottom>
    </border>
    <border>
      <left>
        <color indexed="63"/>
      </left>
      <right style="double"/>
      <top>
        <color indexed="63"/>
      </top>
      <bottom>
        <color indexed="63"/>
      </bottom>
    </border>
    <border>
      <left style="double"/>
      <right style="thin"/>
      <top style="thin"/>
      <bottom style="thin"/>
    </border>
    <border>
      <left>
        <color indexed="63"/>
      </left>
      <right style="double"/>
      <top style="thin"/>
      <bottom style="thin"/>
    </border>
    <border>
      <left style="double"/>
      <right style="thin"/>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style="thin"/>
      <top style="thin"/>
      <bottom>
        <color indexed="63"/>
      </bottom>
    </border>
    <border>
      <left style="thin"/>
      <right style="thin"/>
      <top style="thin"/>
      <bottom style="medium"/>
    </border>
    <border>
      <left style="thin"/>
      <right style="double"/>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double"/>
      <right style="thin"/>
      <top>
        <color indexed="63"/>
      </top>
      <bottom style="double"/>
    </border>
    <border>
      <left style="thin"/>
      <right style="double"/>
      <top>
        <color indexed="63"/>
      </top>
      <bottom>
        <color indexed="63"/>
      </bottom>
    </border>
    <border>
      <left style="double"/>
      <right style="thin"/>
      <top style="double"/>
      <bottom>
        <color indexed="63"/>
      </bottom>
    </border>
    <border>
      <left style="double"/>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s>
  <cellStyleXfs count="22">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16">
    <xf numFmtId="0" fontId="0" fillId="0" borderId="0" xfId="0" applyAlignment="1">
      <alignment/>
    </xf>
    <xf numFmtId="0" fontId="0" fillId="2" borderId="0" xfId="0" applyFill="1" applyAlignment="1">
      <alignment/>
    </xf>
    <xf numFmtId="0" fontId="4" fillId="2" borderId="0" xfId="0" applyFont="1" applyFill="1" applyAlignment="1">
      <alignment/>
    </xf>
    <xf numFmtId="0" fontId="0" fillId="2" borderId="0" xfId="0"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0" xfId="0" applyFill="1" applyBorder="1" applyAlignment="1">
      <alignment/>
    </xf>
    <xf numFmtId="0" fontId="0" fillId="3" borderId="3" xfId="0" applyFill="1" applyBorder="1" applyAlignment="1">
      <alignment/>
    </xf>
    <xf numFmtId="0" fontId="6" fillId="3" borderId="0" xfId="0" applyFont="1" applyFill="1" applyBorder="1" applyAlignment="1">
      <alignment/>
    </xf>
    <xf numFmtId="0" fontId="4" fillId="3" borderId="2" xfId="0" applyFont="1" applyFill="1" applyBorder="1" applyAlignment="1">
      <alignment/>
    </xf>
    <xf numFmtId="175" fontId="0" fillId="3" borderId="0" xfId="0" applyNumberFormat="1" applyFont="1" applyFill="1" applyBorder="1" applyAlignment="1">
      <alignment/>
    </xf>
    <xf numFmtId="3" fontId="0" fillId="3" borderId="0" xfId="0" applyNumberFormat="1" applyFont="1" applyFill="1" applyBorder="1" applyAlignment="1">
      <alignment/>
    </xf>
    <xf numFmtId="3" fontId="0" fillId="3" borderId="0" xfId="0" applyNumberFormat="1" applyFill="1" applyBorder="1" applyAlignment="1">
      <alignment/>
    </xf>
    <xf numFmtId="175" fontId="0" fillId="3" borderId="0" xfId="0" applyNumberFormat="1" applyFill="1" applyBorder="1" applyAlignment="1">
      <alignment/>
    </xf>
    <xf numFmtId="0" fontId="6" fillId="3" borderId="0" xfId="0" applyFont="1" applyFill="1" applyAlignment="1">
      <alignment/>
    </xf>
    <xf numFmtId="1" fontId="0" fillId="3" borderId="0" xfId="0" applyNumberFormat="1" applyFill="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4" borderId="7" xfId="0" applyFill="1" applyBorder="1" applyAlignment="1">
      <alignment/>
    </xf>
    <xf numFmtId="0" fontId="0" fillId="4" borderId="1" xfId="0" applyFill="1" applyBorder="1" applyAlignment="1">
      <alignment/>
    </xf>
    <xf numFmtId="0" fontId="0" fillId="4" borderId="8" xfId="0" applyFill="1" applyBorder="1" applyAlignment="1">
      <alignment/>
    </xf>
    <xf numFmtId="0" fontId="0" fillId="4" borderId="2" xfId="0" applyFill="1" applyBorder="1" applyAlignment="1">
      <alignment/>
    </xf>
    <xf numFmtId="0" fontId="0" fillId="4" borderId="0" xfId="0" applyFill="1" applyBorder="1" applyAlignment="1">
      <alignment/>
    </xf>
    <xf numFmtId="0" fontId="0" fillId="4" borderId="3" xfId="0" applyFill="1" applyBorder="1" applyAlignment="1">
      <alignment/>
    </xf>
    <xf numFmtId="0" fontId="6" fillId="4" borderId="0" xfId="0" applyFont="1"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7" fillId="4" borderId="0" xfId="0" applyFont="1" applyFill="1" applyBorder="1" applyAlignment="1">
      <alignment/>
    </xf>
    <xf numFmtId="1" fontId="7" fillId="4" borderId="0" xfId="0" applyNumberFormat="1" applyFont="1" applyFill="1" applyBorder="1" applyAlignment="1">
      <alignment/>
    </xf>
    <xf numFmtId="9" fontId="7" fillId="4" borderId="0" xfId="21" applyFont="1" applyFill="1" applyBorder="1" applyAlignment="1">
      <alignment/>
    </xf>
    <xf numFmtId="1" fontId="0" fillId="4" borderId="0" xfId="21" applyNumberFormat="1" applyFont="1" applyFill="1" applyBorder="1" applyAlignment="1">
      <alignment/>
    </xf>
    <xf numFmtId="0" fontId="10" fillId="2" borderId="0" xfId="0" applyFont="1" applyFill="1" applyAlignment="1">
      <alignment/>
    </xf>
    <xf numFmtId="9" fontId="7" fillId="2" borderId="0" xfId="21" applyFont="1" applyFill="1" applyBorder="1" applyAlignment="1">
      <alignment/>
    </xf>
    <xf numFmtId="0" fontId="4" fillId="3" borderId="7" xfId="0" applyFont="1" applyFill="1" applyBorder="1" applyAlignment="1">
      <alignment/>
    </xf>
    <xf numFmtId="0" fontId="6" fillId="3" borderId="2" xfId="0" applyFont="1" applyFill="1" applyBorder="1" applyAlignment="1">
      <alignment/>
    </xf>
    <xf numFmtId="9" fontId="7" fillId="3" borderId="3" xfId="21" applyFont="1" applyFill="1" applyBorder="1" applyAlignment="1">
      <alignment/>
    </xf>
    <xf numFmtId="0" fontId="6" fillId="3" borderId="4" xfId="0" applyFont="1" applyFill="1" applyBorder="1" applyAlignment="1">
      <alignment/>
    </xf>
    <xf numFmtId="9" fontId="7" fillId="3" borderId="6" xfId="21" applyFont="1" applyFill="1" applyBorder="1" applyAlignment="1">
      <alignment/>
    </xf>
    <xf numFmtId="0" fontId="4" fillId="5" borderId="7" xfId="0" applyFont="1" applyFill="1" applyBorder="1" applyAlignment="1">
      <alignment/>
    </xf>
    <xf numFmtId="0" fontId="0" fillId="5" borderId="1" xfId="0" applyFill="1" applyBorder="1" applyAlignment="1">
      <alignment/>
    </xf>
    <xf numFmtId="0" fontId="4" fillId="5" borderId="2" xfId="0" applyFont="1" applyFill="1" applyBorder="1" applyAlignment="1">
      <alignment/>
    </xf>
    <xf numFmtId="0" fontId="0" fillId="5" borderId="0" xfId="0" applyFill="1" applyBorder="1" applyAlignment="1">
      <alignment/>
    </xf>
    <xf numFmtId="0" fontId="0" fillId="5" borderId="5" xfId="0" applyFill="1" applyBorder="1" applyAlignment="1">
      <alignment/>
    </xf>
    <xf numFmtId="0" fontId="7" fillId="3" borderId="3" xfId="0" applyFont="1" applyFill="1" applyBorder="1" applyAlignment="1">
      <alignment/>
    </xf>
    <xf numFmtId="0" fontId="0" fillId="2" borderId="5" xfId="0" applyFill="1" applyBorder="1" applyAlignment="1">
      <alignment/>
    </xf>
    <xf numFmtId="0" fontId="0" fillId="5" borderId="2" xfId="0" applyFill="1" applyBorder="1" applyAlignment="1">
      <alignment/>
    </xf>
    <xf numFmtId="0" fontId="6" fillId="5" borderId="0" xfId="0" applyFont="1" applyFill="1" applyBorder="1" applyAlignment="1">
      <alignment/>
    </xf>
    <xf numFmtId="0" fontId="7" fillId="5" borderId="0" xfId="0" applyFont="1" applyFill="1" applyBorder="1" applyAlignment="1">
      <alignment/>
    </xf>
    <xf numFmtId="0" fontId="0" fillId="5" borderId="3" xfId="0" applyFill="1" applyBorder="1" applyAlignment="1">
      <alignment/>
    </xf>
    <xf numFmtId="0" fontId="0" fillId="5" borderId="4" xfId="0" applyFill="1" applyBorder="1" applyAlignment="1">
      <alignment/>
    </xf>
    <xf numFmtId="0" fontId="6" fillId="5" borderId="5" xfId="0" applyFont="1" applyFill="1" applyBorder="1" applyAlignment="1">
      <alignment/>
    </xf>
    <xf numFmtId="0" fontId="4" fillId="3" borderId="0" xfId="0" applyFont="1" applyFill="1" applyBorder="1" applyAlignment="1">
      <alignment/>
    </xf>
    <xf numFmtId="0" fontId="3" fillId="3" borderId="0" xfId="0" applyFont="1" applyFill="1" applyBorder="1" applyAlignment="1">
      <alignment horizontal="right"/>
    </xf>
    <xf numFmtId="168" fontId="4" fillId="3" borderId="2" xfId="21" applyNumberFormat="1" applyFont="1" applyFill="1" applyBorder="1" applyAlignment="1">
      <alignment horizontal="left"/>
    </xf>
    <xf numFmtId="0" fontId="6" fillId="3" borderId="0" xfId="0" applyFont="1" applyFill="1" applyBorder="1" applyAlignment="1">
      <alignment horizontal="left"/>
    </xf>
    <xf numFmtId="168" fontId="0" fillId="2" borderId="0" xfId="0" applyNumberFormat="1" applyFill="1" applyAlignment="1">
      <alignment/>
    </xf>
    <xf numFmtId="0" fontId="0" fillId="6" borderId="1" xfId="0" applyFill="1" applyBorder="1" applyAlignment="1">
      <alignment/>
    </xf>
    <xf numFmtId="0" fontId="0" fillId="6" borderId="8" xfId="0" applyFill="1" applyBorder="1" applyAlignment="1">
      <alignment/>
    </xf>
    <xf numFmtId="0" fontId="4" fillId="6" borderId="0" xfId="0" applyFont="1" applyFill="1" applyBorder="1" applyAlignment="1">
      <alignment horizontal="center"/>
    </xf>
    <xf numFmtId="0" fontId="0" fillId="6" borderId="0" xfId="0" applyFill="1" applyBorder="1" applyAlignment="1">
      <alignment/>
    </xf>
    <xf numFmtId="0" fontId="0" fillId="6" borderId="3" xfId="0" applyFill="1" applyBorder="1" applyAlignment="1">
      <alignment/>
    </xf>
    <xf numFmtId="0" fontId="0" fillId="6" borderId="2" xfId="0" applyFill="1" applyBorder="1" applyAlignment="1">
      <alignment/>
    </xf>
    <xf numFmtId="0" fontId="7" fillId="6" borderId="0" xfId="0" applyFont="1" applyFill="1" applyBorder="1" applyAlignment="1">
      <alignment horizontal="right"/>
    </xf>
    <xf numFmtId="0" fontId="0" fillId="6" borderId="4" xfId="0" applyFill="1" applyBorder="1" applyAlignment="1">
      <alignment/>
    </xf>
    <xf numFmtId="0" fontId="0" fillId="6" borderId="5" xfId="0" applyFill="1" applyBorder="1" applyAlignment="1">
      <alignment/>
    </xf>
    <xf numFmtId="0" fontId="0" fillId="6" borderId="6" xfId="0" applyFill="1" applyBorder="1" applyAlignment="1">
      <alignment/>
    </xf>
    <xf numFmtId="0" fontId="0" fillId="5" borderId="6" xfId="0" applyFill="1" applyBorder="1" applyAlignment="1">
      <alignment/>
    </xf>
    <xf numFmtId="0" fontId="0" fillId="6" borderId="0" xfId="0" applyFill="1" applyAlignment="1">
      <alignment/>
    </xf>
    <xf numFmtId="0" fontId="0" fillId="3" borderId="3" xfId="0" applyFont="1" applyFill="1" applyBorder="1" applyAlignment="1">
      <alignment/>
    </xf>
    <xf numFmtId="0" fontId="0" fillId="2" borderId="2" xfId="0" applyFill="1" applyBorder="1" applyAlignment="1">
      <alignment/>
    </xf>
    <xf numFmtId="3" fontId="0" fillId="3" borderId="0" xfId="0" applyNumberFormat="1" applyFill="1" applyAlignment="1">
      <alignment/>
    </xf>
    <xf numFmtId="0" fontId="5" fillId="2" borderId="2" xfId="0" applyFont="1" applyFill="1" applyBorder="1" applyAlignment="1">
      <alignment horizontal="center"/>
    </xf>
    <xf numFmtId="0" fontId="0" fillId="2" borderId="2" xfId="0" applyFont="1" applyFill="1" applyBorder="1" applyAlignment="1">
      <alignment/>
    </xf>
    <xf numFmtId="0" fontId="6" fillId="3" borderId="0" xfId="0" applyFont="1" applyFill="1" applyBorder="1" applyAlignment="1">
      <alignment horizontal="left" indent="2"/>
    </xf>
    <xf numFmtId="0" fontId="0" fillId="7" borderId="2" xfId="0" applyFill="1" applyBorder="1" applyAlignment="1">
      <alignment/>
    </xf>
    <xf numFmtId="0" fontId="0" fillId="7" borderId="0" xfId="0" applyFill="1" applyBorder="1" applyAlignment="1">
      <alignment/>
    </xf>
    <xf numFmtId="0" fontId="0" fillId="7" borderId="3" xfId="0" applyFill="1" applyBorder="1" applyAlignment="1">
      <alignment/>
    </xf>
    <xf numFmtId="3" fontId="0" fillId="7" borderId="0" xfId="0" applyNumberFormat="1" applyFill="1" applyBorder="1" applyAlignment="1">
      <alignment/>
    </xf>
    <xf numFmtId="0" fontId="0" fillId="7" borderId="4" xfId="0" applyFill="1" applyBorder="1" applyAlignment="1">
      <alignment/>
    </xf>
    <xf numFmtId="0" fontId="0" fillId="7" borderId="5" xfId="0" applyFill="1" applyBorder="1" applyAlignment="1">
      <alignment/>
    </xf>
    <xf numFmtId="0" fontId="0" fillId="7" borderId="6" xfId="0" applyFill="1" applyBorder="1" applyAlignment="1">
      <alignment/>
    </xf>
    <xf numFmtId="0" fontId="0" fillId="8" borderId="0" xfId="0" applyFill="1" applyBorder="1" applyAlignment="1">
      <alignment/>
    </xf>
    <xf numFmtId="0" fontId="0" fillId="8" borderId="3" xfId="0" applyFill="1" applyBorder="1" applyAlignment="1">
      <alignment/>
    </xf>
    <xf numFmtId="3" fontId="0" fillId="8" borderId="0" xfId="0" applyNumberFormat="1" applyFill="1" applyBorder="1" applyAlignment="1">
      <alignment/>
    </xf>
    <xf numFmtId="0" fontId="12" fillId="5" borderId="7" xfId="0" applyFont="1" applyFill="1" applyBorder="1" applyAlignment="1">
      <alignment/>
    </xf>
    <xf numFmtId="0" fontId="12" fillId="3" borderId="7" xfId="0" applyFont="1" applyFill="1" applyBorder="1" applyAlignment="1">
      <alignment/>
    </xf>
    <xf numFmtId="0" fontId="12" fillId="3" borderId="0" xfId="0" applyFont="1" applyFill="1" applyBorder="1" applyAlignment="1">
      <alignment/>
    </xf>
    <xf numFmtId="0" fontId="4" fillId="2" borderId="0" xfId="0" applyFont="1" applyFill="1" applyBorder="1" applyAlignment="1">
      <alignment horizontal="left"/>
    </xf>
    <xf numFmtId="0" fontId="5" fillId="2" borderId="0" xfId="0" applyFont="1" applyFill="1" applyBorder="1" applyAlignment="1">
      <alignment horizontal="left" wrapText="1"/>
    </xf>
    <xf numFmtId="0" fontId="5" fillId="2" borderId="0" xfId="0" applyFont="1" applyFill="1" applyAlignment="1">
      <alignment/>
    </xf>
    <xf numFmtId="0" fontId="4" fillId="4" borderId="1" xfId="0" applyFont="1" applyFill="1" applyBorder="1" applyAlignment="1">
      <alignment/>
    </xf>
    <xf numFmtId="9" fontId="0" fillId="4" borderId="0" xfId="21" applyFill="1" applyBorder="1" applyAlignment="1">
      <alignment/>
    </xf>
    <xf numFmtId="0" fontId="4" fillId="4" borderId="0" xfId="0" applyFont="1" applyFill="1" applyBorder="1" applyAlignment="1">
      <alignment/>
    </xf>
    <xf numFmtId="1" fontId="0" fillId="4" borderId="0" xfId="21" applyNumberFormat="1" applyFill="1" applyBorder="1" applyAlignment="1">
      <alignment/>
    </xf>
    <xf numFmtId="1" fontId="0" fillId="4" borderId="0" xfId="0" applyNumberFormat="1" applyFill="1" applyBorder="1" applyAlignment="1">
      <alignment/>
    </xf>
    <xf numFmtId="0" fontId="6" fillId="4" borderId="5" xfId="0" applyFont="1" applyFill="1" applyBorder="1" applyAlignment="1">
      <alignment/>
    </xf>
    <xf numFmtId="1" fontId="7" fillId="4" borderId="0" xfId="21" applyNumberFormat="1" applyFont="1" applyFill="1" applyBorder="1" applyAlignment="1">
      <alignment/>
    </xf>
    <xf numFmtId="0" fontId="0" fillId="5" borderId="8" xfId="0" applyFill="1" applyBorder="1" applyAlignment="1">
      <alignment/>
    </xf>
    <xf numFmtId="0" fontId="6" fillId="5" borderId="2" xfId="0" applyFont="1" applyFill="1" applyBorder="1" applyAlignment="1">
      <alignment/>
    </xf>
    <xf numFmtId="0" fontId="6" fillId="5" borderId="4" xfId="0" applyFont="1" applyFill="1" applyBorder="1" applyAlignment="1">
      <alignment horizontal="left" wrapText="1" indent="1"/>
    </xf>
    <xf numFmtId="1" fontId="0" fillId="4" borderId="0" xfId="0" applyNumberFormat="1" applyFont="1" applyFill="1" applyBorder="1" applyAlignment="1">
      <alignment/>
    </xf>
    <xf numFmtId="0" fontId="4" fillId="4" borderId="0" xfId="0" applyFont="1" applyFill="1" applyBorder="1" applyAlignment="1">
      <alignment horizontal="right"/>
    </xf>
    <xf numFmtId="0" fontId="4" fillId="3" borderId="0" xfId="0" applyFont="1" applyFill="1" applyBorder="1" applyAlignment="1">
      <alignment horizontal="right"/>
    </xf>
    <xf numFmtId="9" fontId="7" fillId="5" borderId="0" xfId="21" applyFont="1" applyFill="1" applyBorder="1" applyAlignment="1">
      <alignment/>
    </xf>
    <xf numFmtId="1" fontId="0" fillId="5" borderId="5" xfId="0" applyNumberFormat="1" applyFill="1" applyBorder="1" applyAlignment="1">
      <alignment/>
    </xf>
    <xf numFmtId="0" fontId="4" fillId="2" borderId="0" xfId="0" applyFont="1" applyFill="1" applyAlignment="1">
      <alignment horizontal="right"/>
    </xf>
    <xf numFmtId="0" fontId="4" fillId="5" borderId="0" xfId="0" applyFont="1" applyFill="1" applyBorder="1" applyAlignment="1">
      <alignment horizontal="right"/>
    </xf>
    <xf numFmtId="0" fontId="4" fillId="6" borderId="7" xfId="0" applyFont="1" applyFill="1" applyBorder="1" applyAlignment="1">
      <alignment/>
    </xf>
    <xf numFmtId="0" fontId="6" fillId="6" borderId="2" xfId="0" applyFont="1" applyFill="1" applyBorder="1" applyAlignment="1">
      <alignment/>
    </xf>
    <xf numFmtId="0" fontId="7" fillId="6" borderId="0" xfId="0" applyFont="1" applyFill="1" applyBorder="1" applyAlignment="1">
      <alignment/>
    </xf>
    <xf numFmtId="0" fontId="0" fillId="2" borderId="9" xfId="0" applyFill="1" applyBorder="1" applyAlignment="1">
      <alignment/>
    </xf>
    <xf numFmtId="167" fontId="0" fillId="2" borderId="0" xfId="15" applyNumberFormat="1" applyFill="1" applyBorder="1" applyAlignment="1">
      <alignment horizontal="left"/>
    </xf>
    <xf numFmtId="168" fontId="0" fillId="2" borderId="0" xfId="21" applyNumberFormat="1" applyFill="1" applyBorder="1" applyAlignment="1">
      <alignment horizontal="left"/>
    </xf>
    <xf numFmtId="0" fontId="0" fillId="2" borderId="0" xfId="0" applyFill="1" applyBorder="1" applyAlignment="1">
      <alignment horizontal="left"/>
    </xf>
    <xf numFmtId="9" fontId="0" fillId="2" borderId="0" xfId="21" applyFill="1" applyBorder="1" applyAlignment="1">
      <alignment horizontal="left"/>
    </xf>
    <xf numFmtId="0" fontId="10" fillId="2" borderId="0" xfId="0" applyFont="1" applyFill="1" applyBorder="1" applyAlignment="1">
      <alignment horizontal="left"/>
    </xf>
    <xf numFmtId="9" fontId="0" fillId="2" borderId="0" xfId="21" applyFill="1" applyBorder="1" applyAlignment="1">
      <alignment horizontal="left" wrapText="1"/>
    </xf>
    <xf numFmtId="0" fontId="0" fillId="2" borderId="0" xfId="0" applyFill="1" applyBorder="1" applyAlignment="1">
      <alignment horizontal="left" wrapText="1"/>
    </xf>
    <xf numFmtId="0" fontId="0" fillId="2" borderId="0" xfId="0" applyFont="1" applyFill="1" applyBorder="1" applyAlignment="1">
      <alignment horizontal="left" wrapText="1"/>
    </xf>
    <xf numFmtId="167" fontId="7" fillId="2" borderId="0" xfId="15" applyNumberFormat="1" applyFont="1" applyFill="1" applyBorder="1" applyAlignment="1">
      <alignment horizontal="left"/>
    </xf>
    <xf numFmtId="168" fontId="7" fillId="2" borderId="0" xfId="21" applyNumberFormat="1" applyFont="1" applyFill="1" applyBorder="1" applyAlignment="1">
      <alignment horizontal="left"/>
    </xf>
    <xf numFmtId="0" fontId="7" fillId="2" borderId="0" xfId="0" applyFont="1" applyFill="1" applyBorder="1" applyAlignment="1">
      <alignment horizontal="left"/>
    </xf>
    <xf numFmtId="165" fontId="7" fillId="2" borderId="0" xfId="0" applyNumberFormat="1" applyFont="1" applyFill="1" applyBorder="1" applyAlignment="1">
      <alignment horizontal="left"/>
    </xf>
    <xf numFmtId="9" fontId="7" fillId="2" borderId="0" xfId="21" applyFont="1" applyFill="1" applyBorder="1" applyAlignment="1">
      <alignment horizontal="left"/>
    </xf>
    <xf numFmtId="9" fontId="0" fillId="2" borderId="0" xfId="21" applyFont="1" applyFill="1" applyBorder="1" applyAlignment="1">
      <alignment horizontal="left"/>
    </xf>
    <xf numFmtId="0" fontId="7" fillId="2" borderId="0" xfId="0" applyFont="1" applyFill="1" applyBorder="1" applyAlignment="1">
      <alignment horizontal="left" wrapText="1"/>
    </xf>
    <xf numFmtId="167" fontId="4" fillId="3" borderId="7" xfId="15" applyNumberFormat="1" applyFont="1" applyFill="1" applyBorder="1" applyAlignment="1">
      <alignment horizontal="left"/>
    </xf>
    <xf numFmtId="168" fontId="0" fillId="3" borderId="1" xfId="21" applyNumberFormat="1" applyFill="1" applyBorder="1" applyAlignment="1">
      <alignment horizontal="left"/>
    </xf>
    <xf numFmtId="0" fontId="10" fillId="3" borderId="1" xfId="0" applyFont="1" applyFill="1" applyBorder="1" applyAlignment="1">
      <alignment horizontal="left"/>
    </xf>
    <xf numFmtId="0" fontId="10" fillId="3" borderId="8" xfId="0" applyFont="1" applyFill="1" applyBorder="1" applyAlignment="1">
      <alignment horizontal="left"/>
    </xf>
    <xf numFmtId="0" fontId="4" fillId="5" borderId="0" xfId="0" applyFont="1" applyFill="1" applyBorder="1" applyAlignment="1">
      <alignment horizontal="center"/>
    </xf>
    <xf numFmtId="0" fontId="0" fillId="2" borderId="0" xfId="0" applyFont="1" applyFill="1" applyBorder="1" applyAlignment="1" applyProtection="1">
      <alignment/>
      <protection/>
    </xf>
    <xf numFmtId="0" fontId="4" fillId="2" borderId="0" xfId="0" applyFont="1" applyFill="1" applyBorder="1" applyAlignment="1" applyProtection="1">
      <alignment horizontal="left" wrapText="1"/>
      <protection/>
    </xf>
    <xf numFmtId="9" fontId="7" fillId="3" borderId="3" xfId="21" applyNumberFormat="1" applyFont="1" applyFill="1" applyBorder="1" applyAlignment="1">
      <alignment/>
    </xf>
    <xf numFmtId="0" fontId="5" fillId="2" borderId="10" xfId="0" applyFont="1" applyFill="1" applyBorder="1" applyAlignment="1">
      <alignment horizontal="center" wrapText="1"/>
    </xf>
    <xf numFmtId="0" fontId="4" fillId="7" borderId="2" xfId="0" applyFont="1" applyFill="1" applyBorder="1" applyAlignment="1">
      <alignment/>
    </xf>
    <xf numFmtId="0" fontId="6" fillId="3" borderId="0" xfId="0" applyFont="1" applyFill="1" applyBorder="1" applyAlignment="1">
      <alignment horizontal="left" indent="2"/>
    </xf>
    <xf numFmtId="0" fontId="7" fillId="4" borderId="3" xfId="0" applyFont="1" applyFill="1" applyBorder="1" applyAlignment="1">
      <alignment/>
    </xf>
    <xf numFmtId="0" fontId="0" fillId="4" borderId="0" xfId="0" applyFont="1" applyFill="1" applyBorder="1" applyAlignment="1">
      <alignment/>
    </xf>
    <xf numFmtId="9" fontId="0" fillId="4" borderId="0" xfId="21" applyFont="1" applyFill="1" applyBorder="1" applyAlignment="1">
      <alignment/>
    </xf>
    <xf numFmtId="0" fontId="6" fillId="4" borderId="0" xfId="0" applyFont="1" applyFill="1" applyBorder="1" applyAlignment="1">
      <alignment horizontal="right"/>
    </xf>
    <xf numFmtId="0" fontId="4" fillId="4" borderId="5" xfId="0" applyFont="1" applyFill="1" applyBorder="1" applyAlignment="1">
      <alignment/>
    </xf>
    <xf numFmtId="0" fontId="4" fillId="2" borderId="0" xfId="0" applyFont="1" applyFill="1" applyBorder="1" applyAlignment="1">
      <alignment horizontal="right"/>
    </xf>
    <xf numFmtId="0" fontId="0" fillId="2" borderId="0" xfId="0" applyFont="1" applyFill="1" applyBorder="1" applyAlignment="1">
      <alignment/>
    </xf>
    <xf numFmtId="0" fontId="6" fillId="2" borderId="0" xfId="0" applyFont="1" applyFill="1" applyBorder="1" applyAlignment="1">
      <alignment/>
    </xf>
    <xf numFmtId="0" fontId="6" fillId="3" borderId="0" xfId="0" applyFont="1" applyFill="1" applyAlignment="1">
      <alignment horizontal="left" indent="2"/>
    </xf>
    <xf numFmtId="0" fontId="0" fillId="7" borderId="7" xfId="0" applyFill="1" applyBorder="1" applyAlignment="1">
      <alignment/>
    </xf>
    <xf numFmtId="0" fontId="5" fillId="7" borderId="1" xfId="0" applyFont="1" applyFill="1" applyBorder="1" applyAlignment="1">
      <alignment/>
    </xf>
    <xf numFmtId="0" fontId="0" fillId="7" borderId="1" xfId="0" applyFill="1" applyBorder="1" applyAlignment="1">
      <alignment/>
    </xf>
    <xf numFmtId="8" fontId="0" fillId="7" borderId="1" xfId="0" applyNumberFormat="1" applyFill="1" applyBorder="1" applyAlignment="1">
      <alignment/>
    </xf>
    <xf numFmtId="0" fontId="0" fillId="7" borderId="8" xfId="0" applyFill="1" applyBorder="1" applyAlignment="1">
      <alignment/>
    </xf>
    <xf numFmtId="10" fontId="0" fillId="7" borderId="0" xfId="0" applyNumberFormat="1" applyFill="1" applyBorder="1" applyAlignment="1">
      <alignment/>
    </xf>
    <xf numFmtId="0" fontId="6" fillId="7" borderId="0" xfId="0" applyFont="1" applyFill="1" applyBorder="1" applyAlignment="1">
      <alignment/>
    </xf>
    <xf numFmtId="3" fontId="0" fillId="7" borderId="0" xfId="15" applyNumberFormat="1" applyFill="1" applyBorder="1" applyAlignment="1">
      <alignment/>
    </xf>
    <xf numFmtId="0" fontId="0" fillId="8" borderId="7" xfId="0" applyFill="1" applyBorder="1" applyAlignment="1">
      <alignment/>
    </xf>
    <xf numFmtId="0" fontId="5" fillId="8" borderId="1" xfId="0" applyFont="1" applyFill="1" applyBorder="1" applyAlignment="1">
      <alignment/>
    </xf>
    <xf numFmtId="0" fontId="0" fillId="8" borderId="1" xfId="0" applyFill="1" applyBorder="1" applyAlignment="1">
      <alignment/>
    </xf>
    <xf numFmtId="0" fontId="0" fillId="8" borderId="8" xfId="0" applyFill="1" applyBorder="1" applyAlignment="1">
      <alignment/>
    </xf>
    <xf numFmtId="0" fontId="0" fillId="8" borderId="2" xfId="0" applyFill="1" applyBorder="1" applyAlignment="1">
      <alignment/>
    </xf>
    <xf numFmtId="0" fontId="6" fillId="8" borderId="0" xfId="0" applyFont="1" applyFill="1" applyBorder="1" applyAlignment="1">
      <alignment/>
    </xf>
    <xf numFmtId="0" fontId="0" fillId="8" borderId="4" xfId="0" applyFill="1" applyBorder="1" applyAlignment="1">
      <alignment/>
    </xf>
    <xf numFmtId="0" fontId="0" fillId="8" borderId="5" xfId="0" applyFill="1" applyBorder="1" applyAlignment="1">
      <alignment/>
    </xf>
    <xf numFmtId="0" fontId="0" fillId="8" borderId="6" xfId="0" applyFill="1" applyBorder="1" applyAlignment="1">
      <alignment/>
    </xf>
    <xf numFmtId="167" fontId="4" fillId="3" borderId="2" xfId="15" applyNumberFormat="1" applyFont="1" applyFill="1" applyBorder="1" applyAlignment="1">
      <alignment horizontal="left"/>
    </xf>
    <xf numFmtId="168" fontId="0" fillId="3" borderId="0" xfId="21" applyNumberFormat="1" applyFill="1" applyBorder="1" applyAlignment="1">
      <alignment horizontal="left"/>
    </xf>
    <xf numFmtId="0" fontId="10" fillId="3" borderId="0" xfId="0" applyFont="1" applyFill="1" applyBorder="1" applyAlignment="1">
      <alignment horizontal="left"/>
    </xf>
    <xf numFmtId="0" fontId="10" fillId="3" borderId="3" xfId="0" applyFont="1" applyFill="1" applyBorder="1" applyAlignment="1">
      <alignment horizontal="left"/>
    </xf>
    <xf numFmtId="3" fontId="0" fillId="5" borderId="0" xfId="0" applyNumberFormat="1" applyFill="1" applyBorder="1" applyAlignment="1">
      <alignment/>
    </xf>
    <xf numFmtId="0" fontId="13" fillId="7" borderId="7" xfId="0" applyFont="1" applyFill="1" applyBorder="1" applyAlignment="1">
      <alignment/>
    </xf>
    <xf numFmtId="0" fontId="4" fillId="7" borderId="1" xfId="0" applyFont="1" applyFill="1" applyBorder="1" applyAlignment="1">
      <alignment horizontal="center"/>
    </xf>
    <xf numFmtId="0" fontId="4" fillId="7" borderId="8" xfId="0" applyFont="1" applyFill="1" applyBorder="1" applyAlignment="1">
      <alignment horizontal="center"/>
    </xf>
    <xf numFmtId="0" fontId="13" fillId="7" borderId="2" xfId="0" applyFont="1" applyFill="1" applyBorder="1" applyAlignment="1">
      <alignment/>
    </xf>
    <xf numFmtId="0" fontId="4" fillId="7" borderId="0" xfId="0" applyFont="1" applyFill="1" applyBorder="1" applyAlignment="1">
      <alignment horizontal="center"/>
    </xf>
    <xf numFmtId="0" fontId="4" fillId="7" borderId="3" xfId="0" applyFont="1" applyFill="1" applyBorder="1" applyAlignment="1">
      <alignment horizontal="center"/>
    </xf>
    <xf numFmtId="3" fontId="7" fillId="7" borderId="0" xfId="0" applyNumberFormat="1" applyFont="1" applyFill="1" applyBorder="1" applyAlignment="1">
      <alignment/>
    </xf>
    <xf numFmtId="0" fontId="11" fillId="2" borderId="0" xfId="0" applyFont="1" applyFill="1" applyAlignment="1">
      <alignment/>
    </xf>
    <xf numFmtId="0" fontId="11" fillId="3" borderId="2" xfId="0" applyFont="1" applyFill="1" applyBorder="1" applyAlignment="1">
      <alignment/>
    </xf>
    <xf numFmtId="0" fontId="11" fillId="3" borderId="0" xfId="0" applyFont="1" applyFill="1" applyBorder="1" applyAlignment="1">
      <alignment/>
    </xf>
    <xf numFmtId="0" fontId="0" fillId="4" borderId="0" xfId="0" applyFill="1" applyAlignment="1">
      <alignment/>
    </xf>
    <xf numFmtId="168" fontId="0" fillId="7" borderId="6" xfId="0" applyNumberFormat="1" applyFill="1" applyBorder="1" applyAlignment="1">
      <alignment/>
    </xf>
    <xf numFmtId="0" fontId="4" fillId="9" borderId="2" xfId="0" applyFont="1" applyFill="1" applyBorder="1" applyAlignment="1">
      <alignment/>
    </xf>
    <xf numFmtId="0" fontId="0" fillId="9" borderId="0" xfId="0" applyFill="1" applyBorder="1" applyAlignment="1">
      <alignment/>
    </xf>
    <xf numFmtId="0" fontId="0" fillId="9" borderId="3" xfId="0" applyFill="1" applyBorder="1" applyAlignment="1">
      <alignment/>
    </xf>
    <xf numFmtId="0" fontId="0" fillId="9" borderId="2" xfId="0" applyFill="1" applyBorder="1" applyAlignment="1">
      <alignment/>
    </xf>
    <xf numFmtId="0" fontId="6" fillId="9" borderId="2" xfId="0" applyFont="1" applyFill="1" applyBorder="1" applyAlignment="1">
      <alignment/>
    </xf>
    <xf numFmtId="9" fontId="7" fillId="9" borderId="0" xfId="21" applyFont="1" applyFill="1" applyBorder="1" applyAlignment="1">
      <alignment/>
    </xf>
    <xf numFmtId="9" fontId="0" fillId="9" borderId="0" xfId="21" applyFont="1" applyFill="1" applyBorder="1" applyAlignment="1">
      <alignment/>
    </xf>
    <xf numFmtId="9" fontId="0" fillId="9" borderId="0" xfId="0" applyNumberFormat="1" applyFill="1" applyBorder="1" applyAlignment="1">
      <alignment/>
    </xf>
    <xf numFmtId="9" fontId="7" fillId="9" borderId="0" xfId="0" applyNumberFormat="1" applyFont="1" applyFill="1" applyBorder="1" applyAlignment="1">
      <alignment/>
    </xf>
    <xf numFmtId="0" fontId="0" fillId="9" borderId="4" xfId="0" applyFill="1" applyBorder="1" applyAlignment="1">
      <alignment/>
    </xf>
    <xf numFmtId="0" fontId="0" fillId="9" borderId="5" xfId="0" applyFill="1" applyBorder="1" applyAlignment="1">
      <alignment/>
    </xf>
    <xf numFmtId="0" fontId="0" fillId="9" borderId="6" xfId="0" applyFill="1" applyBorder="1" applyAlignment="1">
      <alignment/>
    </xf>
    <xf numFmtId="0" fontId="0" fillId="5" borderId="7" xfId="0" applyFill="1" applyBorder="1" applyAlignment="1">
      <alignment/>
    </xf>
    <xf numFmtId="0" fontId="0" fillId="5" borderId="2" xfId="0" applyFill="1" applyBorder="1" applyAlignment="1">
      <alignment wrapText="1"/>
    </xf>
    <xf numFmtId="3" fontId="0" fillId="5" borderId="3" xfId="0" applyNumberFormat="1" applyFill="1" applyBorder="1" applyAlignment="1">
      <alignment/>
    </xf>
    <xf numFmtId="2" fontId="0" fillId="5" borderId="0" xfId="0" applyNumberFormat="1" applyFill="1" applyBorder="1" applyAlignment="1">
      <alignment/>
    </xf>
    <xf numFmtId="2" fontId="0" fillId="5" borderId="3" xfId="0" applyNumberFormat="1" applyFill="1" applyBorder="1" applyAlignment="1">
      <alignment/>
    </xf>
    <xf numFmtId="0" fontId="0" fillId="3" borderId="8" xfId="0" applyFill="1" applyBorder="1" applyAlignment="1">
      <alignment/>
    </xf>
    <xf numFmtId="0" fontId="0" fillId="3" borderId="0" xfId="0" applyFill="1" applyBorder="1" applyAlignment="1">
      <alignment wrapText="1"/>
    </xf>
    <xf numFmtId="0" fontId="0" fillId="3" borderId="3" xfId="0" applyFill="1" applyBorder="1" applyAlignment="1">
      <alignment wrapText="1"/>
    </xf>
    <xf numFmtId="37" fontId="0" fillId="3" borderId="0" xfId="15" applyNumberFormat="1" applyFill="1" applyBorder="1" applyAlignment="1">
      <alignment/>
    </xf>
    <xf numFmtId="37" fontId="0" fillId="3" borderId="3" xfId="15" applyNumberFormat="1" applyFill="1" applyBorder="1" applyAlignment="1">
      <alignment/>
    </xf>
    <xf numFmtId="0" fontId="6" fillId="3" borderId="0" xfId="0" applyFont="1" applyFill="1" applyBorder="1" applyAlignment="1">
      <alignment wrapText="1"/>
    </xf>
    <xf numFmtId="0" fontId="6" fillId="3" borderId="3" xfId="0" applyFont="1" applyFill="1" applyBorder="1" applyAlignment="1">
      <alignment wrapText="1"/>
    </xf>
    <xf numFmtId="168" fontId="0" fillId="6" borderId="7" xfId="21" applyNumberFormat="1" applyFill="1" applyBorder="1" applyAlignment="1">
      <alignment/>
    </xf>
    <xf numFmtId="168" fontId="0" fillId="6" borderId="1" xfId="21" applyNumberFormat="1" applyFill="1" applyBorder="1" applyAlignment="1">
      <alignment/>
    </xf>
    <xf numFmtId="168" fontId="0" fillId="6" borderId="8" xfId="21" applyNumberFormat="1" applyFill="1" applyBorder="1" applyAlignment="1">
      <alignment/>
    </xf>
    <xf numFmtId="168" fontId="0" fillId="6" borderId="2" xfId="21" applyNumberFormat="1" applyFill="1" applyBorder="1" applyAlignment="1">
      <alignment/>
    </xf>
    <xf numFmtId="168" fontId="0" fillId="6" borderId="0" xfId="21" applyNumberFormat="1" applyFill="1" applyBorder="1" applyAlignment="1">
      <alignment/>
    </xf>
    <xf numFmtId="168" fontId="0" fillId="6" borderId="3" xfId="21" applyNumberFormat="1" applyFill="1" applyBorder="1" applyAlignment="1">
      <alignment/>
    </xf>
    <xf numFmtId="3" fontId="0" fillId="5" borderId="0" xfId="0" applyNumberFormat="1" applyFont="1" applyFill="1" applyBorder="1" applyAlignment="1">
      <alignment/>
    </xf>
    <xf numFmtId="0" fontId="5" fillId="2" borderId="11" xfId="0" applyFont="1" applyFill="1" applyBorder="1" applyAlignment="1">
      <alignment horizontal="center" wrapText="1"/>
    </xf>
    <xf numFmtId="0" fontId="0" fillId="2" borderId="3" xfId="0" applyFill="1" applyBorder="1" applyAlignment="1">
      <alignment/>
    </xf>
    <xf numFmtId="0" fontId="5" fillId="2" borderId="12" xfId="0" applyFont="1" applyFill="1" applyBorder="1" applyAlignment="1">
      <alignment horizontal="center" wrapText="1"/>
    </xf>
    <xf numFmtId="0" fontId="0" fillId="2" borderId="0" xfId="0" applyFont="1" applyFill="1" applyAlignment="1">
      <alignment/>
    </xf>
    <xf numFmtId="43" fontId="0" fillId="2" borderId="0" xfId="0" applyNumberFormat="1" applyFont="1" applyFill="1" applyAlignment="1">
      <alignment/>
    </xf>
    <xf numFmtId="0" fontId="4" fillId="2" borderId="0" xfId="0" applyFont="1" applyFill="1" applyBorder="1" applyAlignment="1">
      <alignment wrapText="1"/>
    </xf>
    <xf numFmtId="0" fontId="0" fillId="2" borderId="6" xfId="0" applyFont="1" applyFill="1" applyBorder="1" applyAlignment="1">
      <alignment/>
    </xf>
    <xf numFmtId="0" fontId="5" fillId="3" borderId="1" xfId="0" applyFont="1" applyFill="1" applyBorder="1" applyAlignment="1">
      <alignment horizontal="center" wrapText="1"/>
    </xf>
    <xf numFmtId="0" fontId="5" fillId="3" borderId="13" xfId="0" applyFont="1" applyFill="1" applyBorder="1" applyAlignment="1">
      <alignment horizontal="center" wrapText="1"/>
    </xf>
    <xf numFmtId="3" fontId="0" fillId="5" borderId="1" xfId="0" applyNumberFormat="1" applyFont="1" applyFill="1" applyBorder="1" applyAlignment="1">
      <alignment/>
    </xf>
    <xf numFmtId="0" fontId="0" fillId="5" borderId="13" xfId="0" applyFont="1" applyFill="1" applyBorder="1" applyAlignment="1">
      <alignment/>
    </xf>
    <xf numFmtId="202" fontId="0" fillId="5" borderId="0" xfId="0" applyNumberFormat="1" applyFont="1" applyFill="1" applyBorder="1" applyAlignment="1">
      <alignment/>
    </xf>
    <xf numFmtId="0" fontId="0" fillId="5" borderId="14" xfId="0" applyFont="1" applyFill="1" applyBorder="1" applyAlignment="1">
      <alignment/>
    </xf>
    <xf numFmtId="0" fontId="0" fillId="5" borderId="0" xfId="0" applyFont="1" applyFill="1" applyBorder="1" applyAlignment="1">
      <alignment/>
    </xf>
    <xf numFmtId="9" fontId="0" fillId="5" borderId="0" xfId="0" applyNumberFormat="1" applyFont="1" applyFill="1" applyBorder="1" applyAlignment="1">
      <alignment/>
    </xf>
    <xf numFmtId="0" fontId="0" fillId="5" borderId="5" xfId="0" applyFont="1" applyFill="1" applyBorder="1" applyAlignment="1">
      <alignment/>
    </xf>
    <xf numFmtId="9" fontId="0" fillId="5" borderId="5" xfId="21" applyFont="1" applyFill="1" applyBorder="1" applyAlignment="1">
      <alignment/>
    </xf>
    <xf numFmtId="0" fontId="0" fillId="5" borderId="15" xfId="0" applyFont="1" applyFill="1" applyBorder="1" applyAlignment="1">
      <alignment/>
    </xf>
    <xf numFmtId="2" fontId="0" fillId="5" borderId="5" xfId="0" applyNumberFormat="1" applyFont="1" applyFill="1" applyBorder="1" applyAlignment="1">
      <alignment/>
    </xf>
    <xf numFmtId="2" fontId="0" fillId="5" borderId="10" xfId="0" applyNumberFormat="1" applyFont="1" applyFill="1" applyBorder="1" applyAlignment="1">
      <alignment/>
    </xf>
    <xf numFmtId="0" fontId="5" fillId="3" borderId="4" xfId="0" applyFont="1" applyFill="1" applyBorder="1" applyAlignment="1">
      <alignment horizontal="center"/>
    </xf>
    <xf numFmtId="0" fontId="5" fillId="3" borderId="6" xfId="0" applyFont="1" applyFill="1" applyBorder="1" applyAlignment="1">
      <alignment horizontal="center"/>
    </xf>
    <xf numFmtId="3" fontId="0" fillId="5" borderId="2" xfId="0" applyNumberFormat="1" applyFont="1" applyFill="1" applyBorder="1" applyAlignment="1">
      <alignment/>
    </xf>
    <xf numFmtId="3" fontId="0" fillId="5" borderId="3" xfId="0" applyNumberFormat="1" applyFont="1" applyFill="1" applyBorder="1" applyAlignment="1">
      <alignment/>
    </xf>
    <xf numFmtId="167" fontId="0" fillId="5" borderId="0" xfId="15" applyNumberFormat="1" applyFont="1" applyFill="1" applyBorder="1" applyAlignment="1">
      <alignment/>
    </xf>
    <xf numFmtId="167" fontId="0" fillId="5" borderId="0" xfId="0" applyNumberFormat="1" applyFont="1" applyFill="1" applyBorder="1" applyAlignment="1">
      <alignment/>
    </xf>
    <xf numFmtId="202" fontId="0" fillId="5" borderId="2" xfId="17" applyNumberFormat="1" applyFont="1" applyFill="1" applyBorder="1" applyAlignment="1">
      <alignment/>
    </xf>
    <xf numFmtId="202" fontId="0" fillId="5" borderId="3" xfId="17" applyNumberFormat="1" applyFont="1" applyFill="1" applyBorder="1" applyAlignment="1">
      <alignment/>
    </xf>
    <xf numFmtId="3" fontId="4" fillId="5" borderId="4" xfId="0" applyNumberFormat="1" applyFont="1" applyFill="1" applyBorder="1" applyAlignment="1">
      <alignment/>
    </xf>
    <xf numFmtId="3" fontId="4" fillId="5" borderId="6" xfId="0" applyNumberFormat="1" applyFont="1" applyFill="1" applyBorder="1" applyAlignment="1">
      <alignment/>
    </xf>
    <xf numFmtId="0" fontId="4" fillId="5" borderId="5" xfId="0" applyFont="1" applyFill="1" applyBorder="1" applyAlignment="1">
      <alignment/>
    </xf>
    <xf numFmtId="202" fontId="4" fillId="5" borderId="4" xfId="17" applyNumberFormat="1" applyFont="1" applyFill="1" applyBorder="1" applyAlignment="1">
      <alignment/>
    </xf>
    <xf numFmtId="202" fontId="4" fillId="5" borderId="6" xfId="17" applyNumberFormat="1" applyFont="1" applyFill="1" applyBorder="1" applyAlignment="1">
      <alignment/>
    </xf>
    <xf numFmtId="43" fontId="0" fillId="6" borderId="10" xfId="0" applyNumberFormat="1" applyFont="1" applyFill="1" applyBorder="1" applyAlignment="1">
      <alignment/>
    </xf>
    <xf numFmtId="0" fontId="6" fillId="6" borderId="4" xfId="0" applyFont="1" applyFill="1" applyBorder="1" applyAlignment="1">
      <alignment/>
    </xf>
    <xf numFmtId="0" fontId="6" fillId="6" borderId="13" xfId="0" applyFont="1" applyFill="1" applyBorder="1" applyAlignment="1">
      <alignment wrapText="1"/>
    </xf>
    <xf numFmtId="0" fontId="6" fillId="6" borderId="14" xfId="0" applyFont="1" applyFill="1" applyBorder="1" applyAlignment="1">
      <alignment wrapText="1"/>
    </xf>
    <xf numFmtId="0" fontId="6" fillId="6" borderId="14" xfId="0" applyFont="1" applyFill="1" applyBorder="1" applyAlignment="1">
      <alignment/>
    </xf>
    <xf numFmtId="0" fontId="6" fillId="6" borderId="15" xfId="0" applyFont="1" applyFill="1" applyBorder="1" applyAlignment="1">
      <alignment/>
    </xf>
    <xf numFmtId="0" fontId="6" fillId="6" borderId="7" xfId="0" applyFont="1" applyFill="1" applyBorder="1" applyAlignment="1">
      <alignment/>
    </xf>
    <xf numFmtId="0" fontId="0" fillId="6" borderId="1" xfId="0" applyFont="1" applyFill="1" applyBorder="1" applyAlignment="1">
      <alignment/>
    </xf>
    <xf numFmtId="0" fontId="0" fillId="6" borderId="8" xfId="0" applyFont="1" applyFill="1" applyBorder="1" applyAlignment="1">
      <alignment/>
    </xf>
    <xf numFmtId="0" fontId="0" fillId="6" borderId="0" xfId="0" applyFont="1" applyFill="1" applyBorder="1" applyAlignment="1">
      <alignment/>
    </xf>
    <xf numFmtId="0" fontId="0" fillId="6" borderId="3" xfId="0" applyFont="1" applyFill="1" applyBorder="1" applyAlignment="1">
      <alignment/>
    </xf>
    <xf numFmtId="0" fontId="0" fillId="6" borderId="5" xfId="0" applyFont="1" applyFill="1" applyBorder="1" applyAlignment="1">
      <alignment/>
    </xf>
    <xf numFmtId="0" fontId="0" fillId="6" borderId="6" xfId="0" applyFont="1" applyFill="1" applyBorder="1" applyAlignment="1">
      <alignment/>
    </xf>
    <xf numFmtId="0" fontId="15" fillId="2" borderId="0" xfId="0" applyFont="1" applyFill="1" applyAlignment="1">
      <alignment/>
    </xf>
    <xf numFmtId="0" fontId="0" fillId="2" borderId="0" xfId="0" applyFont="1" applyFill="1" applyAlignment="1">
      <alignment horizontal="left"/>
    </xf>
    <xf numFmtId="3" fontId="0" fillId="2" borderId="0" xfId="0" applyNumberFormat="1" applyFill="1" applyAlignment="1">
      <alignment/>
    </xf>
    <xf numFmtId="0" fontId="16" fillId="7" borderId="16" xfId="0" applyFont="1" applyFill="1" applyBorder="1" applyAlignment="1">
      <alignment horizontal="left" wrapText="1"/>
    </xf>
    <xf numFmtId="0" fontId="16" fillId="7" borderId="17" xfId="0" applyFont="1" applyFill="1" applyBorder="1" applyAlignment="1">
      <alignment horizontal="right" wrapText="1"/>
    </xf>
    <xf numFmtId="0" fontId="16" fillId="7" borderId="18" xfId="0" applyFont="1" applyFill="1" applyBorder="1" applyAlignment="1">
      <alignment horizontal="left" wrapText="1"/>
    </xf>
    <xf numFmtId="0" fontId="6" fillId="5" borderId="10" xfId="0" applyFont="1" applyFill="1" applyBorder="1" applyAlignment="1">
      <alignment horizontal="left"/>
    </xf>
    <xf numFmtId="3" fontId="0" fillId="5" borderId="11" xfId="0" applyNumberFormat="1" applyFont="1" applyFill="1" applyBorder="1" applyAlignment="1">
      <alignment horizontal="right"/>
    </xf>
    <xf numFmtId="0" fontId="6" fillId="5" borderId="15" xfId="0" applyFont="1" applyFill="1" applyBorder="1" applyAlignment="1">
      <alignment horizontal="left"/>
    </xf>
    <xf numFmtId="3" fontId="0" fillId="5" borderId="6" xfId="0" applyNumberFormat="1" applyFont="1" applyFill="1" applyBorder="1" applyAlignment="1">
      <alignment horizontal="right"/>
    </xf>
    <xf numFmtId="0" fontId="5" fillId="5" borderId="15" xfId="0" applyFont="1" applyFill="1" applyBorder="1" applyAlignment="1">
      <alignment horizontal="left"/>
    </xf>
    <xf numFmtId="3" fontId="4" fillId="5" borderId="6" xfId="0" applyNumberFormat="1" applyFont="1" applyFill="1" applyBorder="1" applyAlignment="1">
      <alignment horizontal="right"/>
    </xf>
    <xf numFmtId="0" fontId="6" fillId="5" borderId="19" xfId="0" applyFont="1" applyFill="1" applyBorder="1" applyAlignment="1">
      <alignment horizontal="left" wrapText="1"/>
    </xf>
    <xf numFmtId="3" fontId="0" fillId="5" borderId="10" xfId="0" applyNumberFormat="1" applyFont="1" applyFill="1" applyBorder="1" applyAlignment="1">
      <alignment horizontal="right" wrapText="1"/>
    </xf>
    <xf numFmtId="3" fontId="0" fillId="5" borderId="11" xfId="0" applyNumberFormat="1" applyFont="1" applyFill="1" applyBorder="1" applyAlignment="1">
      <alignment horizontal="right" wrapText="1"/>
    </xf>
    <xf numFmtId="3" fontId="0" fillId="5" borderId="15" xfId="0" applyNumberFormat="1" applyFont="1" applyFill="1" applyBorder="1" applyAlignment="1">
      <alignment horizontal="right" wrapText="1"/>
    </xf>
    <xf numFmtId="3" fontId="0" fillId="5" borderId="6" xfId="0" applyNumberFormat="1" applyFont="1" applyFill="1" applyBorder="1" applyAlignment="1">
      <alignment horizontal="right" wrapText="1"/>
    </xf>
    <xf numFmtId="0" fontId="6" fillId="5" borderId="20" xfId="0" applyFont="1" applyFill="1" applyBorder="1" applyAlignment="1">
      <alignment horizontal="left" wrapText="1"/>
    </xf>
    <xf numFmtId="0" fontId="5" fillId="5" borderId="10" xfId="0" applyFont="1" applyFill="1" applyBorder="1" applyAlignment="1">
      <alignment horizontal="left" wrapText="1"/>
    </xf>
    <xf numFmtId="3" fontId="4" fillId="5" borderId="6" xfId="0" applyNumberFormat="1" applyFont="1" applyFill="1" applyBorder="1" applyAlignment="1">
      <alignment horizontal="right" wrapText="1"/>
    </xf>
    <xf numFmtId="0" fontId="6" fillId="5" borderId="10" xfId="0" applyFont="1" applyFill="1" applyBorder="1" applyAlignment="1">
      <alignment horizontal="left" wrapText="1"/>
    </xf>
    <xf numFmtId="3" fontId="0" fillId="5" borderId="10" xfId="0" applyNumberFormat="1" applyFill="1" applyBorder="1" applyAlignment="1">
      <alignment/>
    </xf>
    <xf numFmtId="3" fontId="4" fillId="5" borderId="10" xfId="0" applyNumberFormat="1" applyFont="1" applyFill="1" applyBorder="1" applyAlignment="1">
      <alignment/>
    </xf>
    <xf numFmtId="0" fontId="0" fillId="2" borderId="0" xfId="0" applyFont="1" applyFill="1" applyBorder="1" applyAlignment="1">
      <alignment horizontal="right"/>
    </xf>
    <xf numFmtId="168" fontId="0" fillId="2" borderId="0" xfId="21" applyNumberFormat="1" applyFill="1" applyAlignment="1">
      <alignment/>
    </xf>
    <xf numFmtId="168" fontId="0" fillId="5" borderId="10" xfId="21" applyNumberFormat="1" applyFill="1" applyBorder="1" applyAlignment="1">
      <alignment/>
    </xf>
    <xf numFmtId="175" fontId="0" fillId="5" borderId="10" xfId="21" applyNumberFormat="1" applyFill="1" applyBorder="1" applyAlignment="1">
      <alignment/>
    </xf>
    <xf numFmtId="168" fontId="6" fillId="5" borderId="10" xfId="21" applyNumberFormat="1" applyFont="1" applyFill="1" applyBorder="1" applyAlignment="1">
      <alignment/>
    </xf>
    <xf numFmtId="0" fontId="5" fillId="5" borderId="10" xfId="0" applyFont="1" applyFill="1" applyBorder="1" applyAlignment="1">
      <alignment horizontal="left"/>
    </xf>
    <xf numFmtId="0" fontId="15" fillId="2" borderId="0" xfId="0" applyFont="1" applyFill="1" applyBorder="1" applyAlignment="1">
      <alignment horizontal="left"/>
    </xf>
    <xf numFmtId="168" fontId="0" fillId="5" borderId="10" xfId="0" applyNumberFormat="1" applyFill="1" applyBorder="1" applyAlignment="1">
      <alignment/>
    </xf>
    <xf numFmtId="168" fontId="6" fillId="5" borderId="10" xfId="21" applyNumberFormat="1" applyFont="1" applyFill="1" applyBorder="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0" fillId="0" borderId="0" xfId="0" applyFont="1" applyAlignment="1">
      <alignment/>
    </xf>
    <xf numFmtId="0" fontId="18" fillId="0" borderId="0" xfId="0" applyFont="1" applyAlignment="1">
      <alignment horizontal="right"/>
    </xf>
    <xf numFmtId="0" fontId="4"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14" fontId="0" fillId="0" borderId="26" xfId="0" applyNumberFormat="1"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4" xfId="0" applyFont="1" applyBorder="1" applyAlignment="1">
      <alignment vertical="center" wrapText="1"/>
    </xf>
    <xf numFmtId="0" fontId="0" fillId="0" borderId="29" xfId="0" applyFont="1" applyBorder="1" applyAlignment="1">
      <alignment horizontal="left" vertical="center" wrapText="1"/>
    </xf>
    <xf numFmtId="0" fontId="0" fillId="0" borderId="28" xfId="0" applyFont="1" applyBorder="1" applyAlignment="1">
      <alignment vertical="center" wrapText="1"/>
    </xf>
    <xf numFmtId="0" fontId="0" fillId="0" borderId="26" xfId="0" applyFont="1" applyBorder="1" applyAlignment="1">
      <alignment horizontal="left" vertical="center" wrapText="1"/>
    </xf>
    <xf numFmtId="0" fontId="0" fillId="0" borderId="30" xfId="0" applyFont="1" applyBorder="1" applyAlignment="1">
      <alignment horizontal="left" vertical="center" wrapText="1"/>
    </xf>
    <xf numFmtId="0" fontId="8" fillId="0" borderId="24" xfId="20" applyFont="1" applyBorder="1" applyAlignment="1">
      <alignment horizontal="left" vertical="top" wrapText="1"/>
    </xf>
    <xf numFmtId="0" fontId="0" fillId="0" borderId="24" xfId="0" applyFont="1" applyBorder="1" applyAlignment="1">
      <alignment horizontal="left" vertical="top" wrapText="1"/>
    </xf>
    <xf numFmtId="0" fontId="8" fillId="0" borderId="24" xfId="20" applyFont="1" applyBorder="1" applyAlignment="1">
      <alignment/>
    </xf>
    <xf numFmtId="0" fontId="0" fillId="0" borderId="24" xfId="0" applyFont="1" applyBorder="1" applyAlignment="1">
      <alignment wrapText="1"/>
    </xf>
    <xf numFmtId="0" fontId="0" fillId="0" borderId="24" xfId="20" applyFont="1" applyBorder="1" applyAlignment="1">
      <alignment/>
    </xf>
    <xf numFmtId="0" fontId="0" fillId="0" borderId="24" xfId="0" applyFont="1" applyBorder="1" applyAlignment="1">
      <alignment/>
    </xf>
    <xf numFmtId="0" fontId="0" fillId="0" borderId="22" xfId="0" applyFont="1" applyBorder="1" applyAlignment="1">
      <alignment/>
    </xf>
    <xf numFmtId="0" fontId="0"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0" fillId="0" borderId="0" xfId="0" applyFont="1" applyAlignment="1">
      <alignment horizontal="center" vertical="center"/>
    </xf>
    <xf numFmtId="0" fontId="21" fillId="0" borderId="0" xfId="0" applyFont="1" applyAlignment="1">
      <alignment horizontal="right" vertical="center"/>
    </xf>
    <xf numFmtId="0" fontId="10" fillId="0" borderId="0" xfId="0" applyFont="1" applyAlignment="1">
      <alignment vertical="center"/>
    </xf>
    <xf numFmtId="14" fontId="21" fillId="0" borderId="0" xfId="0" applyNumberFormat="1" applyFont="1" applyAlignment="1">
      <alignment horizontal="right" vertical="center"/>
    </xf>
    <xf numFmtId="0" fontId="0" fillId="0" borderId="0" xfId="0" applyFont="1" applyAlignment="1">
      <alignment vertical="center" wrapText="1"/>
    </xf>
    <xf numFmtId="0" fontId="14" fillId="0" borderId="31" xfId="0" applyFont="1" applyBorder="1" applyAlignment="1">
      <alignment horizontal="center" vertical="center"/>
    </xf>
    <xf numFmtId="0" fontId="0" fillId="0" borderId="31" xfId="0" applyFont="1" applyBorder="1" applyAlignment="1">
      <alignment horizontal="center" vertical="center" wrapText="1"/>
    </xf>
    <xf numFmtId="0" fontId="23" fillId="0" borderId="13" xfId="0" applyFont="1" applyBorder="1" applyAlignment="1">
      <alignment horizontal="center" vertical="center" wrapText="1"/>
    </xf>
    <xf numFmtId="0" fontId="0" fillId="0" borderId="2" xfId="0" applyFont="1" applyBorder="1" applyAlignment="1">
      <alignment vertical="center"/>
    </xf>
    <xf numFmtId="0" fontId="0" fillId="0" borderId="14" xfId="0" applyFont="1" applyBorder="1" applyAlignment="1">
      <alignment vertical="center" wrapText="1"/>
    </xf>
    <xf numFmtId="9" fontId="14" fillId="5" borderId="14" xfId="0" applyNumberFormat="1" applyFont="1" applyFill="1" applyBorder="1" applyAlignment="1">
      <alignment horizontal="center" vertical="center" wrapText="1"/>
    </xf>
    <xf numFmtId="9" fontId="0" fillId="0" borderId="14" xfId="0" applyNumberFormat="1" applyFont="1" applyBorder="1" applyAlignment="1">
      <alignment horizontal="center" vertical="center" wrapText="1"/>
    </xf>
    <xf numFmtId="0" fontId="0" fillId="0" borderId="3" xfId="0" applyFont="1" applyBorder="1" applyAlignment="1">
      <alignment horizontal="center" vertical="center" wrapText="1"/>
    </xf>
    <xf numFmtId="9" fontId="0" fillId="6" borderId="3" xfId="0" applyNumberFormat="1" applyFont="1" applyFill="1" applyBorder="1" applyAlignment="1">
      <alignment horizontal="center" vertical="center"/>
    </xf>
    <xf numFmtId="0" fontId="24" fillId="0" borderId="15" xfId="0" applyFont="1" applyFill="1" applyBorder="1" applyAlignment="1">
      <alignment horizontal="center" vertical="center" wrapText="1"/>
    </xf>
    <xf numFmtId="0" fontId="0" fillId="0" borderId="2" xfId="0" applyFont="1" applyFill="1" applyBorder="1" applyAlignment="1">
      <alignment vertical="center"/>
    </xf>
    <xf numFmtId="0" fontId="25" fillId="0" borderId="0" xfId="0" applyFont="1" applyAlignment="1">
      <alignment horizontal="center" vertical="center"/>
    </xf>
    <xf numFmtId="0" fontId="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Fill="1" applyBorder="1" applyAlignment="1">
      <alignment horizontal="center" vertical="center" wrapText="1"/>
    </xf>
    <xf numFmtId="0" fontId="0" fillId="0" borderId="1" xfId="0" applyFont="1" applyFill="1" applyBorder="1" applyAlignment="1">
      <alignment vertical="center"/>
    </xf>
    <xf numFmtId="0" fontId="0" fillId="0" borderId="7" xfId="0" applyFont="1" applyBorder="1" applyAlignment="1">
      <alignment vertical="center"/>
    </xf>
    <xf numFmtId="0" fontId="0" fillId="0" borderId="13" xfId="0" applyFont="1" applyFill="1" applyBorder="1" applyAlignment="1">
      <alignment vertical="center"/>
    </xf>
    <xf numFmtId="0" fontId="4" fillId="0" borderId="10" xfId="0" applyFont="1" applyBorder="1" applyAlignment="1">
      <alignment vertical="center"/>
    </xf>
    <xf numFmtId="0" fontId="0" fillId="0" borderId="14" xfId="0" applyFont="1" applyFill="1" applyBorder="1" applyAlignment="1">
      <alignment vertical="center"/>
    </xf>
    <xf numFmtId="168" fontId="0" fillId="6" borderId="14" xfId="15" applyNumberFormat="1" applyFont="1" applyFill="1" applyBorder="1" applyAlignment="1">
      <alignment horizontal="center" vertical="center"/>
    </xf>
    <xf numFmtId="0" fontId="7" fillId="0" borderId="14" xfId="20" applyFont="1" applyBorder="1" applyAlignment="1">
      <alignment vertical="center"/>
    </xf>
    <xf numFmtId="0" fontId="7" fillId="0" borderId="15" xfId="20" applyFont="1" applyBorder="1" applyAlignment="1">
      <alignment vertical="center"/>
    </xf>
    <xf numFmtId="0" fontId="0" fillId="0" borderId="2" xfId="0" applyBorder="1" applyAlignment="1">
      <alignment vertical="center"/>
    </xf>
    <xf numFmtId="0" fontId="7" fillId="0" borderId="0" xfId="20" applyFont="1" applyBorder="1" applyAlignment="1">
      <alignment vertical="center"/>
    </xf>
    <xf numFmtId="0" fontId="0" fillId="0" borderId="4" xfId="0" applyBorder="1" applyAlignment="1">
      <alignment vertical="center"/>
    </xf>
    <xf numFmtId="0" fontId="0" fillId="0" borderId="15" xfId="0" applyFont="1" applyFill="1" applyBorder="1" applyAlignment="1">
      <alignment vertical="center"/>
    </xf>
    <xf numFmtId="3" fontId="14" fillId="5" borderId="5"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3" fontId="0" fillId="6" borderId="15" xfId="15" applyNumberFormat="1" applyFont="1" applyFill="1" applyBorder="1" applyAlignment="1">
      <alignment horizontal="center" vertical="center"/>
    </xf>
    <xf numFmtId="0" fontId="0" fillId="0" borderId="0" xfId="0" applyAlignment="1">
      <alignment vertical="center"/>
    </xf>
    <xf numFmtId="0" fontId="0" fillId="0" borderId="0" xfId="0" applyFont="1" applyFill="1" applyBorder="1" applyAlignment="1">
      <alignment vertical="center"/>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right" vertical="center"/>
    </xf>
    <xf numFmtId="168" fontId="26" fillId="10" borderId="10" xfId="0" applyNumberFormat="1" applyFont="1" applyFill="1" applyBorder="1" applyAlignment="1">
      <alignment horizontal="center" vertical="center"/>
    </xf>
    <xf numFmtId="168" fontId="26" fillId="0" borderId="0" xfId="0" applyNumberFormat="1" applyFont="1" applyFill="1" applyBorder="1" applyAlignment="1">
      <alignment horizontal="center" vertical="center" wrapText="1"/>
    </xf>
    <xf numFmtId="168" fontId="26" fillId="0" borderId="0" xfId="0" applyNumberFormat="1" applyFont="1" applyFill="1" applyBorder="1" applyAlignment="1">
      <alignment horizontal="center" vertical="center"/>
    </xf>
    <xf numFmtId="1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68" fontId="4" fillId="0" borderId="10" xfId="0" applyNumberFormat="1" applyFont="1" applyBorder="1" applyAlignment="1">
      <alignment horizontal="center" vertical="center"/>
    </xf>
    <xf numFmtId="168" fontId="4" fillId="0" borderId="0" xfId="0" applyNumberFormat="1" applyFont="1" applyFill="1" applyBorder="1" applyAlignment="1">
      <alignment horizontal="center" vertical="center"/>
    </xf>
    <xf numFmtId="0" fontId="0" fillId="0" borderId="32" xfId="0" applyFont="1" applyBorder="1" applyAlignment="1">
      <alignment vertical="center" wrapText="1"/>
    </xf>
    <xf numFmtId="0" fontId="0" fillId="5" borderId="33" xfId="0" applyFont="1" applyFill="1" applyBorder="1" applyAlignment="1">
      <alignment/>
    </xf>
    <xf numFmtId="168" fontId="4" fillId="5" borderId="34" xfId="0" applyNumberFormat="1" applyFont="1" applyFill="1" applyBorder="1" applyAlignment="1">
      <alignment horizontal="center"/>
    </xf>
    <xf numFmtId="165" fontId="4" fillId="5" borderId="34" xfId="0" applyNumberFormat="1" applyFont="1" applyFill="1" applyBorder="1" applyAlignment="1">
      <alignment horizontal="center"/>
    </xf>
    <xf numFmtId="168" fontId="4" fillId="5" borderId="35" xfId="0" applyNumberFormat="1" applyFont="1" applyFill="1" applyBorder="1" applyAlignment="1">
      <alignment horizontal="center"/>
    </xf>
    <xf numFmtId="0" fontId="4" fillId="5" borderId="36" xfId="0" applyFont="1" applyFill="1" applyBorder="1" applyAlignment="1">
      <alignment horizontal="left"/>
    </xf>
    <xf numFmtId="0" fontId="4" fillId="5" borderId="37" xfId="0" applyFont="1" applyFill="1" applyBorder="1" applyAlignment="1">
      <alignment horizontal="left"/>
    </xf>
    <xf numFmtId="0" fontId="4" fillId="5" borderId="38" xfId="0" applyFont="1" applyFill="1" applyBorder="1" applyAlignment="1">
      <alignment horizontal="center"/>
    </xf>
    <xf numFmtId="0" fontId="12" fillId="4" borderId="39" xfId="0" applyFont="1" applyFill="1" applyBorder="1" applyAlignment="1">
      <alignment/>
    </xf>
    <xf numFmtId="0" fontId="0" fillId="4" borderId="40" xfId="0" applyFont="1" applyFill="1" applyBorder="1" applyAlignment="1">
      <alignment/>
    </xf>
    <xf numFmtId="0" fontId="4" fillId="4" borderId="41" xfId="0" applyFont="1" applyFill="1" applyBorder="1" applyAlignment="1">
      <alignment horizontal="right"/>
    </xf>
    <xf numFmtId="0" fontId="12" fillId="4" borderId="42" xfId="0" applyFont="1" applyFill="1" applyBorder="1" applyAlignment="1">
      <alignment/>
    </xf>
    <xf numFmtId="0" fontId="4" fillId="4" borderId="43" xfId="0" applyFont="1" applyFill="1" applyBorder="1" applyAlignment="1">
      <alignment/>
    </xf>
    <xf numFmtId="0" fontId="4" fillId="4" borderId="44" xfId="0" applyFont="1" applyFill="1" applyBorder="1" applyAlignment="1">
      <alignment/>
    </xf>
    <xf numFmtId="0" fontId="4" fillId="4" borderId="37" xfId="0" applyFont="1" applyFill="1" applyBorder="1" applyAlignment="1">
      <alignment horizontal="left"/>
    </xf>
    <xf numFmtId="0" fontId="4" fillId="4" borderId="38" xfId="0" applyFont="1" applyFill="1" applyBorder="1" applyAlignment="1">
      <alignment/>
    </xf>
    <xf numFmtId="0" fontId="4" fillId="4" borderId="45" xfId="0" applyFont="1" applyFill="1" applyBorder="1" applyAlignment="1">
      <alignment/>
    </xf>
    <xf numFmtId="3" fontId="0" fillId="3" borderId="0" xfId="0" applyNumberFormat="1" applyFont="1" applyFill="1" applyAlignment="1">
      <alignment/>
    </xf>
    <xf numFmtId="3" fontId="0" fillId="3" borderId="0" xfId="15" applyNumberFormat="1" applyFont="1" applyFill="1" applyAlignment="1">
      <alignment/>
    </xf>
    <xf numFmtId="1" fontId="0" fillId="3" borderId="0" xfId="0" applyNumberFormat="1" applyFont="1" applyFill="1" applyAlignment="1">
      <alignment/>
    </xf>
    <xf numFmtId="2" fontId="0" fillId="3" borderId="0" xfId="0" applyNumberFormat="1" applyFont="1" applyFill="1" applyAlignment="1">
      <alignment/>
    </xf>
    <xf numFmtId="0" fontId="0" fillId="3" borderId="0" xfId="0" applyFont="1" applyFill="1" applyBorder="1" applyAlignment="1">
      <alignment/>
    </xf>
    <xf numFmtId="0" fontId="28" fillId="3" borderId="0" xfId="0" applyFont="1" applyFill="1" applyBorder="1" applyAlignment="1">
      <alignment/>
    </xf>
    <xf numFmtId="0" fontId="6" fillId="3" borderId="0" xfId="0" applyFont="1" applyFill="1" applyBorder="1" applyAlignment="1">
      <alignment horizontal="left" indent="1"/>
    </xf>
    <xf numFmtId="175" fontId="0" fillId="3" borderId="0" xfId="15" applyNumberFormat="1" applyFont="1" applyFill="1" applyBorder="1" applyAlignment="1">
      <alignment/>
    </xf>
    <xf numFmtId="0" fontId="6" fillId="3" borderId="0" xfId="0" applyFont="1" applyFill="1" applyBorder="1" applyAlignment="1">
      <alignment horizontal="left" wrapText="1" indent="1"/>
    </xf>
    <xf numFmtId="3" fontId="0" fillId="3" borderId="0" xfId="15" applyNumberFormat="1" applyFont="1" applyFill="1" applyBorder="1" applyAlignment="1">
      <alignment/>
    </xf>
    <xf numFmtId="3" fontId="0" fillId="3" borderId="0" xfId="15" applyNumberFormat="1" applyFont="1" applyFill="1" applyBorder="1" applyAlignment="1">
      <alignment horizontal="right"/>
    </xf>
    <xf numFmtId="10" fontId="0" fillId="3" borderId="0" xfId="15" applyNumberFormat="1" applyFont="1" applyFill="1" applyBorder="1" applyAlignment="1">
      <alignment/>
    </xf>
    <xf numFmtId="10" fontId="0" fillId="3" borderId="0" xfId="21" applyNumberFormat="1" applyFont="1" applyFill="1" applyBorder="1" applyAlignment="1">
      <alignment/>
    </xf>
    <xf numFmtId="168" fontId="0" fillId="3" borderId="0" xfId="21" applyNumberFormat="1" applyFont="1" applyFill="1" applyBorder="1" applyAlignment="1">
      <alignment/>
    </xf>
    <xf numFmtId="168" fontId="0" fillId="3" borderId="0" xfId="15" applyNumberFormat="1" applyFont="1" applyFill="1" applyBorder="1" applyAlignment="1">
      <alignment/>
    </xf>
    <xf numFmtId="0" fontId="5" fillId="4" borderId="1" xfId="0" applyFont="1" applyFill="1" applyBorder="1" applyAlignment="1">
      <alignment/>
    </xf>
    <xf numFmtId="3" fontId="0" fillId="4" borderId="0" xfId="0" applyNumberFormat="1" applyFill="1" applyBorder="1" applyAlignment="1">
      <alignment/>
    </xf>
    <xf numFmtId="49" fontId="0" fillId="0" borderId="7" xfId="0" applyNumberFormat="1" applyFont="1" applyBorder="1" applyAlignment="1">
      <alignment horizontal="center" vertical="center"/>
    </xf>
    <xf numFmtId="49" fontId="0" fillId="0" borderId="2" xfId="0" applyNumberFormat="1" applyFont="1" applyBorder="1" applyAlignment="1">
      <alignment horizontal="center" vertical="center"/>
    </xf>
    <xf numFmtId="9" fontId="0" fillId="0" borderId="2" xfId="0" applyNumberFormat="1" applyFont="1" applyFill="1" applyBorder="1" applyAlignment="1">
      <alignment horizontal="center" vertical="center"/>
    </xf>
    <xf numFmtId="9" fontId="0" fillId="0" borderId="4" xfId="0" applyNumberFormat="1" applyFont="1" applyFill="1" applyBorder="1" applyAlignment="1">
      <alignment horizontal="center" vertical="center"/>
    </xf>
    <xf numFmtId="168" fontId="14" fillId="5" borderId="1" xfId="21" applyNumberFormat="1" applyFont="1" applyFill="1" applyBorder="1" applyAlignment="1">
      <alignment horizontal="center" vertical="center"/>
    </xf>
    <xf numFmtId="168" fontId="0" fillId="0" borderId="7" xfId="21" applyNumberFormat="1" applyFont="1" applyFill="1" applyBorder="1" applyAlignment="1">
      <alignment horizontal="center" vertical="center"/>
    </xf>
    <xf numFmtId="168" fontId="14" fillId="5" borderId="0" xfId="0" applyNumberFormat="1" applyFont="1" applyFill="1" applyBorder="1" applyAlignment="1">
      <alignment horizontal="center" vertical="center"/>
    </xf>
    <xf numFmtId="168" fontId="0" fillId="0" borderId="2" xfId="0" applyNumberFormat="1" applyFont="1" applyFill="1" applyBorder="1" applyAlignment="1">
      <alignment horizontal="center" vertical="center"/>
    </xf>
    <xf numFmtId="168" fontId="0" fillId="6" borderId="13" xfId="15" applyNumberFormat="1" applyFont="1" applyFill="1" applyBorder="1" applyAlignment="1">
      <alignment horizontal="center" vertical="center"/>
    </xf>
    <xf numFmtId="212" fontId="14" fillId="5" borderId="0" xfId="0" applyNumberFormat="1" applyFont="1" applyFill="1" applyBorder="1" applyAlignment="1">
      <alignment horizontal="center" vertical="center"/>
    </xf>
    <xf numFmtId="212" fontId="0" fillId="0" borderId="2" xfId="0" applyNumberFormat="1" applyFont="1" applyFill="1" applyBorder="1" applyAlignment="1">
      <alignment horizontal="center" vertical="center"/>
    </xf>
    <xf numFmtId="212" fontId="0" fillId="6" borderId="14" xfId="15" applyNumberFormat="1" applyFont="1" applyFill="1" applyBorder="1" applyAlignment="1">
      <alignment horizontal="center" vertical="center"/>
    </xf>
    <xf numFmtId="165" fontId="14" fillId="5" borderId="0" xfId="21" applyNumberFormat="1" applyFont="1" applyFill="1" applyBorder="1" applyAlignment="1">
      <alignment horizontal="center" vertical="center"/>
    </xf>
    <xf numFmtId="165" fontId="0" fillId="0" borderId="2" xfId="21" applyNumberFormat="1" applyFont="1" applyFill="1" applyBorder="1" applyAlignment="1">
      <alignment horizontal="center" vertical="center"/>
    </xf>
    <xf numFmtId="165" fontId="0" fillId="6" borderId="14" xfId="15" applyNumberFormat="1" applyFont="1" applyFill="1" applyBorder="1" applyAlignment="1">
      <alignment horizontal="center" vertical="center"/>
    </xf>
    <xf numFmtId="9" fontId="0" fillId="2" borderId="0" xfId="0" applyNumberFormat="1" applyFill="1" applyBorder="1" applyAlignment="1">
      <alignment/>
    </xf>
    <xf numFmtId="3" fontId="7" fillId="3" borderId="3" xfId="0" applyNumberFormat="1" applyFont="1" applyFill="1" applyBorder="1" applyAlignment="1">
      <alignment/>
    </xf>
    <xf numFmtId="0" fontId="0" fillId="5" borderId="2" xfId="0" applyFont="1" applyFill="1" applyBorder="1" applyAlignment="1">
      <alignment wrapText="1"/>
    </xf>
    <xf numFmtId="165" fontId="0" fillId="5" borderId="0" xfId="0" applyNumberFormat="1" applyFont="1" applyFill="1" applyBorder="1" applyAlignment="1">
      <alignment/>
    </xf>
    <xf numFmtId="165" fontId="0" fillId="5" borderId="3" xfId="0" applyNumberFormat="1" applyFont="1" applyFill="1" applyBorder="1" applyAlignment="1">
      <alignment/>
    </xf>
    <xf numFmtId="0" fontId="0" fillId="5" borderId="0" xfId="0" applyFont="1" applyFill="1" applyBorder="1" applyAlignment="1">
      <alignment/>
    </xf>
    <xf numFmtId="0" fontId="0" fillId="5" borderId="3" xfId="0" applyFont="1" applyFill="1" applyBorder="1" applyAlignment="1">
      <alignment/>
    </xf>
    <xf numFmtId="2" fontId="0" fillId="5" borderId="0" xfId="0" applyNumberFormat="1" applyFont="1" applyFill="1" applyBorder="1" applyAlignment="1">
      <alignment/>
    </xf>
    <xf numFmtId="2" fontId="0" fillId="5" borderId="3" xfId="0" applyNumberFormat="1" applyFont="1" applyFill="1" applyBorder="1" applyAlignment="1">
      <alignment/>
    </xf>
    <xf numFmtId="0" fontId="0" fillId="5" borderId="4" xfId="0" applyFont="1" applyFill="1" applyBorder="1" applyAlignment="1">
      <alignment wrapText="1"/>
    </xf>
    <xf numFmtId="9" fontId="0" fillId="5" borderId="5" xfId="21" applyFont="1" applyFill="1" applyBorder="1" applyAlignment="1">
      <alignment/>
    </xf>
    <xf numFmtId="9" fontId="0" fillId="5" borderId="6" xfId="21" applyFont="1" applyFill="1" applyBorder="1" applyAlignment="1">
      <alignment/>
    </xf>
    <xf numFmtId="0" fontId="0" fillId="3" borderId="2" xfId="0" applyFont="1" applyFill="1" applyBorder="1" applyAlignment="1">
      <alignment/>
    </xf>
    <xf numFmtId="168" fontId="0" fillId="3" borderId="0" xfId="21" applyNumberFormat="1" applyFont="1" applyFill="1" applyBorder="1" applyAlignment="1">
      <alignment/>
    </xf>
    <xf numFmtId="168" fontId="0" fillId="3" borderId="0" xfId="0" applyNumberFormat="1" applyFont="1" applyFill="1" applyBorder="1" applyAlignment="1">
      <alignment/>
    </xf>
    <xf numFmtId="168" fontId="0" fillId="3" borderId="3" xfId="21" applyNumberFormat="1" applyFont="1" applyFill="1" applyBorder="1" applyAlignment="1">
      <alignment/>
    </xf>
    <xf numFmtId="0" fontId="0" fillId="6" borderId="4" xfId="0" applyFont="1" applyFill="1" applyBorder="1" applyAlignment="1">
      <alignment/>
    </xf>
    <xf numFmtId="168" fontId="0" fillId="6" borderId="4" xfId="0" applyNumberFormat="1" applyFont="1" applyFill="1" applyBorder="1" applyAlignment="1">
      <alignment/>
    </xf>
    <xf numFmtId="168" fontId="0" fillId="6" borderId="5" xfId="0" applyNumberFormat="1" applyFont="1" applyFill="1" applyBorder="1" applyAlignment="1">
      <alignment/>
    </xf>
    <xf numFmtId="168" fontId="0" fillId="6" borderId="6" xfId="0" applyNumberFormat="1" applyFont="1" applyFill="1" applyBorder="1" applyAlignment="1">
      <alignment/>
    </xf>
    <xf numFmtId="0" fontId="0" fillId="2" borderId="0" xfId="0" applyFont="1" applyFill="1" applyAlignment="1">
      <alignment/>
    </xf>
    <xf numFmtId="0" fontId="4" fillId="7" borderId="7" xfId="0" applyFont="1" applyFill="1" applyBorder="1" applyAlignment="1">
      <alignment/>
    </xf>
    <xf numFmtId="0" fontId="0" fillId="7" borderId="1" xfId="0" applyFont="1" applyFill="1" applyBorder="1" applyAlignment="1">
      <alignment/>
    </xf>
    <xf numFmtId="0" fontId="0" fillId="7" borderId="8" xfId="0" applyFont="1" applyFill="1" applyBorder="1" applyAlignment="1">
      <alignment/>
    </xf>
    <xf numFmtId="0" fontId="0" fillId="2" borderId="0" xfId="0" applyFont="1" applyFill="1" applyAlignment="1">
      <alignment/>
    </xf>
    <xf numFmtId="0" fontId="0" fillId="7" borderId="2" xfId="0" applyFont="1" applyFill="1" applyBorder="1" applyAlignment="1">
      <alignment/>
    </xf>
    <xf numFmtId="0" fontId="0" fillId="7" borderId="0" xfId="0" applyFont="1" applyFill="1" applyBorder="1" applyAlignment="1">
      <alignment/>
    </xf>
    <xf numFmtId="0" fontId="0" fillId="7" borderId="3" xfId="0" applyFont="1" applyFill="1" applyBorder="1" applyAlignment="1">
      <alignment/>
    </xf>
    <xf numFmtId="3" fontId="0" fillId="7" borderId="0" xfId="0" applyNumberFormat="1" applyFont="1" applyFill="1" applyBorder="1" applyAlignment="1">
      <alignment/>
    </xf>
    <xf numFmtId="0" fontId="4" fillId="7" borderId="2" xfId="0" applyFont="1" applyFill="1" applyBorder="1" applyAlignment="1">
      <alignment/>
    </xf>
    <xf numFmtId="168" fontId="0" fillId="7" borderId="3" xfId="21" applyNumberFormat="1" applyFont="1" applyFill="1" applyBorder="1" applyAlignment="1">
      <alignment/>
    </xf>
    <xf numFmtId="0" fontId="0" fillId="7" borderId="4" xfId="0" applyFont="1" applyFill="1" applyBorder="1" applyAlignment="1">
      <alignment/>
    </xf>
    <xf numFmtId="3" fontId="0" fillId="7" borderId="5" xfId="0" applyNumberFormat="1" applyFont="1" applyFill="1" applyBorder="1" applyAlignment="1">
      <alignment/>
    </xf>
    <xf numFmtId="168" fontId="0" fillId="7" borderId="6" xfId="21" applyNumberFormat="1" applyFont="1" applyFill="1" applyBorder="1" applyAlignment="1">
      <alignment/>
    </xf>
    <xf numFmtId="0" fontId="0" fillId="9" borderId="7" xfId="0" applyFont="1" applyFill="1" applyBorder="1" applyAlignment="1">
      <alignment/>
    </xf>
    <xf numFmtId="0" fontId="0" fillId="9" borderId="1" xfId="0" applyFont="1" applyFill="1" applyBorder="1" applyAlignment="1">
      <alignment/>
    </xf>
    <xf numFmtId="0" fontId="0" fillId="9" borderId="8" xfId="0" applyFont="1" applyFill="1" applyBorder="1" applyAlignment="1">
      <alignment/>
    </xf>
    <xf numFmtId="0" fontId="0" fillId="9" borderId="2" xfId="0" applyFont="1" applyFill="1" applyBorder="1" applyAlignment="1">
      <alignment/>
    </xf>
    <xf numFmtId="0" fontId="0" fillId="9" borderId="0" xfId="0" applyFont="1" applyFill="1" applyBorder="1" applyAlignment="1">
      <alignment wrapText="1"/>
    </xf>
    <xf numFmtId="0" fontId="0" fillId="9" borderId="3" xfId="0" applyFont="1" applyFill="1" applyBorder="1" applyAlignment="1">
      <alignment wrapText="1"/>
    </xf>
    <xf numFmtId="0" fontId="0" fillId="9" borderId="0" xfId="0" applyFont="1" applyFill="1" applyBorder="1" applyAlignment="1">
      <alignment/>
    </xf>
    <xf numFmtId="0" fontId="0" fillId="9" borderId="3" xfId="0" applyFont="1" applyFill="1" applyBorder="1" applyAlignment="1">
      <alignment/>
    </xf>
    <xf numFmtId="0" fontId="0" fillId="9" borderId="4" xfId="0" applyFont="1" applyFill="1" applyBorder="1" applyAlignment="1">
      <alignment/>
    </xf>
    <xf numFmtId="0" fontId="0" fillId="9" borderId="5" xfId="0" applyFont="1" applyFill="1" applyBorder="1" applyAlignment="1">
      <alignment/>
    </xf>
    <xf numFmtId="3" fontId="0" fillId="9" borderId="5" xfId="0" applyNumberFormat="1" applyFont="1" applyFill="1" applyBorder="1" applyAlignment="1">
      <alignment/>
    </xf>
    <xf numFmtId="3" fontId="0" fillId="9" borderId="6" xfId="0" applyNumberFormat="1" applyFont="1" applyFill="1" applyBorder="1" applyAlignment="1">
      <alignment/>
    </xf>
    <xf numFmtId="0" fontId="0" fillId="3" borderId="4" xfId="0" applyFont="1" applyFill="1" applyBorder="1" applyAlignment="1">
      <alignment/>
    </xf>
    <xf numFmtId="37" fontId="0" fillId="3" borderId="5" xfId="15" applyNumberFormat="1" applyFont="1" applyFill="1" applyBorder="1" applyAlignment="1">
      <alignment/>
    </xf>
    <xf numFmtId="0" fontId="0" fillId="3" borderId="5" xfId="0" applyFont="1" applyFill="1" applyBorder="1" applyAlignment="1">
      <alignment/>
    </xf>
    <xf numFmtId="37" fontId="0" fillId="3" borderId="6" xfId="15" applyNumberFormat="1" applyFont="1" applyFill="1" applyBorder="1" applyAlignment="1">
      <alignment/>
    </xf>
    <xf numFmtId="0" fontId="8" fillId="0" borderId="24" xfId="20" applyBorder="1" applyAlignment="1">
      <alignment/>
    </xf>
    <xf numFmtId="0" fontId="0" fillId="0" borderId="46" xfId="0" applyFont="1" applyBorder="1" applyAlignment="1">
      <alignment/>
    </xf>
    <xf numFmtId="0" fontId="0" fillId="0" borderId="0" xfId="0" applyFont="1" applyBorder="1" applyAlignment="1">
      <alignment vertical="center" wrapText="1"/>
    </xf>
    <xf numFmtId="0" fontId="18" fillId="0" borderId="0" xfId="0" applyFont="1" applyAlignment="1">
      <alignment horizontal="right" vertical="center" wrapText="1"/>
    </xf>
    <xf numFmtId="0" fontId="0" fillId="0" borderId="0" xfId="0" applyAlignment="1">
      <alignment vertical="center" wrapText="1"/>
    </xf>
    <xf numFmtId="0" fontId="19" fillId="0" borderId="0" xfId="0" applyFont="1" applyAlignment="1">
      <alignment vertical="center" wrapText="1"/>
    </xf>
    <xf numFmtId="0" fontId="10" fillId="0" borderId="0" xfId="0" applyFont="1" applyAlignment="1">
      <alignment vertical="center" wrapText="1"/>
    </xf>
    <xf numFmtId="0" fontId="4" fillId="0" borderId="0" xfId="0" applyFont="1" applyAlignment="1">
      <alignment vertical="center" wrapText="1"/>
    </xf>
    <xf numFmtId="0" fontId="8" fillId="0" borderId="47" xfId="20" applyBorder="1" applyAlignment="1">
      <alignment/>
    </xf>
    <xf numFmtId="0" fontId="8" fillId="0" borderId="24" xfId="20" applyBorder="1" applyAlignment="1">
      <alignment wrapText="1"/>
    </xf>
    <xf numFmtId="0" fontId="5" fillId="5" borderId="8" xfId="0" applyFont="1" applyFill="1" applyBorder="1" applyAlignment="1">
      <alignment horizontal="center"/>
    </xf>
    <xf numFmtId="0" fontId="5" fillId="5" borderId="3" xfId="0" applyFont="1" applyFill="1" applyBorder="1" applyAlignment="1">
      <alignment horizontal="center"/>
    </xf>
    <xf numFmtId="3" fontId="0" fillId="5" borderId="3" xfId="0" applyNumberFormat="1" applyFont="1" applyFill="1" applyBorder="1" applyAlignment="1">
      <alignment/>
    </xf>
    <xf numFmtId="0" fontId="7" fillId="5" borderId="6" xfId="0" applyFont="1" applyFill="1" applyBorder="1" applyAlignment="1">
      <alignment/>
    </xf>
    <xf numFmtId="0" fontId="6" fillId="3" borderId="0" xfId="0" applyFont="1" applyFill="1" applyBorder="1" applyAlignment="1">
      <alignment vertical="center"/>
    </xf>
    <xf numFmtId="0" fontId="19" fillId="0" borderId="0" xfId="0" applyFont="1" applyAlignment="1">
      <alignment horizontal="center" vertical="center"/>
    </xf>
    <xf numFmtId="0" fontId="0" fillId="0" borderId="48" xfId="0" applyFont="1" applyBorder="1" applyAlignment="1">
      <alignment horizontal="left" vertical="center" wrapText="1"/>
    </xf>
    <xf numFmtId="0" fontId="0" fillId="0" borderId="46" xfId="0" applyFont="1" applyBorder="1" applyAlignment="1">
      <alignment horizontal="left" vertical="center" wrapText="1"/>
    </xf>
    <xf numFmtId="0" fontId="0" fillId="0" borderId="23" xfId="0" applyFont="1" applyFill="1" applyBorder="1" applyAlignment="1">
      <alignment horizontal="left" vertical="top" wrapText="1"/>
    </xf>
    <xf numFmtId="0" fontId="0" fillId="0" borderId="49" xfId="0" applyFont="1" applyFill="1" applyBorder="1" applyAlignment="1">
      <alignment horizontal="left" vertical="top"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22" fillId="0" borderId="13" xfId="0" applyFont="1" applyBorder="1" applyAlignment="1">
      <alignment horizontal="left" vertical="center"/>
    </xf>
    <xf numFmtId="0" fontId="22" fillId="0" borderId="50" xfId="0" applyFont="1" applyBorder="1" applyAlignment="1">
      <alignment horizontal="left" vertical="center"/>
    </xf>
    <xf numFmtId="0" fontId="22" fillId="0" borderId="51" xfId="0" applyFont="1" applyBorder="1" applyAlignment="1">
      <alignment horizontal="left" vertical="center"/>
    </xf>
    <xf numFmtId="0" fontId="22" fillId="0" borderId="12" xfId="0" applyFont="1" applyBorder="1" applyAlignment="1">
      <alignment horizontal="center" vertical="center"/>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12" fillId="5" borderId="42" xfId="0" applyFont="1" applyFill="1" applyBorder="1" applyAlignment="1">
      <alignment horizontal="left"/>
    </xf>
    <xf numFmtId="0" fontId="12" fillId="5" borderId="43" xfId="0" applyFont="1" applyFill="1" applyBorder="1" applyAlignment="1">
      <alignment horizontal="left"/>
    </xf>
    <xf numFmtId="0" fontId="4" fillId="5" borderId="36" xfId="0" applyFont="1" applyFill="1" applyBorder="1" applyAlignment="1">
      <alignment horizontal="left"/>
    </xf>
    <xf numFmtId="0" fontId="4" fillId="5" borderId="0" xfId="0" applyFont="1" applyFill="1" applyBorder="1" applyAlignment="1">
      <alignment horizontal="left"/>
    </xf>
    <xf numFmtId="0" fontId="4" fillId="4" borderId="1" xfId="0" applyFont="1" applyFill="1" applyBorder="1" applyAlignment="1">
      <alignment horizontal="left"/>
    </xf>
    <xf numFmtId="0" fontId="4" fillId="2" borderId="0" xfId="0" applyFont="1" applyFill="1" applyAlignment="1">
      <alignment horizontal="left"/>
    </xf>
    <xf numFmtId="0" fontId="4" fillId="9" borderId="10" xfId="0" applyFont="1" applyFill="1" applyBorder="1" applyAlignment="1">
      <alignment horizontal="center"/>
    </xf>
    <xf numFmtId="0" fontId="4" fillId="5" borderId="10" xfId="0" applyFont="1" applyFill="1" applyBorder="1" applyAlignment="1">
      <alignment horizontal="center"/>
    </xf>
    <xf numFmtId="0" fontId="4" fillId="4" borderId="10" xfId="0" applyFont="1" applyFill="1" applyBorder="1" applyAlignment="1">
      <alignment horizontal="center"/>
    </xf>
    <xf numFmtId="0" fontId="6" fillId="2" borderId="0" xfId="0" applyFont="1" applyFill="1" applyAlignment="1">
      <alignment horizontal="left" wrapText="1"/>
    </xf>
    <xf numFmtId="0" fontId="4" fillId="3" borderId="7" xfId="0" applyFont="1" applyFill="1" applyBorder="1" applyAlignment="1">
      <alignment horizontal="center"/>
    </xf>
    <xf numFmtId="0" fontId="4" fillId="3" borderId="8" xfId="0" applyFont="1" applyFill="1" applyBorder="1" applyAlignment="1">
      <alignment horizontal="center"/>
    </xf>
    <xf numFmtId="0" fontId="6" fillId="3" borderId="1" xfId="0" applyFont="1" applyFill="1" applyBorder="1" applyAlignment="1">
      <alignment horizontal="center" wrapText="1"/>
    </xf>
    <xf numFmtId="0" fontId="6" fillId="3" borderId="5" xfId="0" applyFont="1" applyFill="1" applyBorder="1" applyAlignment="1">
      <alignment horizontal="center" wrapText="1"/>
    </xf>
    <xf numFmtId="0" fontId="15" fillId="2" borderId="0" xfId="0" applyFont="1" applyFill="1" applyBorder="1" applyAlignment="1">
      <alignment horizontal="left" wrapText="1"/>
    </xf>
    <xf numFmtId="0" fontId="6" fillId="5" borderId="12" xfId="0" applyFont="1" applyFill="1" applyBorder="1" applyAlignment="1">
      <alignment horizontal="left"/>
    </xf>
    <xf numFmtId="0" fontId="6" fillId="5" borderId="11" xfId="0" applyFont="1" applyFill="1" applyBorder="1" applyAlignment="1">
      <alignment horizontal="left"/>
    </xf>
    <xf numFmtId="0" fontId="0" fillId="5" borderId="12" xfId="0" applyFill="1" applyBorder="1" applyAlignment="1">
      <alignment horizontal="center"/>
    </xf>
    <xf numFmtId="0" fontId="0" fillId="5" borderId="9" xfId="0" applyFill="1" applyBorder="1" applyAlignment="1">
      <alignment horizontal="center"/>
    </xf>
    <xf numFmtId="0" fontId="0" fillId="5" borderId="11" xfId="0" applyFill="1" applyBorder="1" applyAlignment="1">
      <alignment horizontal="center"/>
    </xf>
    <xf numFmtId="0" fontId="0" fillId="9" borderId="1" xfId="0" applyFont="1" applyFill="1" applyBorder="1" applyAlignment="1">
      <alignment horizontal="left" wrapText="1"/>
    </xf>
    <xf numFmtId="0" fontId="0" fillId="9"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Undiscounted annual net benefits of Mafia Island Airport Activity</a:t>
            </a:r>
          </a:p>
        </c:rich>
      </c:tx>
      <c:layout/>
      <c:spPr>
        <a:noFill/>
        <a:ln>
          <a:noFill/>
        </a:ln>
      </c:spPr>
    </c:title>
    <c:plotArea>
      <c:layout/>
      <c:areaChart>
        <c:grouping val="standard"/>
        <c:varyColors val="0"/>
        <c:ser>
          <c:idx val="0"/>
          <c:order val="0"/>
          <c:tx>
            <c:v>Net benefits</c:v>
          </c:tx>
          <c:spPr>
            <a:solidFill>
              <a:srgbClr val="0066CC"/>
            </a:solidFill>
          </c:spPr>
          <c:extLst>
            <c:ext xmlns:c14="http://schemas.microsoft.com/office/drawing/2007/8/2/chart" uri="{6F2FDCE9-48DA-4B69-8628-5D25D57E5C99}">
              <c14:invertSolidFillFmt>
                <c14:spPr>
                  <a:solidFill>
                    <a:srgbClr val="FFFFFF"/>
                  </a:solidFill>
                </c14:spPr>
              </c14:invertSolidFillFmt>
            </c:ext>
          </c:extLst>
          <c:cat>
            <c:numRef>
              <c:f>'Mafia Airport'!$F$27:$Y$27</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'Mafia Airport'!$F$166:$Y$166</c:f>
              <c:numCache>
                <c:ptCount val="20"/>
                <c:pt idx="0">
                  <c:v>-1320000</c:v>
                </c:pt>
                <c:pt idx="1">
                  <c:v>-3250000</c:v>
                </c:pt>
                <c:pt idx="2">
                  <c:v>-2050000</c:v>
                </c:pt>
                <c:pt idx="3">
                  <c:v>243951.07668207906</c:v>
                </c:pt>
                <c:pt idx="4">
                  <c:v>519441.24769088055</c:v>
                </c:pt>
                <c:pt idx="5">
                  <c:v>714312.0260007185</c:v>
                </c:pt>
                <c:pt idx="6">
                  <c:v>841480.8675644606</c:v>
                </c:pt>
                <c:pt idx="7">
                  <c:v>1032966.4989765934</c:v>
                </c:pt>
                <c:pt idx="8">
                  <c:v>1252323.3158121288</c:v>
                </c:pt>
                <c:pt idx="9">
                  <c:v>1503079.5928905942</c:v>
                </c:pt>
                <c:pt idx="10">
                  <c:v>1789179.9204323024</c:v>
                </c:pt>
                <c:pt idx="11">
                  <c:v>2115032.3243922256</c:v>
                </c:pt>
                <c:pt idx="12">
                  <c:v>2485560.5782704293</c:v>
                </c:pt>
                <c:pt idx="13">
                  <c:v>2906262.2679007724</c:v>
                </c:pt>
                <c:pt idx="14">
                  <c:v>3383273.2306567645</c:v>
                </c:pt>
                <c:pt idx="15">
                  <c:v>3923439.0567872426</c:v>
                </c:pt>
                <c:pt idx="16">
                  <c:v>4534394.413870077</c:v>
                </c:pt>
                <c:pt idx="17">
                  <c:v>5224651.036383889</c:v>
                </c:pt>
                <c:pt idx="18">
                  <c:v>6003695.311957051</c:v>
                </c:pt>
                <c:pt idx="19">
                  <c:v>6882096.494855812</c:v>
                </c:pt>
              </c:numCache>
            </c:numRef>
          </c:val>
        </c:ser>
        <c:axId val="18872104"/>
        <c:axId val="35631209"/>
      </c:areaChart>
      <c:catAx>
        <c:axId val="18872104"/>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5631209"/>
        <c:crosses val="autoZero"/>
        <c:auto val="1"/>
        <c:lblOffset val="100"/>
        <c:noMultiLvlLbl val="0"/>
      </c:catAx>
      <c:valAx>
        <c:axId val="35631209"/>
        <c:scaling>
          <c:orientation val="minMax"/>
        </c:scaling>
        <c:axPos val="l"/>
        <c:title>
          <c:tx>
            <c:rich>
              <a:bodyPr vert="horz" rot="-5400000" anchor="ctr"/>
              <a:lstStyle/>
              <a:p>
                <a:pPr algn="ctr">
                  <a:defRPr/>
                </a:pPr>
                <a:r>
                  <a:rPr lang="en-US" cap="none" sz="1075"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crossAx val="18872104"/>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23</xdr:row>
      <xdr:rowOff>19050</xdr:rowOff>
    </xdr:from>
    <xdr:to>
      <xdr:col>1</xdr:col>
      <xdr:colOff>2171700</xdr:colOff>
      <xdr:row>24</xdr:row>
      <xdr:rowOff>9525</xdr:rowOff>
    </xdr:to>
    <xdr:pic>
      <xdr:nvPicPr>
        <xdr:cNvPr id="1" name="Picture 1"/>
        <xdr:cNvPicPr preferRelativeResize="1">
          <a:picLocks noChangeAspect="1"/>
        </xdr:cNvPicPr>
      </xdr:nvPicPr>
      <xdr:blipFill>
        <a:blip r:embed="rId1"/>
        <a:stretch>
          <a:fillRect/>
        </a:stretch>
      </xdr:blipFill>
      <xdr:spPr>
        <a:xfrm>
          <a:off x="390525" y="6600825"/>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1</xdr:row>
      <xdr:rowOff>142875</xdr:rowOff>
    </xdr:from>
    <xdr:to>
      <xdr:col>7</xdr:col>
      <xdr:colOff>0</xdr:colOff>
      <xdr:row>1</xdr:row>
      <xdr:rowOff>295275</xdr:rowOff>
    </xdr:to>
    <xdr:pic>
      <xdr:nvPicPr>
        <xdr:cNvPr id="1" name="Picture 2"/>
        <xdr:cNvPicPr preferRelativeResize="1">
          <a:picLocks noChangeAspect="1"/>
        </xdr:cNvPicPr>
      </xdr:nvPicPr>
      <xdr:blipFill>
        <a:blip r:embed="rId1"/>
        <a:stretch>
          <a:fillRect/>
        </a:stretch>
      </xdr:blipFill>
      <xdr:spPr>
        <a:xfrm>
          <a:off x="7372350" y="304800"/>
          <a:ext cx="2162175" cy="152400"/>
        </a:xfrm>
        <a:prstGeom prst="rect">
          <a:avLst/>
        </a:prstGeom>
        <a:noFill/>
        <a:ln w="9525" cmpd="sng">
          <a:noFill/>
        </a:ln>
      </xdr:spPr>
    </xdr:pic>
    <xdr:clientData/>
  </xdr:twoCellAnchor>
  <xdr:twoCellAnchor editAs="oneCell">
    <xdr:from>
      <xdr:col>2</xdr:col>
      <xdr:colOff>219075</xdr:colOff>
      <xdr:row>52</xdr:row>
      <xdr:rowOff>152400</xdr:rowOff>
    </xdr:from>
    <xdr:to>
      <xdr:col>6</xdr:col>
      <xdr:colOff>0</xdr:colOff>
      <xdr:row>73</xdr:row>
      <xdr:rowOff>28575</xdr:rowOff>
    </xdr:to>
    <xdr:pic>
      <xdr:nvPicPr>
        <xdr:cNvPr id="2" name="Picture 4"/>
        <xdr:cNvPicPr preferRelativeResize="1">
          <a:picLocks noChangeAspect="1"/>
        </xdr:cNvPicPr>
      </xdr:nvPicPr>
      <xdr:blipFill>
        <a:blip r:embed="rId2"/>
        <a:stretch>
          <a:fillRect/>
        </a:stretch>
      </xdr:blipFill>
      <xdr:spPr>
        <a:xfrm>
          <a:off x="1857375" y="11458575"/>
          <a:ext cx="6629400" cy="3276600"/>
        </a:xfrm>
        <a:prstGeom prst="rect">
          <a:avLst/>
        </a:prstGeom>
        <a:noFill/>
        <a:ln w="1" cmpd="sng">
          <a:noFill/>
        </a:ln>
      </xdr:spPr>
    </xdr:pic>
    <xdr:clientData/>
  </xdr:twoCellAnchor>
  <xdr:twoCellAnchor>
    <xdr:from>
      <xdr:col>1</xdr:col>
      <xdr:colOff>533400</xdr:colOff>
      <xdr:row>24</xdr:row>
      <xdr:rowOff>104775</xdr:rowOff>
    </xdr:from>
    <xdr:to>
      <xdr:col>6</xdr:col>
      <xdr:colOff>590550</xdr:colOff>
      <xdr:row>49</xdr:row>
      <xdr:rowOff>133350</xdr:rowOff>
    </xdr:to>
    <xdr:graphicFrame>
      <xdr:nvGraphicFramePr>
        <xdr:cNvPr id="3" name="Chart 5"/>
        <xdr:cNvGraphicFramePr/>
      </xdr:nvGraphicFramePr>
      <xdr:xfrm>
        <a:off x="914400" y="6877050"/>
        <a:ext cx="8162925" cy="40767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enyishaya\My%20Documents\MCC\Background%20Presentation%20-%207.12.08\Tanzania\Tanzania%20Water%20&amp;%20Sanitation%20-%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nzania\Economic%20Analysis\Roads\Roads-Transport%20ERR%20Tanga_Horohoro%20ED%20AR%20BND%20final%20report%20cos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enyishaya\My%20Documents\MCC\Background%20Presentation%20-%207.12.08\Tanzania\Tanzania%20Energy%20Zanziba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PROJECTS\232626%20Tanzania%20DD%20MCC%20(GBDPI1DC01)\economic%20analysis\MCC%20TZ%20T&amp;D%20Projects%20econ%20model%20V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Tanzania\Roads-Transport%20ERR%20Templat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Tanzania\Roads-Transport%20ERR%20Template%20II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Summary"/>
      <sheetName val="Assumptions"/>
      <sheetName val="Morogoro"/>
      <sheetName val="Dar NRW"/>
      <sheetName val="Dar Ruvu"/>
      <sheetName val="Annex II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Key Assumptions"/>
      <sheetName val="TH Sum"/>
      <sheetName val="TH1"/>
      <sheetName val="TH2"/>
      <sheetName val="TH4"/>
      <sheetName val="TanIRI"/>
    </sheetNames>
    <sheetDataSet>
      <sheetData sheetId="1">
        <row r="41">
          <cell r="H41">
            <v>0.04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Results"/>
      <sheetName val="Assumptions"/>
      <sheetName val="ERR Calculations"/>
      <sheetName val="Planting"/>
      <sheetName val="Annex III"/>
      <sheetName val="LRMC"/>
      <sheetName val="gas option"/>
      <sheetName val="Social and Environmental"/>
      <sheetName val="Alt economic analysis"/>
    </sheetNames>
    <sheetDataSet>
      <sheetData sheetId="4">
        <row r="7">
          <cell r="W7" t="str">
            <v>Type</v>
          </cell>
          <cell r="X7" t="str">
            <v>cable1</v>
          </cell>
          <cell r="Y7" t="str">
            <v>cable2</v>
          </cell>
          <cell r="Z7" t="str">
            <v>cable3</v>
          </cell>
          <cell r="AA7" t="str">
            <v>wind</v>
          </cell>
          <cell r="AB7" t="str">
            <v>diesel</v>
          </cell>
        </row>
        <row r="8">
          <cell r="M8">
            <v>1</v>
          </cell>
          <cell r="N8">
            <v>0</v>
          </cell>
          <cell r="O8">
            <v>0</v>
          </cell>
          <cell r="W8" t="str">
            <v>Capex $/kW</v>
          </cell>
          <cell r="X8">
            <v>500</v>
          </cell>
          <cell r="Y8">
            <v>0</v>
          </cell>
          <cell r="Z8">
            <v>483</v>
          </cell>
          <cell r="AA8">
            <v>2700</v>
          </cell>
          <cell r="AB8">
            <v>1500</v>
          </cell>
        </row>
        <row r="9">
          <cell r="L9">
            <v>2007</v>
          </cell>
          <cell r="M9">
            <v>10</v>
          </cell>
          <cell r="N9">
            <v>5</v>
          </cell>
          <cell r="O9">
            <v>5</v>
          </cell>
          <cell r="P9">
            <v>10</v>
          </cell>
          <cell r="W9" t="str">
            <v>Opex $/kW/p.a.</v>
          </cell>
          <cell r="X9">
            <v>39</v>
          </cell>
          <cell r="Y9">
            <v>39</v>
          </cell>
          <cell r="Z9">
            <v>39</v>
          </cell>
          <cell r="AA9">
            <v>35</v>
          </cell>
          <cell r="AB9">
            <v>70</v>
          </cell>
        </row>
        <row r="10">
          <cell r="L10">
            <v>2008</v>
          </cell>
          <cell r="M10">
            <v>10</v>
          </cell>
          <cell r="N10">
            <v>5</v>
          </cell>
          <cell r="O10">
            <v>50</v>
          </cell>
          <cell r="P10">
            <v>10</v>
          </cell>
          <cell r="W10" t="str">
            <v>Opex $/kWh</v>
          </cell>
          <cell r="X10">
            <v>0</v>
          </cell>
          <cell r="Y10">
            <v>0</v>
          </cell>
          <cell r="Z10">
            <v>0</v>
          </cell>
          <cell r="AA10">
            <v>0</v>
          </cell>
          <cell r="AB10">
            <v>0.006</v>
          </cell>
        </row>
        <row r="11">
          <cell r="L11">
            <v>2009</v>
          </cell>
          <cell r="M11">
            <v>10</v>
          </cell>
          <cell r="N11">
            <v>20</v>
          </cell>
          <cell r="O11">
            <v>80</v>
          </cell>
          <cell r="P11">
            <v>10</v>
          </cell>
          <cell r="W11" t="str">
            <v>fuel $/kWh</v>
          </cell>
          <cell r="X11">
            <v>0.03</v>
          </cell>
          <cell r="Y11">
            <v>0.03</v>
          </cell>
          <cell r="Z11">
            <v>0.04</v>
          </cell>
          <cell r="AA11">
            <v>0</v>
          </cell>
          <cell r="AB11">
            <v>0.09932250000000001</v>
          </cell>
        </row>
        <row r="12">
          <cell r="G12">
            <v>0.56</v>
          </cell>
          <cell r="H12">
            <v>0.58</v>
          </cell>
          <cell r="I12">
            <v>0.6</v>
          </cell>
          <cell r="L12">
            <v>2010</v>
          </cell>
          <cell r="M12">
            <v>10</v>
          </cell>
          <cell r="N12">
            <v>30</v>
          </cell>
          <cell r="O12">
            <v>20</v>
          </cell>
          <cell r="P12">
            <v>10</v>
          </cell>
          <cell r="W12" t="str">
            <v>Life</v>
          </cell>
          <cell r="X12">
            <v>34</v>
          </cell>
          <cell r="Y12">
            <v>6</v>
          </cell>
          <cell r="Z12">
            <v>40</v>
          </cell>
          <cell r="AA12">
            <v>20</v>
          </cell>
          <cell r="AB12">
            <v>20</v>
          </cell>
        </row>
        <row r="13">
          <cell r="H13">
            <v>0.98</v>
          </cell>
          <cell r="L13">
            <v>2011</v>
          </cell>
          <cell r="M13">
            <v>2</v>
          </cell>
          <cell r="N13">
            <v>30</v>
          </cell>
          <cell r="O13">
            <v>0</v>
          </cell>
          <cell r="P13">
            <v>2</v>
          </cell>
          <cell r="W13" t="str">
            <v>Load factor</v>
          </cell>
          <cell r="X13">
            <v>0.56</v>
          </cell>
          <cell r="Y13">
            <v>0.8</v>
          </cell>
          <cell r="Z13">
            <v>0.61</v>
          </cell>
          <cell r="AA13">
            <v>0.34</v>
          </cell>
          <cell r="AB13">
            <v>0</v>
          </cell>
        </row>
        <row r="14">
          <cell r="H14">
            <v>1300</v>
          </cell>
          <cell r="L14">
            <v>2012</v>
          </cell>
          <cell r="M14">
            <v>2</v>
          </cell>
          <cell r="N14">
            <v>0</v>
          </cell>
          <cell r="O14">
            <v>0</v>
          </cell>
          <cell r="P14">
            <v>2</v>
          </cell>
        </row>
        <row r="15">
          <cell r="L15">
            <v>2013</v>
          </cell>
          <cell r="M15">
            <v>2</v>
          </cell>
          <cell r="N15">
            <v>0</v>
          </cell>
          <cell r="O15">
            <v>0</v>
          </cell>
          <cell r="P15">
            <v>2</v>
          </cell>
        </row>
        <row r="16">
          <cell r="L16">
            <v>2014</v>
          </cell>
          <cell r="M16">
            <v>2</v>
          </cell>
          <cell r="N16">
            <v>0</v>
          </cell>
          <cell r="O16">
            <v>0</v>
          </cell>
          <cell r="P16">
            <v>2</v>
          </cell>
        </row>
        <row r="17">
          <cell r="L17">
            <v>2015</v>
          </cell>
          <cell r="M17">
            <v>2</v>
          </cell>
          <cell r="N17">
            <v>0</v>
          </cell>
          <cell r="O17">
            <v>0</v>
          </cell>
          <cell r="P17">
            <v>2</v>
          </cell>
        </row>
        <row r="18">
          <cell r="L18">
            <v>2016</v>
          </cell>
          <cell r="M18">
            <v>2</v>
          </cell>
          <cell r="N18">
            <v>0</v>
          </cell>
          <cell r="O18">
            <v>0</v>
          </cell>
          <cell r="P18">
            <v>2</v>
          </cell>
        </row>
        <row r="19">
          <cell r="L19">
            <v>2017</v>
          </cell>
          <cell r="M19">
            <v>2</v>
          </cell>
          <cell r="N19">
            <v>0</v>
          </cell>
          <cell r="O19">
            <v>0</v>
          </cell>
          <cell r="P19">
            <v>2</v>
          </cell>
        </row>
        <row r="20">
          <cell r="L20">
            <v>2018</v>
          </cell>
          <cell r="M20">
            <v>2</v>
          </cell>
          <cell r="N20">
            <v>0</v>
          </cell>
          <cell r="O20">
            <v>0</v>
          </cell>
          <cell r="P20">
            <v>2</v>
          </cell>
        </row>
        <row r="21">
          <cell r="L21">
            <v>2019</v>
          </cell>
          <cell r="M21">
            <v>2</v>
          </cell>
          <cell r="N21">
            <v>0</v>
          </cell>
          <cell r="O21">
            <v>0</v>
          </cell>
          <cell r="P21">
            <v>2</v>
          </cell>
        </row>
        <row r="22">
          <cell r="L22">
            <v>2020</v>
          </cell>
          <cell r="M22">
            <v>2</v>
          </cell>
          <cell r="N22">
            <v>0</v>
          </cell>
          <cell r="O22">
            <v>0</v>
          </cell>
          <cell r="P22">
            <v>2</v>
          </cell>
        </row>
        <row r="23">
          <cell r="L23">
            <v>2021</v>
          </cell>
          <cell r="M23">
            <v>2</v>
          </cell>
          <cell r="N23">
            <v>0</v>
          </cell>
          <cell r="O23">
            <v>0</v>
          </cell>
          <cell r="P23">
            <v>2</v>
          </cell>
        </row>
        <row r="24">
          <cell r="L24">
            <v>2022</v>
          </cell>
          <cell r="M24">
            <v>2</v>
          </cell>
          <cell r="N24">
            <v>0</v>
          </cell>
          <cell r="O24">
            <v>0</v>
          </cell>
          <cell r="P24">
            <v>2</v>
          </cell>
        </row>
        <row r="25">
          <cell r="L25">
            <v>2023</v>
          </cell>
          <cell r="M25">
            <v>2</v>
          </cell>
          <cell r="N25">
            <v>0</v>
          </cell>
          <cell r="O25">
            <v>0</v>
          </cell>
          <cell r="P25">
            <v>2</v>
          </cell>
        </row>
        <row r="26">
          <cell r="L26">
            <v>2024</v>
          </cell>
          <cell r="M26">
            <v>2</v>
          </cell>
          <cell r="N26">
            <v>0</v>
          </cell>
          <cell r="O26">
            <v>0</v>
          </cell>
          <cell r="P26">
            <v>2</v>
          </cell>
        </row>
        <row r="27">
          <cell r="L27">
            <v>2025</v>
          </cell>
          <cell r="M27">
            <v>2</v>
          </cell>
          <cell r="N27">
            <v>0</v>
          </cell>
          <cell r="O27">
            <v>0</v>
          </cell>
          <cell r="P27">
            <v>2</v>
          </cell>
        </row>
        <row r="28">
          <cell r="L28">
            <v>2026</v>
          </cell>
          <cell r="M28">
            <v>2</v>
          </cell>
          <cell r="N28">
            <v>0</v>
          </cell>
          <cell r="O28">
            <v>0</v>
          </cell>
          <cell r="P28">
            <v>2</v>
          </cell>
        </row>
        <row r="29">
          <cell r="H29">
            <v>40</v>
          </cell>
          <cell r="L29">
            <v>2027</v>
          </cell>
          <cell r="M29">
            <v>2</v>
          </cell>
          <cell r="N29">
            <v>0</v>
          </cell>
          <cell r="O29">
            <v>0</v>
          </cell>
          <cell r="P29">
            <v>2</v>
          </cell>
        </row>
        <row r="30">
          <cell r="H30">
            <v>0.5</v>
          </cell>
          <cell r="L30">
            <v>2028</v>
          </cell>
          <cell r="M30">
            <v>2</v>
          </cell>
          <cell r="N30">
            <v>0</v>
          </cell>
          <cell r="O30">
            <v>0</v>
          </cell>
          <cell r="P30">
            <v>2</v>
          </cell>
        </row>
        <row r="31">
          <cell r="H31">
            <v>195</v>
          </cell>
          <cell r="L31">
            <v>2029</v>
          </cell>
          <cell r="M31">
            <v>2</v>
          </cell>
          <cell r="N31">
            <v>0</v>
          </cell>
          <cell r="O31">
            <v>0</v>
          </cell>
          <cell r="P31">
            <v>2</v>
          </cell>
        </row>
        <row r="32">
          <cell r="L32">
            <v>2030</v>
          </cell>
          <cell r="M32">
            <v>2</v>
          </cell>
          <cell r="N32">
            <v>0</v>
          </cell>
          <cell r="O32">
            <v>0</v>
          </cell>
          <cell r="P32">
            <v>2</v>
          </cell>
        </row>
        <row r="33">
          <cell r="L33">
            <v>2031</v>
          </cell>
          <cell r="M33">
            <v>2</v>
          </cell>
          <cell r="N33">
            <v>0</v>
          </cell>
          <cell r="O33">
            <v>0</v>
          </cell>
          <cell r="P33">
            <v>2</v>
          </cell>
        </row>
        <row r="34">
          <cell r="L34">
            <v>2032</v>
          </cell>
          <cell r="M34">
            <v>2</v>
          </cell>
          <cell r="N34">
            <v>0</v>
          </cell>
          <cell r="O34">
            <v>0</v>
          </cell>
          <cell r="P34">
            <v>2</v>
          </cell>
        </row>
        <row r="35">
          <cell r="H35">
            <v>0.02</v>
          </cell>
          <cell r="L35">
            <v>2033</v>
          </cell>
          <cell r="M35">
            <v>2</v>
          </cell>
          <cell r="N35">
            <v>0</v>
          </cell>
          <cell r="O35">
            <v>0</v>
          </cell>
          <cell r="P35">
            <v>2</v>
          </cell>
        </row>
        <row r="36">
          <cell r="H36">
            <v>2011</v>
          </cell>
        </row>
        <row r="47">
          <cell r="H47">
            <v>0</v>
          </cell>
        </row>
        <row r="49">
          <cell r="H49">
            <v>0</v>
          </cell>
        </row>
      </sheetData>
      <sheetData sheetId="6">
        <row r="4">
          <cell r="F4" t="str">
            <v>1980cable1</v>
          </cell>
          <cell r="G4" t="str">
            <v>2014cable2</v>
          </cell>
          <cell r="H4" t="str">
            <v>2020cable3</v>
          </cell>
          <cell r="I4" t="str">
            <v>2009diesel</v>
          </cell>
          <cell r="J4" t="str">
            <v>2011diesel</v>
          </cell>
          <cell r="K4" t="str">
            <v>2016diesel</v>
          </cell>
          <cell r="L4" t="str">
            <v>2028diesel</v>
          </cell>
          <cell r="M4" t="str">
            <v>2029diesel</v>
          </cell>
          <cell r="N4" t="str">
            <v>2031diesel</v>
          </cell>
          <cell r="O4" t="str">
            <v>2029diesel</v>
          </cell>
          <cell r="P4" t="str">
            <v>2031diesel</v>
          </cell>
          <cell r="Q4" t="str">
            <v>2010wind</v>
          </cell>
          <cell r="R4" t="str">
            <v>2030wind</v>
          </cell>
        </row>
        <row r="5">
          <cell r="Q5">
            <v>15</v>
          </cell>
          <cell r="R5">
            <v>30</v>
          </cell>
        </row>
        <row r="6">
          <cell r="F6">
            <v>45</v>
          </cell>
          <cell r="G6">
            <v>45</v>
          </cell>
          <cell r="H6">
            <v>100</v>
          </cell>
          <cell r="I6">
            <v>14</v>
          </cell>
          <cell r="J6">
            <v>28</v>
          </cell>
          <cell r="K6">
            <v>28</v>
          </cell>
          <cell r="L6">
            <v>28</v>
          </cell>
          <cell r="M6">
            <v>14</v>
          </cell>
          <cell r="N6">
            <v>56</v>
          </cell>
          <cell r="O6">
            <v>0</v>
          </cell>
          <cell r="P6">
            <v>0</v>
          </cell>
          <cell r="Q6">
            <v>0</v>
          </cell>
          <cell r="R6">
            <v>0</v>
          </cell>
        </row>
        <row r="7">
          <cell r="F7">
            <v>1980</v>
          </cell>
          <cell r="G7">
            <v>2014</v>
          </cell>
          <cell r="H7">
            <v>2020</v>
          </cell>
          <cell r="I7">
            <v>2009</v>
          </cell>
          <cell r="J7">
            <v>2011</v>
          </cell>
          <cell r="K7">
            <v>2016</v>
          </cell>
          <cell r="L7">
            <v>2028</v>
          </cell>
          <cell r="M7">
            <v>2029</v>
          </cell>
          <cell r="N7">
            <v>2031</v>
          </cell>
          <cell r="O7">
            <v>2029</v>
          </cell>
          <cell r="P7">
            <v>2031</v>
          </cell>
          <cell r="Q7">
            <v>2010</v>
          </cell>
          <cell r="R7">
            <v>2030</v>
          </cell>
        </row>
        <row r="8">
          <cell r="F8" t="str">
            <v>cable1</v>
          </cell>
          <cell r="G8" t="str">
            <v>cable2</v>
          </cell>
          <cell r="H8" t="str">
            <v>cable3</v>
          </cell>
          <cell r="I8" t="str">
            <v>diesel</v>
          </cell>
          <cell r="J8" t="str">
            <v>diesel</v>
          </cell>
          <cell r="K8" t="str">
            <v>diesel</v>
          </cell>
          <cell r="L8" t="str">
            <v>diesel</v>
          </cell>
          <cell r="M8" t="str">
            <v>diesel</v>
          </cell>
          <cell r="N8" t="str">
            <v>diesel</v>
          </cell>
          <cell r="O8" t="str">
            <v>diesel</v>
          </cell>
          <cell r="P8" t="str">
            <v>diesel</v>
          </cell>
          <cell r="Q8" t="str">
            <v>wind</v>
          </cell>
          <cell r="R8" t="str">
            <v>wind</v>
          </cell>
        </row>
        <row r="9">
          <cell r="F9">
            <v>22.5</v>
          </cell>
          <cell r="G9">
            <v>0</v>
          </cell>
          <cell r="H9">
            <v>48.3</v>
          </cell>
          <cell r="I9">
            <v>21</v>
          </cell>
          <cell r="J9">
            <v>42</v>
          </cell>
          <cell r="K9">
            <v>42</v>
          </cell>
          <cell r="L9">
            <v>42</v>
          </cell>
          <cell r="M9">
            <v>21</v>
          </cell>
          <cell r="N9">
            <v>84</v>
          </cell>
          <cell r="O9">
            <v>0</v>
          </cell>
          <cell r="P9">
            <v>0</v>
          </cell>
          <cell r="Q9">
            <v>0</v>
          </cell>
          <cell r="R9">
            <v>0</v>
          </cell>
        </row>
        <row r="10">
          <cell r="F10">
            <v>34</v>
          </cell>
          <cell r="G10">
            <v>6</v>
          </cell>
          <cell r="H10">
            <v>40</v>
          </cell>
          <cell r="I10">
            <v>20</v>
          </cell>
          <cell r="J10">
            <v>20</v>
          </cell>
          <cell r="K10">
            <v>20</v>
          </cell>
          <cell r="L10">
            <v>20</v>
          </cell>
          <cell r="M10">
            <v>20</v>
          </cell>
          <cell r="N10">
            <v>20</v>
          </cell>
          <cell r="O10">
            <v>20</v>
          </cell>
          <cell r="P10">
            <v>20</v>
          </cell>
          <cell r="Q10">
            <v>20</v>
          </cell>
          <cell r="R10">
            <v>20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le"/>
      <sheetName val="Results"/>
      <sheetName val="Inputs"/>
      <sheetName val="Tariffs"/>
      <sheetName val="WTP"/>
      <sheetName val="Quality improvement"/>
      <sheetName val="LRMC"/>
      <sheetName val="Social &amp; environmental"/>
      <sheetName val="ERR calcs"/>
      <sheetName val="notes"/>
    </sheetNames>
    <sheetDataSet>
      <sheetData sheetId="2">
        <row r="13">
          <cell r="C13">
            <v>0.12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1">
        <row r="9">
          <cell r="G9">
            <v>0.6831000000000002</v>
          </cell>
        </row>
        <row r="24">
          <cell r="G24">
            <v>365</v>
          </cell>
        </row>
        <row r="37">
          <cell r="G37">
            <v>0.5</v>
          </cell>
        </row>
        <row r="38">
          <cell r="G38">
            <v>0.0319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3">
        <row r="6">
          <cell r="A6" t="str">
            <v>AMAMA1</v>
          </cell>
          <cell r="B6" t="str">
            <v>Lits Lits - Norsup Road Sealing</v>
          </cell>
          <cell r="D6" t="str">
            <v>Malekula</v>
          </cell>
          <cell r="E6" t="str">
            <v>Malampa</v>
          </cell>
          <cell r="F6">
            <v>189.6048</v>
          </cell>
          <cell r="G6">
            <v>1.7556</v>
          </cell>
          <cell r="H6">
            <v>2.0555555555555527</v>
          </cell>
          <cell r="I6">
            <v>0.01903292181069956</v>
          </cell>
          <cell r="J6">
            <v>0.22462370197905585</v>
          </cell>
          <cell r="K6">
            <v>159.72431508259623</v>
          </cell>
          <cell r="L6">
            <v>2.0643322529748724</v>
          </cell>
          <cell r="M6">
            <v>0.18788677288242828</v>
          </cell>
          <cell r="N6">
            <v>0.1802928108096226</v>
          </cell>
          <cell r="O6">
            <v>0.271765946426847</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0.6025925925925926</v>
          </cell>
          <cell r="H7">
            <v>0</v>
          </cell>
          <cell r="I7">
            <v>0</v>
          </cell>
          <cell r="J7">
            <v>0.11364998061127222</v>
          </cell>
          <cell r="K7">
            <v>4.866971313671759</v>
          </cell>
          <cell r="L7">
            <v>1.0914032036645314</v>
          </cell>
          <cell r="M7">
            <v>0.08619992942037667</v>
          </cell>
          <cell r="N7">
            <v>0.08054563187386796</v>
          </cell>
          <cell r="O7">
            <v>0.1491719125848013</v>
          </cell>
          <cell r="P7">
            <v>0.04585583610297489</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0.03425925925925925</v>
          </cell>
          <cell r="J8">
            <v>0.15606943163381698</v>
          </cell>
          <cell r="K8">
            <v>79.08347162476201</v>
          </cell>
          <cell r="L8">
            <v>1.346935096185802</v>
          </cell>
          <cell r="M8">
            <v>0.12016075318448843</v>
          </cell>
          <cell r="N8">
            <v>0.11283654648106228</v>
          </cell>
          <cell r="O8">
            <v>0.016089379885231746</v>
          </cell>
          <cell r="P8">
            <v>0.06713663336847975</v>
          </cell>
          <cell r="Q8">
            <v>1</v>
          </cell>
          <cell r="R8">
            <v>1</v>
          </cell>
          <cell r="S8">
            <v>2007</v>
          </cell>
        </row>
        <row r="9">
          <cell r="A9" t="str">
            <v>ASASA1</v>
          </cell>
          <cell r="B9" t="str">
            <v>Port Olry Road Upgrading</v>
          </cell>
          <cell r="D9" t="str">
            <v>Santo</v>
          </cell>
          <cell r="E9" t="str">
            <v>Sanma</v>
          </cell>
          <cell r="F9">
            <v>1863.9288000000001</v>
          </cell>
          <cell r="G9">
            <v>17.2586</v>
          </cell>
          <cell r="H9">
            <v>40.94444444444445</v>
          </cell>
          <cell r="I9">
            <v>0.3791152263374486</v>
          </cell>
          <cell r="J9">
            <v>0.3378643130738296</v>
          </cell>
          <cell r="K9">
            <v>4425.839036860351</v>
          </cell>
          <cell r="L9">
            <v>3.661679665848366</v>
          </cell>
          <cell r="M9">
            <v>0.29106356187309074</v>
          </cell>
          <cell r="N9">
            <v>0.28150155877118105</v>
          </cell>
          <cell r="O9">
            <v>0.39892725896301917</v>
          </cell>
          <cell r="P9">
            <v>0.2037081426600791</v>
          </cell>
          <cell r="Q9">
            <v>1</v>
          </cell>
          <cell r="R9">
            <v>1</v>
          </cell>
          <cell r="S9">
            <v>2007</v>
          </cell>
        </row>
        <row r="10">
          <cell r="A10" t="str">
            <v>ASASA2</v>
          </cell>
          <cell r="B10" t="str">
            <v>South Coast Bridges and Culverts</v>
          </cell>
          <cell r="D10" t="str">
            <v>Santo</v>
          </cell>
          <cell r="E10" t="str">
            <v>Sanma</v>
          </cell>
          <cell r="F10">
            <v>202.82399999999998</v>
          </cell>
          <cell r="G10">
            <v>1.878</v>
          </cell>
          <cell r="H10">
            <v>0</v>
          </cell>
          <cell r="I10">
            <v>0</v>
          </cell>
          <cell r="J10">
            <v>0.24276840985467887</v>
          </cell>
          <cell r="K10">
            <v>174.0999826086306</v>
          </cell>
          <cell r="L10">
            <v>2.049130613895647</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v>
          </cell>
          <cell r="G11">
            <v>23.339000000000002</v>
          </cell>
          <cell r="H11">
            <v>52.5</v>
          </cell>
          <cell r="I11">
            <v>0.4861111111111111</v>
          </cell>
          <cell r="J11">
            <v>0.20550479502577151</v>
          </cell>
          <cell r="K11">
            <v>1885.729162103877</v>
          </cell>
          <cell r="L11">
            <v>1.8423788997682973</v>
          </cell>
          <cell r="M11">
            <v>0.16988037798308492</v>
          </cell>
          <cell r="N11">
            <v>0.16249056620484598</v>
          </cell>
          <cell r="O11">
            <v>0.2509892022389731</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v>
          </cell>
          <cell r="K12">
            <v>204.41274323363672</v>
          </cell>
          <cell r="L12">
            <v>1.619941829781381</v>
          </cell>
          <cell r="M12">
            <v>0.14456524340112237</v>
          </cell>
          <cell r="N12">
            <v>0.13797068071259416</v>
          </cell>
          <cell r="O12">
            <v>0.2177927682566017</v>
          </cell>
          <cell r="P12">
            <v>0.0939303405692848</v>
          </cell>
          <cell r="Q12">
            <v>1</v>
          </cell>
          <cell r="R12">
            <v>1</v>
          </cell>
          <cell r="S12">
            <v>2007</v>
          </cell>
        </row>
        <row r="13">
          <cell r="A13" t="str">
            <v>BPEAM1</v>
          </cell>
          <cell r="B13" t="str">
            <v>Ambae Creek Crossings Reinstatement</v>
          </cell>
          <cell r="D13" t="str">
            <v>Ambae</v>
          </cell>
          <cell r="E13" t="str">
            <v>Penama</v>
          </cell>
          <cell r="F13">
            <v>132.472</v>
          </cell>
          <cell r="G13">
            <v>1.2265925925925927</v>
          </cell>
          <cell r="H13">
            <v>0</v>
          </cell>
          <cell r="I13">
            <v>0</v>
          </cell>
          <cell r="J13">
            <v>0.12314963811312898</v>
          </cell>
          <cell r="K13">
            <v>16.066209299402473</v>
          </cell>
          <cell r="L13">
            <v>1.1482311585286173</v>
          </cell>
          <cell r="M13">
            <v>0.09315129877661123</v>
          </cell>
          <cell r="N13">
            <v>0.08701571493564024</v>
          </cell>
          <cell r="O13">
            <v>0.1624878441863667</v>
          </cell>
          <cell r="P13">
            <v>0.05031998681090321</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v>
          </cell>
          <cell r="L14">
            <v>1.005836224196495</v>
          </cell>
          <cell r="M14">
            <v>0.07414162579499352</v>
          </cell>
          <cell r="N14">
            <v>0.06861975740754238</v>
          </cell>
          <cell r="O14">
            <v>0.13547536346423877</v>
          </cell>
          <cell r="P14">
            <v>0.035685163178576916</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0.037037037037037035</v>
          </cell>
          <cell r="J15">
            <v>0.168387486955777</v>
          </cell>
          <cell r="K15">
            <v>45.99216170650264</v>
          </cell>
          <cell r="L15">
            <v>1.3776013836392784</v>
          </cell>
          <cell r="M15">
            <v>0.12734818413458404</v>
          </cell>
          <cell r="N15">
            <v>0.11897501062329664</v>
          </cell>
          <cell r="O15">
            <v>0.22286032753779406</v>
          </cell>
          <cell r="P15">
            <v>0.06655361522113327</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v>
          </cell>
          <cell r="M16">
            <v>0.1151492708742208</v>
          </cell>
          <cell r="N16">
            <v>0.10604506949655668</v>
          </cell>
          <cell r="O16">
            <v>0.22244484054528116</v>
          </cell>
          <cell r="P16">
            <v>0.05661199067741331</v>
          </cell>
          <cell r="Q16">
            <v>1</v>
          </cell>
          <cell r="R16">
            <v>1</v>
          </cell>
          <cell r="S16">
            <v>2007</v>
          </cell>
        </row>
      </sheetData>
      <sheetData sheetId="4">
        <row r="3">
          <cell r="A3" t="str">
            <v>AMAMA1</v>
          </cell>
          <cell r="B3" t="str">
            <v>Malampa</v>
          </cell>
          <cell r="C3" t="str">
            <v>Malekula</v>
          </cell>
          <cell r="D3" t="str">
            <v>Lits Lits - Norsup Road Sealing</v>
          </cell>
          <cell r="E3">
            <v>3127.71</v>
          </cell>
          <cell r="F3">
            <v>168</v>
          </cell>
          <cell r="R3">
            <v>189.6048</v>
          </cell>
          <cell r="S3">
            <v>2.3</v>
          </cell>
          <cell r="T3">
            <v>8.8</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25.2125</v>
          </cell>
          <cell r="P6">
            <v>290.487</v>
          </cell>
          <cell r="R6">
            <v>163.944</v>
          </cell>
          <cell r="S6">
            <v>1.5</v>
          </cell>
          <cell r="T6">
            <v>0</v>
          </cell>
        </row>
        <row r="8">
          <cell r="A8" t="str">
            <v>ASASA1</v>
          </cell>
          <cell r="B8" t="str">
            <v>Sanma</v>
          </cell>
          <cell r="C8" t="str">
            <v>Santo</v>
          </cell>
          <cell r="D8" t="str">
            <v>Port Olry Road Upgrading</v>
          </cell>
          <cell r="E8">
            <v>7403.759999999999</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v>
          </cell>
          <cell r="T9">
            <v>17.6</v>
          </cell>
        </row>
        <row r="10">
          <cell r="A10" t="str">
            <v>ASHEF1</v>
          </cell>
          <cell r="B10" t="str">
            <v>Shefa</v>
          </cell>
          <cell r="C10" t="str">
            <v>Efate</v>
          </cell>
          <cell r="D10" t="str">
            <v>Round-Island Road Upgrading</v>
          </cell>
          <cell r="E10">
            <v>13914.819999999998</v>
          </cell>
          <cell r="F10">
            <v>60</v>
          </cell>
          <cell r="R10">
            <v>2520.612</v>
          </cell>
          <cell r="S10">
            <v>22.5</v>
          </cell>
          <cell r="T10">
            <v>40</v>
          </cell>
          <cell r="U10">
            <v>7</v>
          </cell>
        </row>
        <row r="11">
          <cell r="A11" t="str">
            <v>ATATA1</v>
          </cell>
          <cell r="B11" t="str">
            <v>Tafea</v>
          </cell>
          <cell r="C11" t="str">
            <v>Tanna</v>
          </cell>
          <cell r="D11" t="str">
            <v>Whitesands Road Upgrading</v>
          </cell>
          <cell r="E11">
            <v>5675.910000000001</v>
          </cell>
          <cell r="F11">
            <v>100</v>
          </cell>
          <cell r="R11">
            <v>403.002</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2.925</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54513.51000000001</v>
          </cell>
          <cell r="I39">
            <v>1500</v>
          </cell>
          <cell r="J39">
            <v>16</v>
          </cell>
          <cell r="K39">
            <v>1</v>
          </cell>
          <cell r="L39">
            <v>1250</v>
          </cell>
          <cell r="M39">
            <v>420</v>
          </cell>
          <cell r="N39">
            <v>3187</v>
          </cell>
          <cell r="O39">
            <v>28.1375</v>
          </cell>
          <cell r="P39">
            <v>439.987</v>
          </cell>
          <cell r="Q39">
            <v>104</v>
          </cell>
          <cell r="R39">
            <v>7075.961600000001</v>
          </cell>
          <cell r="S39">
            <v>87.8</v>
          </cell>
          <cell r="T39">
            <v>117.6</v>
          </cell>
        </row>
        <row r="40">
          <cell r="R40" t="str">
            <v>= US$ 65.5 M</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tro"/>
      <sheetName val="Key Assumptions"/>
      <sheetName val="TS1"/>
      <sheetName val="TH Sum"/>
      <sheetName val="TH1"/>
      <sheetName val="TH2"/>
      <sheetName val="TH3"/>
      <sheetName val="TH4"/>
      <sheetName val="TH5"/>
      <sheetName val="TH6"/>
      <sheetName val="TH7"/>
      <sheetName val="SOMSum"/>
      <sheetName val="SOM1"/>
      <sheetName val="SOM2"/>
      <sheetName val="TanIRI"/>
    </sheetNames>
    <sheetDataSet>
      <sheetData sheetId="1">
        <row r="42">
          <cell r="H42">
            <v>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59"/>
  <sheetViews>
    <sheetView showGridLines="0" workbookViewId="0" topLeftCell="A1">
      <selection activeCell="B12" sqref="B12"/>
    </sheetView>
  </sheetViews>
  <sheetFormatPr defaultColWidth="9.140625" defaultRowHeight="12.75"/>
  <cols>
    <col min="1" max="1" width="39.57421875" style="294" customWidth="1"/>
    <col min="2" max="2" width="106.421875" style="294" customWidth="1"/>
    <col min="3" max="16384" width="9.140625" style="294" customWidth="1"/>
  </cols>
  <sheetData>
    <row r="1" ht="12.75">
      <c r="B1" s="295" t="s">
        <v>413</v>
      </c>
    </row>
    <row r="2" ht="20.25" customHeight="1">
      <c r="B2" s="480" t="s">
        <v>367</v>
      </c>
    </row>
    <row r="3" ht="12.75">
      <c r="B3" s="480"/>
    </row>
    <row r="4" ht="12.75">
      <c r="B4" s="480"/>
    </row>
    <row r="5" ht="12.75">
      <c r="B5" s="480"/>
    </row>
    <row r="6" ht="12.75">
      <c r="B6" s="480"/>
    </row>
    <row r="7" ht="13.5" thickBot="1"/>
    <row r="8" spans="1:2" ht="18" customHeight="1" thickTop="1">
      <c r="A8" s="481" t="s">
        <v>329</v>
      </c>
      <c r="B8" s="296" t="s">
        <v>368</v>
      </c>
    </row>
    <row r="9" spans="1:2" ht="18" customHeight="1" thickBot="1">
      <c r="A9" s="482"/>
      <c r="B9" s="297" t="s">
        <v>369</v>
      </c>
    </row>
    <row r="10" spans="1:2" ht="18" customHeight="1" thickTop="1">
      <c r="A10" s="298" t="s">
        <v>330</v>
      </c>
      <c r="B10" s="299" t="s">
        <v>331</v>
      </c>
    </row>
    <row r="11" spans="1:2" ht="18" customHeight="1">
      <c r="A11" s="300" t="s">
        <v>332</v>
      </c>
      <c r="B11" s="301">
        <v>39318</v>
      </c>
    </row>
    <row r="12" spans="1:2" ht="18" customHeight="1">
      <c r="A12" s="302" t="s">
        <v>333</v>
      </c>
      <c r="B12" s="303" t="s">
        <v>402</v>
      </c>
    </row>
    <row r="13" spans="1:2" ht="48" customHeight="1">
      <c r="A13" s="298" t="s">
        <v>334</v>
      </c>
      <c r="B13" s="304" t="s">
        <v>370</v>
      </c>
    </row>
    <row r="14" spans="1:2" ht="18" customHeight="1">
      <c r="A14" s="305" t="s">
        <v>335</v>
      </c>
      <c r="B14" s="366" t="s">
        <v>371</v>
      </c>
    </row>
    <row r="15" spans="1:2" ht="25.5">
      <c r="A15" s="300" t="s">
        <v>336</v>
      </c>
      <c r="B15" s="306" t="s">
        <v>337</v>
      </c>
    </row>
    <row r="16" spans="1:2" ht="18" customHeight="1">
      <c r="A16" s="300" t="s">
        <v>338</v>
      </c>
      <c r="B16" s="307" t="s">
        <v>372</v>
      </c>
    </row>
    <row r="17" spans="1:2" ht="5.25" customHeight="1">
      <c r="A17" s="308"/>
      <c r="B17" s="299"/>
    </row>
    <row r="18" spans="1:2" ht="12.75">
      <c r="A18" s="483" t="s">
        <v>339</v>
      </c>
      <c r="B18" s="309" t="s">
        <v>340</v>
      </c>
    </row>
    <row r="19" spans="1:2" ht="25.5">
      <c r="A19" s="483"/>
      <c r="B19" s="310" t="s">
        <v>341</v>
      </c>
    </row>
    <row r="20" spans="1:2" ht="12.75">
      <c r="A20" s="483"/>
      <c r="B20" s="310"/>
    </row>
    <row r="21" spans="1:2" ht="12.75">
      <c r="A21" s="483"/>
      <c r="B21" s="311" t="s">
        <v>342</v>
      </c>
    </row>
    <row r="22" spans="1:2" ht="12.75">
      <c r="A22" s="483"/>
      <c r="B22" s="312" t="s">
        <v>343</v>
      </c>
    </row>
    <row r="23" spans="1:2" ht="12.75">
      <c r="A23" s="483"/>
      <c r="B23" s="312"/>
    </row>
    <row r="24" spans="1:2" ht="12.75">
      <c r="A24" s="483"/>
      <c r="B24" s="465" t="s">
        <v>260</v>
      </c>
    </row>
    <row r="25" spans="1:2" ht="12.75">
      <c r="A25" s="483"/>
      <c r="B25" s="313" t="s">
        <v>390</v>
      </c>
    </row>
    <row r="26" spans="1:2" ht="12.75">
      <c r="A26" s="483"/>
      <c r="B26" s="311"/>
    </row>
    <row r="27" spans="1:2" ht="12.75">
      <c r="A27" s="483"/>
      <c r="B27" s="465" t="s">
        <v>380</v>
      </c>
    </row>
    <row r="28" spans="1:2" ht="12.75">
      <c r="A28" s="483"/>
      <c r="B28" s="314" t="s">
        <v>389</v>
      </c>
    </row>
    <row r="29" spans="1:2" ht="12.75">
      <c r="A29" s="483"/>
      <c r="B29" s="314"/>
    </row>
    <row r="30" spans="1:2" ht="12.75">
      <c r="A30" s="483"/>
      <c r="B30" s="465" t="s">
        <v>381</v>
      </c>
    </row>
    <row r="31" spans="1:2" ht="12.75">
      <c r="A31" s="483"/>
      <c r="B31" s="314" t="s">
        <v>392</v>
      </c>
    </row>
    <row r="32" spans="1:2" ht="12.75">
      <c r="A32" s="483"/>
      <c r="B32" s="314"/>
    </row>
    <row r="33" spans="1:2" ht="12.75">
      <c r="A33" s="483"/>
      <c r="B33" s="465" t="s">
        <v>382</v>
      </c>
    </row>
    <row r="34" spans="1:2" ht="12.75">
      <c r="A34" s="483"/>
      <c r="B34" s="314" t="s">
        <v>391</v>
      </c>
    </row>
    <row r="35" spans="1:2" ht="12.75">
      <c r="A35" s="483"/>
      <c r="B35" s="314"/>
    </row>
    <row r="36" spans="1:2" ht="12.75">
      <c r="A36" s="483"/>
      <c r="B36" s="465" t="s">
        <v>211</v>
      </c>
    </row>
    <row r="37" spans="1:2" ht="12.75">
      <c r="A37" s="483"/>
      <c r="B37" s="314" t="s">
        <v>393</v>
      </c>
    </row>
    <row r="38" spans="1:2" ht="12.75">
      <c r="A38" s="483"/>
      <c r="B38" s="314"/>
    </row>
    <row r="39" spans="1:2" ht="12.75">
      <c r="A39" s="483"/>
      <c r="B39" s="465" t="s">
        <v>383</v>
      </c>
    </row>
    <row r="40" spans="1:2" ht="12.75">
      <c r="A40" s="483"/>
      <c r="B40" s="314" t="s">
        <v>403</v>
      </c>
    </row>
    <row r="41" spans="1:2" ht="12.75">
      <c r="A41" s="483"/>
      <c r="B41" s="314"/>
    </row>
    <row r="42" spans="1:2" ht="12.75">
      <c r="A42" s="483"/>
      <c r="B42" s="465" t="s">
        <v>166</v>
      </c>
    </row>
    <row r="43" spans="1:2" ht="12.75">
      <c r="A43" s="483"/>
      <c r="B43" s="314" t="s">
        <v>404</v>
      </c>
    </row>
    <row r="44" spans="1:2" ht="12.75">
      <c r="A44" s="483"/>
      <c r="B44" s="314"/>
    </row>
    <row r="45" spans="1:2" ht="12.75">
      <c r="A45" s="483"/>
      <c r="B45" s="465" t="s">
        <v>344</v>
      </c>
    </row>
    <row r="46" spans="1:2" ht="12.75">
      <c r="A46" s="483"/>
      <c r="B46" s="314" t="s">
        <v>405</v>
      </c>
    </row>
    <row r="47" spans="1:2" ht="12.75">
      <c r="A47" s="483"/>
      <c r="B47" s="314"/>
    </row>
    <row r="48" spans="1:2" ht="12.75">
      <c r="A48" s="483"/>
      <c r="B48" s="465" t="s">
        <v>384</v>
      </c>
    </row>
    <row r="49" spans="1:2" ht="12.75">
      <c r="A49" s="483"/>
      <c r="B49" s="314" t="s">
        <v>406</v>
      </c>
    </row>
    <row r="50" spans="1:2" ht="12.75">
      <c r="A50" s="483"/>
      <c r="B50" s="314"/>
    </row>
    <row r="51" spans="1:2" ht="12.75">
      <c r="A51" s="484"/>
      <c r="B51" s="473" t="s">
        <v>276</v>
      </c>
    </row>
    <row r="52" spans="1:2" ht="25.5">
      <c r="A52" s="483"/>
      <c r="B52" s="312" t="s">
        <v>407</v>
      </c>
    </row>
    <row r="53" spans="1:2" ht="12.75">
      <c r="A53" s="483"/>
      <c r="B53" s="312"/>
    </row>
    <row r="54" spans="1:2" ht="12.75">
      <c r="A54" s="483"/>
      <c r="B54" s="474" t="s">
        <v>388</v>
      </c>
    </row>
    <row r="55" spans="1:2" ht="25.5">
      <c r="A55" s="483"/>
      <c r="B55" s="312" t="s">
        <v>408</v>
      </c>
    </row>
    <row r="56" spans="1:2" ht="12.75">
      <c r="A56" s="483"/>
      <c r="B56" s="314"/>
    </row>
    <row r="57" spans="1:2" ht="12.75">
      <c r="A57" s="483"/>
      <c r="B57" s="465" t="s">
        <v>387</v>
      </c>
    </row>
    <row r="58" spans="1:2" ht="12.75">
      <c r="A58" s="483"/>
      <c r="B58" s="314" t="s">
        <v>409</v>
      </c>
    </row>
    <row r="59" spans="1:2" ht="6.75" customHeight="1" thickBot="1">
      <c r="A59" s="466"/>
      <c r="B59" s="315"/>
    </row>
    <row r="60" ht="13.5" thickTop="1"/>
  </sheetData>
  <mergeCells count="3">
    <mergeCell ref="B2:B6"/>
    <mergeCell ref="A8:A9"/>
    <mergeCell ref="A18:A58"/>
  </mergeCells>
  <hyperlinks>
    <hyperlink ref="B21" location="'ERR &amp; Sensitivity Analysis'!A1" display="ERR &amp; Sensitivity Analysis"/>
    <hyperlink ref="B18" location="'Activity Description'!A1" display="Activity Description"/>
    <hyperlink ref="B24" location="'Mafia Airport'!A1" display="Mafia Airport"/>
    <hyperlink ref="B27" location="Basics!A1" display="Basics"/>
    <hyperlink ref="B30" location="'Airside-Passenger'!A1" display="Airside-Passenger"/>
    <hyperlink ref="B33" location="'Airside-Freight'!A1" display="Airside-Freight"/>
    <hyperlink ref="B36" location="Terminal!A1" display="Terminal"/>
    <hyperlink ref="B39" location="'Induced Production'!A1" display="Induced Production"/>
    <hyperlink ref="B42" location="'Benefit Profile'!A1" display="Benefit Profile"/>
    <hyperlink ref="B45" location="'Annex III'!A1" display="Annex III"/>
    <hyperlink ref="B48" location="'GDP with pop'!A1" display="GDP with pop"/>
    <hyperlink ref="B51" location="'Regional GDP'!A1" display="Regional GDP"/>
    <hyperlink ref="B54" location="'GDP per capita'!A1" display="GDP per capita"/>
    <hyperlink ref="B57" location="'Tourism Stats'!A1" display="Tourism Stats"/>
  </hyperlink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B2:J74"/>
  <sheetViews>
    <sheetView workbookViewId="0" topLeftCell="A1">
      <selection activeCell="C4" sqref="C4:I4"/>
    </sheetView>
  </sheetViews>
  <sheetFormatPr defaultColWidth="9.140625" defaultRowHeight="12.75"/>
  <cols>
    <col min="1" max="1" width="9.140625" style="1" customWidth="1"/>
    <col min="2" max="2" width="3.00390625" style="1" customWidth="1"/>
    <col min="3" max="3" width="37.140625" style="1" customWidth="1"/>
    <col min="4" max="9" width="10.7109375" style="1" customWidth="1"/>
    <col min="10" max="16384" width="9.140625" style="1" customWidth="1"/>
  </cols>
  <sheetData>
    <row r="1" ht="12.75"/>
    <row r="2" spans="2:3" ht="12.75">
      <c r="B2" s="499" t="s">
        <v>151</v>
      </c>
      <c r="C2" s="499"/>
    </row>
    <row r="3" ht="12.75"/>
    <row r="4" spans="3:9" ht="27.75" customHeight="1">
      <c r="C4" s="503" t="s">
        <v>152</v>
      </c>
      <c r="D4" s="503"/>
      <c r="E4" s="503"/>
      <c r="F4" s="503"/>
      <c r="G4" s="503"/>
      <c r="H4" s="503"/>
      <c r="I4" s="503"/>
    </row>
    <row r="5" ht="12.75"/>
    <row r="6" spans="3:9" ht="12.75">
      <c r="C6" s="107" t="s">
        <v>163</v>
      </c>
      <c r="D6" s="500">
        <v>1</v>
      </c>
      <c r="E6" s="500"/>
      <c r="F6" s="501">
        <v>2</v>
      </c>
      <c r="G6" s="501"/>
      <c r="H6" s="502">
        <v>3</v>
      </c>
      <c r="I6" s="502"/>
    </row>
    <row r="7" spans="3:10" ht="28.5" customHeight="1">
      <c r="C7" s="214"/>
      <c r="D7" s="213" t="s">
        <v>153</v>
      </c>
      <c r="E7" s="136" t="s">
        <v>164</v>
      </c>
      <c r="F7" s="136" t="s">
        <v>153</v>
      </c>
      <c r="G7" s="136" t="s">
        <v>164</v>
      </c>
      <c r="H7" s="136" t="s">
        <v>153</v>
      </c>
      <c r="I7" s="215" t="s">
        <v>164</v>
      </c>
      <c r="J7" s="71"/>
    </row>
    <row r="8" spans="3:10" ht="12.75">
      <c r="C8" s="46"/>
      <c r="D8" s="112"/>
      <c r="E8" s="112"/>
      <c r="F8" s="112"/>
      <c r="G8" s="112"/>
      <c r="H8" s="112"/>
      <c r="I8" s="112"/>
      <c r="J8" s="46"/>
    </row>
    <row r="9" spans="3:10" ht="12.75">
      <c r="C9" s="182"/>
      <c r="D9" s="183"/>
      <c r="E9" s="183"/>
      <c r="F9" s="183"/>
      <c r="G9" s="183"/>
      <c r="H9" s="183"/>
      <c r="I9" s="183"/>
      <c r="J9" s="184"/>
    </row>
    <row r="10" spans="3:10" ht="12.75">
      <c r="C10" s="186" t="s">
        <v>165</v>
      </c>
      <c r="D10" s="187">
        <v>0.04</v>
      </c>
      <c r="E10" s="183"/>
      <c r="F10" s="183"/>
      <c r="G10" s="183"/>
      <c r="H10" s="183"/>
      <c r="I10" s="183"/>
      <c r="J10" s="184"/>
    </row>
    <row r="11" spans="3:10" ht="12.75">
      <c r="C11" s="185"/>
      <c r="D11" s="183"/>
      <c r="E11" s="183"/>
      <c r="F11" s="183"/>
      <c r="G11" s="183"/>
      <c r="H11" s="183"/>
      <c r="I11" s="183"/>
      <c r="J11" s="184"/>
    </row>
    <row r="12" spans="3:10" ht="12.75">
      <c r="C12" s="182" t="s">
        <v>155</v>
      </c>
      <c r="D12" s="183"/>
      <c r="E12" s="183"/>
      <c r="F12" s="183"/>
      <c r="G12" s="183"/>
      <c r="H12" s="183"/>
      <c r="I12" s="183"/>
      <c r="J12" s="184"/>
    </row>
    <row r="13" spans="3:10" ht="12.75">
      <c r="C13" s="186" t="s">
        <v>154</v>
      </c>
      <c r="D13" s="183"/>
      <c r="E13" s="183"/>
      <c r="F13" s="183"/>
      <c r="G13" s="183"/>
      <c r="H13" s="183"/>
      <c r="I13" s="183"/>
      <c r="J13" s="184"/>
    </row>
    <row r="14" spans="3:10" ht="12.75">
      <c r="C14" s="186" t="s">
        <v>156</v>
      </c>
      <c r="D14" s="187">
        <v>0</v>
      </c>
      <c r="E14" s="187">
        <v>0.04</v>
      </c>
      <c r="F14" s="188">
        <f>D14</f>
        <v>0</v>
      </c>
      <c r="G14" s="188">
        <f aca="true" t="shared" si="0" ref="G14:G20">E14</f>
        <v>0.04</v>
      </c>
      <c r="H14" s="188">
        <f>D14</f>
        <v>0</v>
      </c>
      <c r="I14" s="188">
        <f aca="true" t="shared" si="1" ref="I14:I20">E14</f>
        <v>0.04</v>
      </c>
      <c r="J14" s="184"/>
    </row>
    <row r="15" spans="3:10" ht="12.75">
      <c r="C15" s="186" t="s">
        <v>157</v>
      </c>
      <c r="D15" s="187">
        <v>0</v>
      </c>
      <c r="E15" s="187">
        <v>0.04</v>
      </c>
      <c r="F15" s="188">
        <f aca="true" t="shared" si="2" ref="F15:F20">D15</f>
        <v>0</v>
      </c>
      <c r="G15" s="188">
        <f t="shared" si="0"/>
        <v>0.04</v>
      </c>
      <c r="H15" s="188">
        <f aca="true" t="shared" si="3" ref="H15:H20">D15</f>
        <v>0</v>
      </c>
      <c r="I15" s="188">
        <f t="shared" si="1"/>
        <v>0.04</v>
      </c>
      <c r="J15" s="184"/>
    </row>
    <row r="16" spans="3:10" ht="12.75">
      <c r="C16" s="186" t="s">
        <v>158</v>
      </c>
      <c r="D16" s="187">
        <v>0</v>
      </c>
      <c r="E16" s="187">
        <v>0.04</v>
      </c>
      <c r="F16" s="188">
        <f t="shared" si="2"/>
        <v>0</v>
      </c>
      <c r="G16" s="188">
        <f t="shared" si="0"/>
        <v>0.04</v>
      </c>
      <c r="H16" s="188">
        <f t="shared" si="3"/>
        <v>0</v>
      </c>
      <c r="I16" s="188">
        <f t="shared" si="1"/>
        <v>0.04</v>
      </c>
      <c r="J16" s="184"/>
    </row>
    <row r="17" spans="3:10" ht="12.75">
      <c r="C17" s="186" t="s">
        <v>159</v>
      </c>
      <c r="D17" s="187">
        <v>0</v>
      </c>
      <c r="E17" s="187">
        <v>0.04</v>
      </c>
      <c r="F17" s="188">
        <f t="shared" si="2"/>
        <v>0</v>
      </c>
      <c r="G17" s="188">
        <f t="shared" si="0"/>
        <v>0.04</v>
      </c>
      <c r="H17" s="188">
        <f t="shared" si="3"/>
        <v>0</v>
      </c>
      <c r="I17" s="188">
        <f t="shared" si="1"/>
        <v>0.04</v>
      </c>
      <c r="J17" s="184"/>
    </row>
    <row r="18" spans="3:10" ht="12.75">
      <c r="C18" s="186" t="s">
        <v>160</v>
      </c>
      <c r="D18" s="187">
        <v>0</v>
      </c>
      <c r="E18" s="187">
        <v>0.04</v>
      </c>
      <c r="F18" s="188">
        <f t="shared" si="2"/>
        <v>0</v>
      </c>
      <c r="G18" s="188">
        <f t="shared" si="0"/>
        <v>0.04</v>
      </c>
      <c r="H18" s="188">
        <f t="shared" si="3"/>
        <v>0</v>
      </c>
      <c r="I18" s="188">
        <f t="shared" si="1"/>
        <v>0.04</v>
      </c>
      <c r="J18" s="184"/>
    </row>
    <row r="19" spans="3:10" ht="12.75">
      <c r="C19" s="186" t="s">
        <v>161</v>
      </c>
      <c r="D19" s="187">
        <v>0</v>
      </c>
      <c r="E19" s="187">
        <v>0.04</v>
      </c>
      <c r="F19" s="188">
        <f t="shared" si="2"/>
        <v>0</v>
      </c>
      <c r="G19" s="188">
        <f t="shared" si="0"/>
        <v>0.04</v>
      </c>
      <c r="H19" s="188">
        <f t="shared" si="3"/>
        <v>0</v>
      </c>
      <c r="I19" s="188">
        <f t="shared" si="1"/>
        <v>0.04</v>
      </c>
      <c r="J19" s="184"/>
    </row>
    <row r="20" spans="3:10" ht="12.75">
      <c r="C20" s="186" t="s">
        <v>162</v>
      </c>
      <c r="D20" s="187">
        <v>0</v>
      </c>
      <c r="E20" s="187">
        <v>0.04</v>
      </c>
      <c r="F20" s="188">
        <f t="shared" si="2"/>
        <v>0</v>
      </c>
      <c r="G20" s="188">
        <f t="shared" si="0"/>
        <v>0.04</v>
      </c>
      <c r="H20" s="188">
        <f t="shared" si="3"/>
        <v>0</v>
      </c>
      <c r="I20" s="188">
        <f t="shared" si="1"/>
        <v>0.04</v>
      </c>
      <c r="J20" s="184"/>
    </row>
    <row r="21" spans="3:10" ht="12.75">
      <c r="C21" s="185"/>
      <c r="D21" s="183" t="s">
        <v>7</v>
      </c>
      <c r="E21" s="183"/>
      <c r="F21" s="183"/>
      <c r="G21" s="183"/>
      <c r="H21" s="183" t="s">
        <v>7</v>
      </c>
      <c r="I21" s="183"/>
      <c r="J21" s="184"/>
    </row>
    <row r="22" spans="3:10" ht="12.75">
      <c r="C22" s="186" t="s">
        <v>12</v>
      </c>
      <c r="D22" s="183" t="s">
        <v>7</v>
      </c>
      <c r="E22" s="183"/>
      <c r="F22" s="183"/>
      <c r="G22" s="183"/>
      <c r="H22" s="183"/>
      <c r="I22" s="183"/>
      <c r="J22" s="184"/>
    </row>
    <row r="23" spans="3:10" ht="12.75">
      <c r="C23" s="186" t="s">
        <v>156</v>
      </c>
      <c r="D23" s="187">
        <v>0.1</v>
      </c>
      <c r="E23" s="188">
        <f>E14</f>
        <v>0.04</v>
      </c>
      <c r="F23" s="187">
        <v>0.1</v>
      </c>
      <c r="G23" s="187">
        <v>0.06</v>
      </c>
      <c r="H23" s="188">
        <f>H14</f>
        <v>0</v>
      </c>
      <c r="I23" s="187">
        <v>0.06</v>
      </c>
      <c r="J23" s="184"/>
    </row>
    <row r="24" spans="3:10" ht="12.75">
      <c r="C24" s="186" t="s">
        <v>157</v>
      </c>
      <c r="D24" s="187">
        <v>0.1</v>
      </c>
      <c r="E24" s="188">
        <f aca="true" t="shared" si="4" ref="E24:E29">E15</f>
        <v>0.04</v>
      </c>
      <c r="F24" s="187">
        <v>0.1</v>
      </c>
      <c r="G24" s="187">
        <f>'ERR &amp; Sensitivity Analysis'!$G$13</f>
        <v>0.06</v>
      </c>
      <c r="H24" s="188">
        <f aca="true" t="shared" si="5" ref="H24:H29">H15</f>
        <v>0</v>
      </c>
      <c r="I24" s="187">
        <v>0.06</v>
      </c>
      <c r="J24" s="184"/>
    </row>
    <row r="25" spans="3:10" ht="12.75">
      <c r="C25" s="186" t="s">
        <v>158</v>
      </c>
      <c r="D25" s="187">
        <v>0.1</v>
      </c>
      <c r="E25" s="188">
        <f t="shared" si="4"/>
        <v>0.04</v>
      </c>
      <c r="F25" s="187">
        <v>0.1</v>
      </c>
      <c r="G25" s="187">
        <f>'ERR &amp; Sensitivity Analysis'!$G$13</f>
        <v>0.06</v>
      </c>
      <c r="H25" s="188">
        <f t="shared" si="5"/>
        <v>0</v>
      </c>
      <c r="I25" s="187">
        <v>0.06</v>
      </c>
      <c r="J25" s="184"/>
    </row>
    <row r="26" spans="3:10" ht="12.75">
      <c r="C26" s="186" t="s">
        <v>159</v>
      </c>
      <c r="D26" s="187">
        <v>0.1</v>
      </c>
      <c r="E26" s="188">
        <f t="shared" si="4"/>
        <v>0.04</v>
      </c>
      <c r="F26" s="187">
        <v>0.1</v>
      </c>
      <c r="G26" s="187">
        <f>'ERR &amp; Sensitivity Analysis'!$G$13</f>
        <v>0.06</v>
      </c>
      <c r="H26" s="188">
        <f t="shared" si="5"/>
        <v>0</v>
      </c>
      <c r="I26" s="187">
        <v>0.06</v>
      </c>
      <c r="J26" s="184"/>
    </row>
    <row r="27" spans="3:10" ht="12.75">
      <c r="C27" s="186" t="s">
        <v>160</v>
      </c>
      <c r="D27" s="187">
        <v>0.1</v>
      </c>
      <c r="E27" s="188">
        <f t="shared" si="4"/>
        <v>0.04</v>
      </c>
      <c r="F27" s="187">
        <v>0.1</v>
      </c>
      <c r="G27" s="187">
        <v>0.06</v>
      </c>
      <c r="H27" s="188">
        <f t="shared" si="5"/>
        <v>0</v>
      </c>
      <c r="I27" s="187">
        <v>0.06</v>
      </c>
      <c r="J27" s="184"/>
    </row>
    <row r="28" spans="3:10" ht="12.75">
      <c r="C28" s="186" t="s">
        <v>161</v>
      </c>
      <c r="D28" s="187">
        <v>0.1</v>
      </c>
      <c r="E28" s="188">
        <f t="shared" si="4"/>
        <v>0.04</v>
      </c>
      <c r="F28" s="187">
        <v>0.1</v>
      </c>
      <c r="G28" s="187">
        <f>'ERR &amp; Sensitivity Analysis'!G16</f>
        <v>0.06</v>
      </c>
      <c r="H28" s="188">
        <f t="shared" si="5"/>
        <v>0</v>
      </c>
      <c r="I28" s="187">
        <v>0.06</v>
      </c>
      <c r="J28" s="184"/>
    </row>
    <row r="29" spans="3:10" ht="12.75">
      <c r="C29" s="186" t="s">
        <v>162</v>
      </c>
      <c r="D29" s="187">
        <v>0.1</v>
      </c>
      <c r="E29" s="188">
        <f t="shared" si="4"/>
        <v>0.04</v>
      </c>
      <c r="F29" s="187">
        <v>0.1</v>
      </c>
      <c r="G29" s="187">
        <v>0.06</v>
      </c>
      <c r="H29" s="188">
        <f t="shared" si="5"/>
        <v>0</v>
      </c>
      <c r="I29" s="187">
        <v>0.06</v>
      </c>
      <c r="J29" s="184"/>
    </row>
    <row r="30" spans="3:10" ht="12.75">
      <c r="C30" s="185"/>
      <c r="D30" s="183" t="s">
        <v>7</v>
      </c>
      <c r="E30" s="183"/>
      <c r="F30" s="183"/>
      <c r="G30" s="183"/>
      <c r="H30" s="183"/>
      <c r="I30" s="183"/>
      <c r="J30" s="184"/>
    </row>
    <row r="31" spans="3:10" ht="12.75">
      <c r="C31" s="182" t="s">
        <v>171</v>
      </c>
      <c r="D31" s="183" t="s">
        <v>7</v>
      </c>
      <c r="E31" s="183"/>
      <c r="F31" s="183"/>
      <c r="G31" s="183"/>
      <c r="H31" s="183"/>
      <c r="I31" s="183"/>
      <c r="J31" s="184"/>
    </row>
    <row r="32" spans="3:10" ht="12.75">
      <c r="C32" s="186" t="s">
        <v>13</v>
      </c>
      <c r="D32" s="183" t="s">
        <v>7</v>
      </c>
      <c r="E32" s="183"/>
      <c r="F32" s="183"/>
      <c r="G32" s="183"/>
      <c r="H32" s="183"/>
      <c r="I32" s="183"/>
      <c r="J32" s="184"/>
    </row>
    <row r="33" spans="3:10" ht="12.75">
      <c r="C33" s="186" t="s">
        <v>180</v>
      </c>
      <c r="D33" s="187" t="s">
        <v>7</v>
      </c>
      <c r="E33" s="189"/>
      <c r="F33" s="188"/>
      <c r="G33" s="188"/>
      <c r="H33" s="188"/>
      <c r="I33" s="188"/>
      <c r="J33" s="184"/>
    </row>
    <row r="34" spans="3:10" ht="12.75">
      <c r="C34" s="186" t="s">
        <v>181</v>
      </c>
      <c r="D34" s="187">
        <v>0</v>
      </c>
      <c r="E34" s="190">
        <f>mafiagrow</f>
        <v>0.04</v>
      </c>
      <c r="F34" s="188">
        <f>D34</f>
        <v>0</v>
      </c>
      <c r="G34" s="188">
        <f>E34</f>
        <v>0.04</v>
      </c>
      <c r="H34" s="188">
        <f>D34</f>
        <v>0</v>
      </c>
      <c r="I34" s="188">
        <f>E34</f>
        <v>0.04</v>
      </c>
      <c r="J34" s="184"/>
    </row>
    <row r="35" spans="3:10" ht="12.75">
      <c r="C35" s="186" t="s">
        <v>182</v>
      </c>
      <c r="D35" s="187">
        <v>0</v>
      </c>
      <c r="E35" s="190">
        <f>mafiagrow</f>
        <v>0.04</v>
      </c>
      <c r="F35" s="188">
        <f>D35</f>
        <v>0</v>
      </c>
      <c r="G35" s="188">
        <f>E35</f>
        <v>0.04</v>
      </c>
      <c r="H35" s="188">
        <f>D35</f>
        <v>0</v>
      </c>
      <c r="I35" s="188">
        <f>E35</f>
        <v>0.04</v>
      </c>
      <c r="J35" s="184"/>
    </row>
    <row r="36" spans="3:10" ht="12.75">
      <c r="C36" s="186" t="s">
        <v>183</v>
      </c>
      <c r="D36" s="187" t="s">
        <v>7</v>
      </c>
      <c r="E36" s="190"/>
      <c r="F36" s="188"/>
      <c r="G36" s="188"/>
      <c r="H36" s="188"/>
      <c r="I36" s="188"/>
      <c r="J36" s="184"/>
    </row>
    <row r="37" spans="3:10" ht="12.75">
      <c r="C37" s="186" t="s">
        <v>184</v>
      </c>
      <c r="D37" s="187">
        <v>0</v>
      </c>
      <c r="E37" s="190">
        <f>mafiagrow</f>
        <v>0.04</v>
      </c>
      <c r="F37" s="188">
        <f>D37</f>
        <v>0</v>
      </c>
      <c r="G37" s="188">
        <f>E37</f>
        <v>0.04</v>
      </c>
      <c r="H37" s="188">
        <f>D37</f>
        <v>0</v>
      </c>
      <c r="I37" s="188">
        <f>E37</f>
        <v>0.04</v>
      </c>
      <c r="J37" s="184"/>
    </row>
    <row r="38" spans="3:10" ht="12.75">
      <c r="C38" s="186" t="s">
        <v>185</v>
      </c>
      <c r="D38" s="187">
        <v>0</v>
      </c>
      <c r="E38" s="190">
        <f>mafiagrow</f>
        <v>0.04</v>
      </c>
      <c r="F38" s="188">
        <f>D38</f>
        <v>0</v>
      </c>
      <c r="G38" s="188">
        <f>E38</f>
        <v>0.04</v>
      </c>
      <c r="H38" s="188">
        <f>D38</f>
        <v>0</v>
      </c>
      <c r="I38" s="188">
        <f>E38</f>
        <v>0.04</v>
      </c>
      <c r="J38" s="184"/>
    </row>
    <row r="39" spans="3:10" ht="12.75">
      <c r="C39" s="186" t="s">
        <v>186</v>
      </c>
      <c r="D39" s="187" t="s">
        <v>7</v>
      </c>
      <c r="E39" s="190"/>
      <c r="F39" s="188"/>
      <c r="G39" s="188"/>
      <c r="H39" s="188"/>
      <c r="I39" s="188"/>
      <c r="J39" s="184"/>
    </row>
    <row r="40" spans="3:10" ht="12.75">
      <c r="C40" s="186" t="s">
        <v>187</v>
      </c>
      <c r="D40" s="187">
        <v>0</v>
      </c>
      <c r="E40" s="190">
        <f>mafiagrow</f>
        <v>0.04</v>
      </c>
      <c r="F40" s="188">
        <f>D40</f>
        <v>0</v>
      </c>
      <c r="G40" s="188">
        <f>E40</f>
        <v>0.04</v>
      </c>
      <c r="H40" s="188">
        <f>D40</f>
        <v>0</v>
      </c>
      <c r="I40" s="188">
        <f>E40</f>
        <v>0.04</v>
      </c>
      <c r="J40" s="184"/>
    </row>
    <row r="41" spans="3:10" ht="12.75">
      <c r="C41" s="186" t="s">
        <v>188</v>
      </c>
      <c r="D41" s="187">
        <v>0</v>
      </c>
      <c r="E41" s="190">
        <f>mafiagrow</f>
        <v>0.04</v>
      </c>
      <c r="F41" s="188">
        <f>D41</f>
        <v>0</v>
      </c>
      <c r="G41" s="188">
        <f>E41</f>
        <v>0.04</v>
      </c>
      <c r="H41" s="188">
        <f>D41</f>
        <v>0</v>
      </c>
      <c r="I41" s="188">
        <f>E41</f>
        <v>0.04</v>
      </c>
      <c r="J41" s="184"/>
    </row>
    <row r="42" spans="3:10" ht="12.75">
      <c r="C42" s="186"/>
      <c r="D42" s="183" t="s">
        <v>7</v>
      </c>
      <c r="E42" s="183"/>
      <c r="F42" s="183"/>
      <c r="G42" s="183"/>
      <c r="H42" s="183"/>
      <c r="I42" s="183"/>
      <c r="J42" s="184"/>
    </row>
    <row r="43" spans="3:10" ht="12.75">
      <c r="C43" s="186" t="s">
        <v>12</v>
      </c>
      <c r="D43" s="183" t="s">
        <v>7</v>
      </c>
      <c r="E43" s="183"/>
      <c r="F43" s="183"/>
      <c r="G43" s="183"/>
      <c r="H43" s="183"/>
      <c r="I43" s="183"/>
      <c r="J43" s="184"/>
    </row>
    <row r="44" spans="3:10" ht="12.75">
      <c r="C44" s="186" t="s">
        <v>180</v>
      </c>
      <c r="D44" s="187" t="s">
        <v>7</v>
      </c>
      <c r="E44" s="189"/>
      <c r="F44" s="187"/>
      <c r="G44" s="187"/>
      <c r="H44" s="189"/>
      <c r="I44" s="187"/>
      <c r="J44" s="184"/>
    </row>
    <row r="45" spans="3:10" ht="12.75">
      <c r="C45" s="186" t="s">
        <v>181</v>
      </c>
      <c r="D45" s="187">
        <v>0.1</v>
      </c>
      <c r="E45" s="189">
        <f>E34</f>
        <v>0.04</v>
      </c>
      <c r="F45" s="187">
        <v>0.1</v>
      </c>
      <c r="G45" s="187">
        <v>0.06</v>
      </c>
      <c r="H45" s="189">
        <f>H34</f>
        <v>0</v>
      </c>
      <c r="I45" s="187">
        <v>0.08</v>
      </c>
      <c r="J45" s="184"/>
    </row>
    <row r="46" spans="3:10" ht="12.75">
      <c r="C46" s="186" t="s">
        <v>182</v>
      </c>
      <c r="D46" s="187">
        <v>0</v>
      </c>
      <c r="E46" s="189">
        <f>E35</f>
        <v>0.04</v>
      </c>
      <c r="F46" s="187">
        <v>0</v>
      </c>
      <c r="G46" s="187">
        <v>0.04</v>
      </c>
      <c r="H46" s="189">
        <f>H35</f>
        <v>0</v>
      </c>
      <c r="I46" s="187">
        <v>0.04</v>
      </c>
      <c r="J46" s="184"/>
    </row>
    <row r="47" spans="3:10" ht="12.75">
      <c r="C47" s="186" t="s">
        <v>183</v>
      </c>
      <c r="D47" s="187" t="s">
        <v>7</v>
      </c>
      <c r="E47" s="189"/>
      <c r="F47" s="187"/>
      <c r="G47" s="187"/>
      <c r="H47" s="189"/>
      <c r="I47" s="187"/>
      <c r="J47" s="184"/>
    </row>
    <row r="48" spans="3:10" ht="12.75">
      <c r="C48" s="186" t="s">
        <v>184</v>
      </c>
      <c r="D48" s="187">
        <v>0.4</v>
      </c>
      <c r="E48" s="189">
        <f>E37</f>
        <v>0.04</v>
      </c>
      <c r="F48" s="187">
        <v>0.35</v>
      </c>
      <c r="G48" s="187">
        <v>0.06</v>
      </c>
      <c r="H48" s="189">
        <f>H37</f>
        <v>0</v>
      </c>
      <c r="I48" s="187">
        <v>0.08</v>
      </c>
      <c r="J48" s="184"/>
    </row>
    <row r="49" spans="3:10" ht="12.75">
      <c r="C49" s="186" t="s">
        <v>185</v>
      </c>
      <c r="D49" s="187">
        <v>0.2</v>
      </c>
      <c r="E49" s="189">
        <f>E38</f>
        <v>0.04</v>
      </c>
      <c r="F49" s="187">
        <v>0.14</v>
      </c>
      <c r="G49" s="187">
        <v>0.04</v>
      </c>
      <c r="H49" s="189">
        <f>H38</f>
        <v>0</v>
      </c>
      <c r="I49" s="187">
        <v>0.04</v>
      </c>
      <c r="J49" s="184"/>
    </row>
    <row r="50" spans="3:10" ht="12.75">
      <c r="C50" s="186" t="s">
        <v>186</v>
      </c>
      <c r="D50" s="187" t="s">
        <v>7</v>
      </c>
      <c r="E50" s="189"/>
      <c r="F50" s="187"/>
      <c r="G50" s="187"/>
      <c r="H50" s="189"/>
      <c r="I50" s="187"/>
      <c r="J50" s="184"/>
    </row>
    <row r="51" spans="3:10" ht="12.75">
      <c r="C51" s="186" t="s">
        <v>187</v>
      </c>
      <c r="D51" s="187">
        <v>0</v>
      </c>
      <c r="E51" s="189">
        <f>E40</f>
        <v>0.04</v>
      </c>
      <c r="F51" s="187">
        <v>0</v>
      </c>
      <c r="G51" s="187">
        <v>0.04</v>
      </c>
      <c r="H51" s="189">
        <f>H40</f>
        <v>0</v>
      </c>
      <c r="I51" s="187">
        <v>0.04</v>
      </c>
      <c r="J51" s="184"/>
    </row>
    <row r="52" spans="3:10" ht="12.75">
      <c r="C52" s="186" t="s">
        <v>188</v>
      </c>
      <c r="D52" s="187">
        <v>0</v>
      </c>
      <c r="E52" s="189">
        <f>E41</f>
        <v>0.04</v>
      </c>
      <c r="F52" s="187">
        <v>0</v>
      </c>
      <c r="G52" s="187">
        <v>0.04</v>
      </c>
      <c r="H52" s="189">
        <f>H41</f>
        <v>0</v>
      </c>
      <c r="I52" s="187">
        <v>0.04</v>
      </c>
      <c r="J52" s="184"/>
    </row>
    <row r="53" spans="3:10" ht="12.75">
      <c r="C53" s="186"/>
      <c r="D53" s="187"/>
      <c r="E53" s="189"/>
      <c r="F53" s="187"/>
      <c r="G53" s="187"/>
      <c r="H53" s="189"/>
      <c r="I53" s="187"/>
      <c r="J53" s="184"/>
    </row>
    <row r="54" spans="3:10" ht="12.75">
      <c r="C54" s="182" t="s">
        <v>211</v>
      </c>
      <c r="D54" s="187"/>
      <c r="E54" s="189"/>
      <c r="F54" s="187"/>
      <c r="G54" s="187"/>
      <c r="H54" s="189"/>
      <c r="I54" s="187"/>
      <c r="J54" s="184"/>
    </row>
    <row r="55" spans="3:10" ht="12.75">
      <c r="C55" s="186" t="s">
        <v>13</v>
      </c>
      <c r="D55" s="187"/>
      <c r="E55" s="189"/>
      <c r="F55" s="187"/>
      <c r="G55" s="187"/>
      <c r="H55" s="189"/>
      <c r="I55" s="187"/>
      <c r="J55" s="184"/>
    </row>
    <row r="56" spans="3:10" ht="12.75">
      <c r="C56" s="186" t="s">
        <v>134</v>
      </c>
      <c r="D56" s="187">
        <v>0</v>
      </c>
      <c r="E56" s="190">
        <f aca="true" t="shared" si="6" ref="E56:E61">mafiagrow</f>
        <v>0.04</v>
      </c>
      <c r="F56" s="188">
        <f aca="true" t="shared" si="7" ref="F56:F61">D56</f>
        <v>0</v>
      </c>
      <c r="G56" s="188">
        <f aca="true" t="shared" si="8" ref="G56:G61">E56</f>
        <v>0.04</v>
      </c>
      <c r="H56" s="189">
        <f aca="true" t="shared" si="9" ref="H56:H61">F56</f>
        <v>0</v>
      </c>
      <c r="I56" s="189">
        <f aca="true" t="shared" si="10" ref="I56:I61">G56</f>
        <v>0.04</v>
      </c>
      <c r="J56" s="184"/>
    </row>
    <row r="57" spans="3:10" ht="12.75">
      <c r="C57" s="186" t="s">
        <v>135</v>
      </c>
      <c r="D57" s="187">
        <v>0</v>
      </c>
      <c r="E57" s="190">
        <f t="shared" si="6"/>
        <v>0.04</v>
      </c>
      <c r="F57" s="188">
        <f t="shared" si="7"/>
        <v>0</v>
      </c>
      <c r="G57" s="188">
        <f t="shared" si="8"/>
        <v>0.04</v>
      </c>
      <c r="H57" s="189">
        <f t="shared" si="9"/>
        <v>0</v>
      </c>
      <c r="I57" s="189">
        <f t="shared" si="10"/>
        <v>0.04</v>
      </c>
      <c r="J57" s="184"/>
    </row>
    <row r="58" spans="3:10" ht="12.75">
      <c r="C58" s="186" t="s">
        <v>136</v>
      </c>
      <c r="D58" s="187">
        <v>0</v>
      </c>
      <c r="E58" s="190">
        <f t="shared" si="6"/>
        <v>0.04</v>
      </c>
      <c r="F58" s="188">
        <f t="shared" si="7"/>
        <v>0</v>
      </c>
      <c r="G58" s="188">
        <f t="shared" si="8"/>
        <v>0.04</v>
      </c>
      <c r="H58" s="189">
        <f t="shared" si="9"/>
        <v>0</v>
      </c>
      <c r="I58" s="189">
        <f t="shared" si="10"/>
        <v>0.04</v>
      </c>
      <c r="J58" s="184"/>
    </row>
    <row r="59" spans="3:10" ht="12.75">
      <c r="C59" s="186" t="s">
        <v>137</v>
      </c>
      <c r="D59" s="187">
        <v>0</v>
      </c>
      <c r="E59" s="190">
        <f t="shared" si="6"/>
        <v>0.04</v>
      </c>
      <c r="F59" s="188">
        <f t="shared" si="7"/>
        <v>0</v>
      </c>
      <c r="G59" s="188">
        <f t="shared" si="8"/>
        <v>0.04</v>
      </c>
      <c r="H59" s="189">
        <f t="shared" si="9"/>
        <v>0</v>
      </c>
      <c r="I59" s="189">
        <f t="shared" si="10"/>
        <v>0.04</v>
      </c>
      <c r="J59" s="184"/>
    </row>
    <row r="60" spans="3:10" ht="12.75">
      <c r="C60" s="186" t="s">
        <v>138</v>
      </c>
      <c r="D60" s="187">
        <v>0</v>
      </c>
      <c r="E60" s="190">
        <f t="shared" si="6"/>
        <v>0.04</v>
      </c>
      <c r="F60" s="188">
        <f t="shared" si="7"/>
        <v>0</v>
      </c>
      <c r="G60" s="188">
        <f t="shared" si="8"/>
        <v>0.04</v>
      </c>
      <c r="H60" s="189">
        <f t="shared" si="9"/>
        <v>0</v>
      </c>
      <c r="I60" s="189">
        <f t="shared" si="10"/>
        <v>0.04</v>
      </c>
      <c r="J60" s="184"/>
    </row>
    <row r="61" spans="3:10" ht="12.75">
      <c r="C61" s="186" t="s">
        <v>139</v>
      </c>
      <c r="D61" s="187">
        <v>0</v>
      </c>
      <c r="E61" s="190">
        <f t="shared" si="6"/>
        <v>0.04</v>
      </c>
      <c r="F61" s="188">
        <f t="shared" si="7"/>
        <v>0</v>
      </c>
      <c r="G61" s="188">
        <f t="shared" si="8"/>
        <v>0.04</v>
      </c>
      <c r="H61" s="189">
        <f t="shared" si="9"/>
        <v>0</v>
      </c>
      <c r="I61" s="189">
        <f t="shared" si="10"/>
        <v>0.04</v>
      </c>
      <c r="J61" s="184"/>
    </row>
    <row r="62" spans="3:10" ht="12.75">
      <c r="C62" s="186"/>
      <c r="D62" s="187" t="s">
        <v>7</v>
      </c>
      <c r="E62" s="189"/>
      <c r="F62" s="187"/>
      <c r="G62" s="187"/>
      <c r="H62" s="189"/>
      <c r="I62" s="187"/>
      <c r="J62" s="184"/>
    </row>
    <row r="63" spans="3:10" ht="12.75">
      <c r="C63" s="186" t="s">
        <v>12</v>
      </c>
      <c r="D63" s="187"/>
      <c r="E63" s="189"/>
      <c r="F63" s="187"/>
      <c r="G63" s="187"/>
      <c r="H63" s="189"/>
      <c r="I63" s="187"/>
      <c r="J63" s="184"/>
    </row>
    <row r="64" spans="3:10" ht="12.75">
      <c r="C64" s="186" t="s">
        <v>134</v>
      </c>
      <c r="D64" s="187">
        <v>0.2</v>
      </c>
      <c r="E64" s="189">
        <f aca="true" t="shared" si="11" ref="E64:E69">E56</f>
        <v>0.04</v>
      </c>
      <c r="F64" s="187">
        <v>0.2</v>
      </c>
      <c r="G64" s="187">
        <v>0.05</v>
      </c>
      <c r="H64" s="190">
        <v>0</v>
      </c>
      <c r="I64" s="187">
        <v>0.065</v>
      </c>
      <c r="J64" s="184"/>
    </row>
    <row r="65" spans="3:10" ht="12.75">
      <c r="C65" s="186" t="s">
        <v>135</v>
      </c>
      <c r="D65" s="187">
        <v>0.2</v>
      </c>
      <c r="E65" s="189">
        <f t="shared" si="11"/>
        <v>0.04</v>
      </c>
      <c r="F65" s="187">
        <v>0.2</v>
      </c>
      <c r="G65" s="187">
        <v>0.05</v>
      </c>
      <c r="H65" s="190">
        <v>0</v>
      </c>
      <c r="I65" s="187">
        <v>0.065</v>
      </c>
      <c r="J65" s="184"/>
    </row>
    <row r="66" spans="3:10" ht="12.75">
      <c r="C66" s="186" t="s">
        <v>136</v>
      </c>
      <c r="D66" s="187">
        <v>0.2</v>
      </c>
      <c r="E66" s="189">
        <f t="shared" si="11"/>
        <v>0.04</v>
      </c>
      <c r="F66" s="187">
        <v>0.2</v>
      </c>
      <c r="G66" s="187">
        <v>0.05</v>
      </c>
      <c r="H66" s="190">
        <v>0</v>
      </c>
      <c r="I66" s="187">
        <v>0.065</v>
      </c>
      <c r="J66" s="184"/>
    </row>
    <row r="67" spans="3:10" ht="12.75">
      <c r="C67" s="186" t="s">
        <v>137</v>
      </c>
      <c r="D67" s="187">
        <v>0.2</v>
      </c>
      <c r="E67" s="189">
        <f t="shared" si="11"/>
        <v>0.04</v>
      </c>
      <c r="F67" s="187">
        <v>0.2</v>
      </c>
      <c r="G67" s="187">
        <v>0.05</v>
      </c>
      <c r="H67" s="190">
        <v>0</v>
      </c>
      <c r="I67" s="187">
        <v>0.065</v>
      </c>
      <c r="J67" s="184"/>
    </row>
    <row r="68" spans="3:10" ht="12.75">
      <c r="C68" s="186" t="s">
        <v>138</v>
      </c>
      <c r="D68" s="187">
        <v>0.2</v>
      </c>
      <c r="E68" s="189">
        <f t="shared" si="11"/>
        <v>0.04</v>
      </c>
      <c r="F68" s="187">
        <v>0.2</v>
      </c>
      <c r="G68" s="187">
        <v>0.05</v>
      </c>
      <c r="H68" s="190">
        <v>0</v>
      </c>
      <c r="I68" s="187">
        <v>0.065</v>
      </c>
      <c r="J68" s="184"/>
    </row>
    <row r="69" spans="3:10" ht="12.75">
      <c r="C69" s="186" t="s">
        <v>139</v>
      </c>
      <c r="D69" s="187">
        <v>0.2</v>
      </c>
      <c r="E69" s="189">
        <f t="shared" si="11"/>
        <v>0.04</v>
      </c>
      <c r="F69" s="187">
        <v>0.2</v>
      </c>
      <c r="G69" s="187">
        <v>0.05</v>
      </c>
      <c r="H69" s="190">
        <v>0</v>
      </c>
      <c r="I69" s="187">
        <v>0.065</v>
      </c>
      <c r="J69" s="184"/>
    </row>
    <row r="70" spans="3:10" ht="12.75">
      <c r="C70" s="186"/>
      <c r="D70" s="187" t="s">
        <v>7</v>
      </c>
      <c r="E70" s="189"/>
      <c r="F70" s="187"/>
      <c r="G70" s="187"/>
      <c r="H70" s="189"/>
      <c r="I70" s="187"/>
      <c r="J70" s="184"/>
    </row>
    <row r="71" spans="3:10" ht="12.75">
      <c r="C71" s="182" t="s">
        <v>248</v>
      </c>
      <c r="D71" s="187"/>
      <c r="E71" s="189"/>
      <c r="F71" s="187"/>
      <c r="G71" s="187"/>
      <c r="H71" s="189"/>
      <c r="I71" s="187"/>
      <c r="J71" s="184"/>
    </row>
    <row r="72" spans="3:10" ht="12.75">
      <c r="C72" s="186" t="s">
        <v>250</v>
      </c>
      <c r="D72" s="187">
        <v>0</v>
      </c>
      <c r="E72" s="190">
        <f>mafiagrow</f>
        <v>0.04</v>
      </c>
      <c r="F72" s="188">
        <f>D72</f>
        <v>0</v>
      </c>
      <c r="G72" s="188">
        <f>E72</f>
        <v>0.04</v>
      </c>
      <c r="H72" s="189">
        <f>F72</f>
        <v>0</v>
      </c>
      <c r="I72" s="189">
        <f>G72</f>
        <v>0.04</v>
      </c>
      <c r="J72" s="184"/>
    </row>
    <row r="73" spans="3:10" ht="12.75">
      <c r="C73" s="186" t="s">
        <v>249</v>
      </c>
      <c r="D73" s="187">
        <v>0.2</v>
      </c>
      <c r="E73" s="189">
        <f>E72</f>
        <v>0.04</v>
      </c>
      <c r="F73" s="187">
        <v>0.2</v>
      </c>
      <c r="G73" s="187">
        <v>0.05</v>
      </c>
      <c r="H73" s="190">
        <v>0</v>
      </c>
      <c r="I73" s="187">
        <v>0.07</v>
      </c>
      <c r="J73" s="184"/>
    </row>
    <row r="74" spans="3:10" ht="12.75">
      <c r="C74" s="191"/>
      <c r="D74" s="192"/>
      <c r="E74" s="192"/>
      <c r="F74" s="192"/>
      <c r="G74" s="192"/>
      <c r="H74" s="192"/>
      <c r="I74" s="192"/>
      <c r="J74" s="193"/>
    </row>
  </sheetData>
  <mergeCells count="5">
    <mergeCell ref="B2:C2"/>
    <mergeCell ref="D6:E6"/>
    <mergeCell ref="F6:G6"/>
    <mergeCell ref="H6:I6"/>
    <mergeCell ref="C4:I4"/>
  </mergeCell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B2:L21"/>
  <sheetViews>
    <sheetView workbookViewId="0" topLeftCell="A1">
      <selection activeCell="A1" sqref="A1"/>
    </sheetView>
  </sheetViews>
  <sheetFormatPr defaultColWidth="9.140625" defaultRowHeight="12.75"/>
  <cols>
    <col min="1" max="1" width="9.140625" style="216" customWidth="1"/>
    <col min="2" max="2" width="36.421875" style="216" customWidth="1"/>
    <col min="3" max="4" width="11.28125" style="216" bestFit="1" customWidth="1"/>
    <col min="5" max="5" width="13.00390625" style="216" customWidth="1"/>
    <col min="6" max="6" width="9.140625" style="216" customWidth="1"/>
    <col min="7" max="7" width="21.8515625" style="216" bestFit="1" customWidth="1"/>
    <col min="8" max="8" width="14.140625" style="216" bestFit="1" customWidth="1"/>
    <col min="9" max="9" width="18.28125" style="216" bestFit="1" customWidth="1"/>
    <col min="10" max="10" width="19.7109375" style="216" bestFit="1" customWidth="1"/>
    <col min="11" max="11" width="11.28125" style="216" bestFit="1" customWidth="1"/>
    <col min="12" max="16384" width="9.140625" style="216" customWidth="1"/>
  </cols>
  <sheetData>
    <row r="2" spans="2:5" ht="12.75">
      <c r="B2" s="218" t="s">
        <v>260</v>
      </c>
      <c r="C2" s="145"/>
      <c r="D2" s="145"/>
      <c r="E2" s="145"/>
    </row>
    <row r="3" spans="2:5" ht="25.5">
      <c r="B3" s="219"/>
      <c r="C3" s="220" t="s">
        <v>266</v>
      </c>
      <c r="D3" s="220" t="s">
        <v>277</v>
      </c>
      <c r="E3" s="221" t="s">
        <v>278</v>
      </c>
    </row>
    <row r="4" spans="2:5" ht="25.5">
      <c r="B4" s="248" t="s">
        <v>264</v>
      </c>
      <c r="C4" s="222">
        <f>ROUND('Mafia Airport'!F53,-1)</f>
        <v>12040</v>
      </c>
      <c r="D4" s="222">
        <f>ROUND('Mafia Airport'!J53,-1)</f>
        <v>16010</v>
      </c>
      <c r="E4" s="223"/>
    </row>
    <row r="5" spans="2:5" ht="12.75">
      <c r="B5" s="249" t="s">
        <v>275</v>
      </c>
      <c r="C5" s="224">
        <f>ROUND(J20,-2)</f>
        <v>3227800</v>
      </c>
      <c r="D5" s="224">
        <f>ROUND(K20,-2)</f>
        <v>4292800</v>
      </c>
      <c r="E5" s="225"/>
    </row>
    <row r="6" spans="2:5" ht="12.75">
      <c r="B6" s="250"/>
      <c r="C6" s="226"/>
      <c r="D6" s="227"/>
      <c r="E6" s="225"/>
    </row>
    <row r="7" spans="2:5" ht="12.75">
      <c r="B7" s="251" t="s">
        <v>265</v>
      </c>
      <c r="C7" s="228">
        <v>0</v>
      </c>
      <c r="D7" s="229">
        <v>1</v>
      </c>
      <c r="E7" s="230"/>
    </row>
    <row r="8" spans="2:5" ht="12.75">
      <c r="B8" s="251" t="s">
        <v>276</v>
      </c>
      <c r="C8" s="231">
        <f>'Mafia Airport'!F172</f>
        <v>235.27829358828316</v>
      </c>
      <c r="D8" s="231">
        <f>'Mafia Airport'!J170</f>
        <v>302.25729217267866</v>
      </c>
      <c r="E8" s="232">
        <f>'Mafia Airport'!J172</f>
        <v>301.5423905768386</v>
      </c>
    </row>
    <row r="11" spans="5:11" ht="12.75">
      <c r="E11" s="504" t="s">
        <v>323</v>
      </c>
      <c r="F11" s="505"/>
      <c r="G11" s="506" t="str">
        <f>'Airside-Passenger'!D26</f>
        <v>(Average expenditure per person per night, USD)</v>
      </c>
      <c r="H11" s="506" t="s">
        <v>270</v>
      </c>
      <c r="I11" s="506" t="s">
        <v>271</v>
      </c>
      <c r="J11" s="504" t="s">
        <v>324</v>
      </c>
      <c r="K11" s="505"/>
    </row>
    <row r="12" spans="5:11" ht="12.75">
      <c r="E12" s="233" t="s">
        <v>266</v>
      </c>
      <c r="F12" s="234" t="s">
        <v>267</v>
      </c>
      <c r="G12" s="507"/>
      <c r="H12" s="507"/>
      <c r="I12" s="507"/>
      <c r="J12" s="233" t="str">
        <f>E12</f>
        <v>Baseline</v>
      </c>
      <c r="K12" s="234" t="str">
        <f>F12</f>
        <v>Year 5</v>
      </c>
    </row>
    <row r="13" spans="2:11" ht="12.75">
      <c r="B13" s="252" t="str">
        <f>'Airside-Passenger'!D27</f>
        <v>Business</v>
      </c>
      <c r="C13" s="253"/>
      <c r="D13" s="254"/>
      <c r="E13" s="235">
        <f>'Mafia Airport'!F46</f>
        <v>443.40000000000055</v>
      </c>
      <c r="F13" s="236">
        <f>'Mafia Airport'!J46</f>
        <v>589.6933386240008</v>
      </c>
      <c r="G13" s="237">
        <f>'Airside-Passenger'!E27</f>
        <v>82</v>
      </c>
      <c r="H13" s="226">
        <f>'Airside-Passenger'!E36</f>
        <v>2</v>
      </c>
      <c r="I13" s="238">
        <f>H13*G13</f>
        <v>164</v>
      </c>
      <c r="J13" s="239">
        <f>I13*E13</f>
        <v>72717.6000000001</v>
      </c>
      <c r="K13" s="240">
        <f>I13*F13</f>
        <v>96709.70753433614</v>
      </c>
    </row>
    <row r="14" spans="2:11" ht="12.75">
      <c r="B14" s="110" t="str">
        <f>'Airside-Passenger'!D28</f>
        <v>Leisure and holiday (tourist)</v>
      </c>
      <c r="C14" s="255"/>
      <c r="D14" s="256"/>
      <c r="E14" s="235">
        <f>'Mafia Airport'!F47</f>
        <v>7221.599999999999</v>
      </c>
      <c r="F14" s="236">
        <f>'Mafia Airport'!J47</f>
        <v>9604.261195776002</v>
      </c>
      <c r="G14" s="237">
        <f>'Airside-Passenger'!E28</f>
        <v>96</v>
      </c>
      <c r="H14" s="226">
        <f>'Airside-Passenger'!E37</f>
        <v>3</v>
      </c>
      <c r="I14" s="238">
        <f aca="true" t="shared" si="0" ref="I14:I19">H14*G14</f>
        <v>288</v>
      </c>
      <c r="J14" s="239">
        <f aca="true" t="shared" si="1" ref="J14:J19">I14*E14</f>
        <v>2079820.7999999998</v>
      </c>
      <c r="K14" s="240">
        <f aca="true" t="shared" si="2" ref="K14:K19">I14*F14</f>
        <v>2766027.2243834883</v>
      </c>
    </row>
    <row r="15" spans="2:11" ht="12.75">
      <c r="B15" s="110" t="str">
        <f>'Airside-Passenger'!D29</f>
        <v>   Package</v>
      </c>
      <c r="C15" s="255"/>
      <c r="D15" s="256"/>
      <c r="E15" s="235">
        <f>'Mafia Airport'!F48</f>
        <v>0</v>
      </c>
      <c r="F15" s="236">
        <f>'Mafia Airport'!J48</f>
        <v>0</v>
      </c>
      <c r="G15" s="237">
        <f>'Airside-Passenger'!E29</f>
        <v>109</v>
      </c>
      <c r="H15" s="226">
        <f>'Airside-Passenger'!E38</f>
        <v>3</v>
      </c>
      <c r="I15" s="238">
        <f t="shared" si="0"/>
        <v>327</v>
      </c>
      <c r="J15" s="239">
        <f t="shared" si="1"/>
        <v>0</v>
      </c>
      <c r="K15" s="240">
        <f t="shared" si="2"/>
        <v>0</v>
      </c>
    </row>
    <row r="16" spans="2:11" ht="12.75">
      <c r="B16" s="110" t="str">
        <f>'Airside-Passenger'!D30</f>
        <v>   Non-package</v>
      </c>
      <c r="C16" s="255"/>
      <c r="D16" s="256"/>
      <c r="E16" s="235">
        <v>0</v>
      </c>
      <c r="F16" s="236">
        <v>0</v>
      </c>
      <c r="G16" s="237">
        <f>'Airside-Passenger'!E30</f>
        <v>96</v>
      </c>
      <c r="H16" s="226">
        <f>'Airside-Passenger'!E39</f>
        <v>3</v>
      </c>
      <c r="I16" s="238">
        <f t="shared" si="0"/>
        <v>288</v>
      </c>
      <c r="J16" s="239">
        <f t="shared" si="1"/>
        <v>0</v>
      </c>
      <c r="K16" s="240">
        <f t="shared" si="2"/>
        <v>0</v>
      </c>
    </row>
    <row r="17" spans="2:11" ht="12.75">
      <c r="B17" s="110" t="str">
        <f>'Airside-Passenger'!D31</f>
        <v>Visiting friends and relatives (VFR)</v>
      </c>
      <c r="C17" s="255"/>
      <c r="D17" s="256"/>
      <c r="E17" s="235">
        <f>'Mafia Airport'!F50</f>
        <v>0</v>
      </c>
      <c r="F17" s="236">
        <f>'Mafia Airport'!J50</f>
        <v>0</v>
      </c>
      <c r="G17" s="237">
        <f>'Airside-Passenger'!E31</f>
        <v>82</v>
      </c>
      <c r="H17" s="226">
        <f>'Airside-Passenger'!E40</f>
        <v>5</v>
      </c>
      <c r="I17" s="238">
        <f t="shared" si="0"/>
        <v>410</v>
      </c>
      <c r="J17" s="239">
        <f t="shared" si="1"/>
        <v>0</v>
      </c>
      <c r="K17" s="240">
        <f t="shared" si="2"/>
        <v>0</v>
      </c>
    </row>
    <row r="18" spans="2:11" ht="12.75">
      <c r="B18" s="110" t="s">
        <v>268</v>
      </c>
      <c r="C18" s="255"/>
      <c r="D18" s="256"/>
      <c r="E18" s="235">
        <f>'Mafia Airport'!F51</f>
        <v>3610.7999999999997</v>
      </c>
      <c r="F18" s="236">
        <f>'Mafia Airport'!J51</f>
        <v>4802.130597888001</v>
      </c>
      <c r="G18" s="237">
        <f>'Airside-Passenger'!E32</f>
        <v>82</v>
      </c>
      <c r="H18" s="226">
        <f>'Airside-Passenger'!E41</f>
        <v>3</v>
      </c>
      <c r="I18" s="238">
        <f t="shared" si="0"/>
        <v>246</v>
      </c>
      <c r="J18" s="239">
        <f t="shared" si="1"/>
        <v>888256.7999999999</v>
      </c>
      <c r="K18" s="240">
        <f t="shared" si="2"/>
        <v>1181324.1270804482</v>
      </c>
    </row>
    <row r="19" spans="2:11" ht="12.75">
      <c r="B19" s="110" t="str">
        <f>'Airside-Passenger'!D41</f>
        <v>Other</v>
      </c>
      <c r="C19" s="255"/>
      <c r="D19" s="256"/>
      <c r="E19" s="235">
        <f>'Mafia Airport'!F52</f>
        <v>760.1999999999994</v>
      </c>
      <c r="F19" s="236">
        <f>'Mafia Airport'!J52</f>
        <v>1011.0168606719993</v>
      </c>
      <c r="G19" s="237">
        <f>'Airside-Passenger'!E32</f>
        <v>82</v>
      </c>
      <c r="H19" s="226">
        <v>3</v>
      </c>
      <c r="I19" s="238">
        <f t="shared" si="0"/>
        <v>246</v>
      </c>
      <c r="J19" s="239">
        <f t="shared" si="1"/>
        <v>187009.19999999984</v>
      </c>
      <c r="K19" s="240">
        <f t="shared" si="2"/>
        <v>248710.14772531184</v>
      </c>
    </row>
    <row r="20" spans="2:12" ht="12.75">
      <c r="B20" s="247" t="s">
        <v>269</v>
      </c>
      <c r="C20" s="257"/>
      <c r="D20" s="258"/>
      <c r="E20" s="241">
        <f>SUM(E13:E19)</f>
        <v>12035.999999999998</v>
      </c>
      <c r="F20" s="242">
        <f>SUM(F13:F19)</f>
        <v>16007.101992960004</v>
      </c>
      <c r="G20" s="243"/>
      <c r="H20" s="243"/>
      <c r="I20" s="243"/>
      <c r="J20" s="244">
        <f>SUM(J13:J19)</f>
        <v>3227804.3999999994</v>
      </c>
      <c r="K20" s="245">
        <f>SUM(K13:K19)</f>
        <v>4292771.206723585</v>
      </c>
      <c r="L20" s="246">
        <f>(K20-J20)/J20</f>
        <v>0.32993536000000045</v>
      </c>
    </row>
    <row r="21" spans="6:7" ht="12.75">
      <c r="F21" s="217"/>
      <c r="G21" s="217"/>
    </row>
  </sheetData>
  <mergeCells count="5">
    <mergeCell ref="E11:F11"/>
    <mergeCell ref="J11:K11"/>
    <mergeCell ref="G11:G12"/>
    <mergeCell ref="H11:H12"/>
    <mergeCell ref="I11:I12"/>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S81"/>
  <sheetViews>
    <sheetView workbookViewId="0" topLeftCell="A28">
      <selection activeCell="F22" sqref="F22"/>
    </sheetView>
  </sheetViews>
  <sheetFormatPr defaultColWidth="9.140625" defaultRowHeight="12.75"/>
  <cols>
    <col min="1" max="1" width="9.140625" style="1" customWidth="1"/>
    <col min="2" max="2" width="21.57421875" style="1" customWidth="1"/>
    <col min="3" max="16" width="10.7109375" style="1" customWidth="1"/>
    <col min="17" max="16384" width="9.140625" style="1" customWidth="1"/>
  </cols>
  <sheetData>
    <row r="2" ht="12.75">
      <c r="B2" s="259" t="s">
        <v>279</v>
      </c>
    </row>
    <row r="4" spans="2:16" ht="14.25">
      <c r="B4" s="262" t="s">
        <v>280</v>
      </c>
      <c r="C4" s="263">
        <v>1992</v>
      </c>
      <c r="D4" s="263">
        <v>1993</v>
      </c>
      <c r="E4" s="263">
        <v>1994</v>
      </c>
      <c r="F4" s="263">
        <v>1995</v>
      </c>
      <c r="G4" s="263">
        <v>1996</v>
      </c>
      <c r="H4" s="263">
        <v>1997</v>
      </c>
      <c r="I4" s="263">
        <v>1998</v>
      </c>
      <c r="J4" s="263">
        <v>1999</v>
      </c>
      <c r="K4" s="263">
        <v>2000</v>
      </c>
      <c r="L4" s="263" t="s">
        <v>281</v>
      </c>
      <c r="M4" s="263" t="s">
        <v>282</v>
      </c>
      <c r="N4" s="263" t="s">
        <v>283</v>
      </c>
      <c r="O4" s="263" t="s">
        <v>284</v>
      </c>
      <c r="P4" s="263" t="s">
        <v>285</v>
      </c>
    </row>
    <row r="5" spans="2:16" ht="12.75">
      <c r="B5" s="265" t="s">
        <v>286</v>
      </c>
      <c r="C5" s="266">
        <v>33142.40208802293</v>
      </c>
      <c r="D5" s="266">
        <v>41150.132743413255</v>
      </c>
      <c r="E5" s="266">
        <v>53219.77943814186</v>
      </c>
      <c r="F5" s="266">
        <v>68290.47277678722</v>
      </c>
      <c r="G5" s="266">
        <v>82447.50372726767</v>
      </c>
      <c r="H5" s="266">
        <v>100763.44879502193</v>
      </c>
      <c r="I5" s="266">
        <v>115375.20741213574</v>
      </c>
      <c r="J5" s="266">
        <v>130243.08303156146</v>
      </c>
      <c r="K5" s="266">
        <v>137277.92546189847</v>
      </c>
      <c r="L5" s="266">
        <v>155503.45668116887</v>
      </c>
      <c r="M5" s="266">
        <v>178873.0303908345</v>
      </c>
      <c r="N5" s="266">
        <v>189676.3879482156</v>
      </c>
      <c r="O5" s="266">
        <v>200791.05448870294</v>
      </c>
      <c r="P5" s="266">
        <v>219882.16914233498</v>
      </c>
    </row>
    <row r="6" spans="2:16" ht="12.75">
      <c r="B6" s="267" t="s">
        <v>0</v>
      </c>
      <c r="C6" s="268">
        <v>61066.1887060728</v>
      </c>
      <c r="D6" s="268">
        <v>73866.799241953</v>
      </c>
      <c r="E6" s="268">
        <v>93523.86759582948</v>
      </c>
      <c r="F6" s="268">
        <v>124224.83497316952</v>
      </c>
      <c r="G6" s="268">
        <v>148622.39336861455</v>
      </c>
      <c r="H6" s="268">
        <v>177342.8597474499</v>
      </c>
      <c r="I6" s="268">
        <v>201165.44321120053</v>
      </c>
      <c r="J6" s="268">
        <v>227088.6629179188</v>
      </c>
      <c r="K6" s="268">
        <v>251521.74892289913</v>
      </c>
      <c r="L6" s="268">
        <v>278677.5065334467</v>
      </c>
      <c r="M6" s="268">
        <v>303989.6906756718</v>
      </c>
      <c r="N6" s="268">
        <v>293511.17762437987</v>
      </c>
      <c r="O6" s="268">
        <v>357349.24622915563</v>
      </c>
      <c r="P6" s="268">
        <v>414764.2377647241</v>
      </c>
    </row>
    <row r="7" spans="2:16" ht="12.75">
      <c r="B7" s="267" t="s">
        <v>4</v>
      </c>
      <c r="C7" s="268">
        <v>39769.05997351283</v>
      </c>
      <c r="D7" s="268">
        <v>47454.71892173593</v>
      </c>
      <c r="E7" s="268">
        <v>59605.61186909979</v>
      </c>
      <c r="F7" s="268">
        <v>74001.23358201522</v>
      </c>
      <c r="G7" s="268">
        <v>86463.96827431164</v>
      </c>
      <c r="H7" s="268">
        <v>101456.70106427305</v>
      </c>
      <c r="I7" s="268">
        <v>116972.79846733098</v>
      </c>
      <c r="J7" s="268">
        <v>132046.52264903684</v>
      </c>
      <c r="K7" s="268">
        <v>139178.69371817415</v>
      </c>
      <c r="L7" s="268">
        <v>152722.2640602126</v>
      </c>
      <c r="M7" s="268">
        <v>255071.36861045094</v>
      </c>
      <c r="N7" s="268">
        <v>306299.1441925497</v>
      </c>
      <c r="O7" s="268">
        <v>377348.84350086725</v>
      </c>
      <c r="P7" s="268">
        <v>445463.00834261655</v>
      </c>
    </row>
    <row r="8" spans="2:16" ht="12.75">
      <c r="B8" s="267" t="s">
        <v>287</v>
      </c>
      <c r="C8" s="268">
        <v>37531.5726220788</v>
      </c>
      <c r="D8" s="268">
        <v>46056.21786322908</v>
      </c>
      <c r="E8" s="268">
        <v>60037.90079993909</v>
      </c>
      <c r="F8" s="268">
        <v>76778.26535031461</v>
      </c>
      <c r="G8" s="268">
        <v>92948.40154764347</v>
      </c>
      <c r="H8" s="268">
        <v>112776.78173629915</v>
      </c>
      <c r="I8" s="268">
        <v>130740.60476046745</v>
      </c>
      <c r="J8" s="268">
        <v>147588.54308942647</v>
      </c>
      <c r="K8" s="268">
        <v>165576.1702019653</v>
      </c>
      <c r="L8" s="268">
        <v>192027.6527389359</v>
      </c>
      <c r="M8" s="268">
        <v>232698.87030298004</v>
      </c>
      <c r="N8" s="268">
        <v>251911.04665679776</v>
      </c>
      <c r="O8" s="268">
        <v>357108.87964586314</v>
      </c>
      <c r="P8" s="268">
        <v>439576.1931898714</v>
      </c>
    </row>
    <row r="9" spans="2:16" ht="12.75">
      <c r="B9" s="267" t="s">
        <v>288</v>
      </c>
      <c r="C9" s="268">
        <v>43008.87163434995</v>
      </c>
      <c r="D9" s="268">
        <v>52372.421843037264</v>
      </c>
      <c r="E9" s="268">
        <v>67241.18365993763</v>
      </c>
      <c r="F9" s="268">
        <v>86596.78950680015</v>
      </c>
      <c r="G9" s="268">
        <v>104777.49740165067</v>
      </c>
      <c r="H9" s="268">
        <v>125739.07904620441</v>
      </c>
      <c r="I9" s="268">
        <v>145819.1922486839</v>
      </c>
      <c r="J9" s="268">
        <v>164610.1607160852</v>
      </c>
      <c r="K9" s="268">
        <v>173501.16584869122</v>
      </c>
      <c r="L9" s="268">
        <v>206303.63405068067</v>
      </c>
      <c r="M9" s="268">
        <v>235189.60552930878</v>
      </c>
      <c r="N9" s="268">
        <v>245087.9182064657</v>
      </c>
      <c r="O9" s="268">
        <v>338355.8730212915</v>
      </c>
      <c r="P9" s="268">
        <v>375467.18346096016</v>
      </c>
    </row>
    <row r="10" spans="2:16" ht="12.75">
      <c r="B10" s="267" t="s">
        <v>289</v>
      </c>
      <c r="C10" s="268">
        <v>40399.42604268315</v>
      </c>
      <c r="D10" s="268">
        <v>50426.29738219444</v>
      </c>
      <c r="E10" s="268">
        <v>66937.64555677032</v>
      </c>
      <c r="F10" s="268">
        <v>84450.99361118916</v>
      </c>
      <c r="G10" s="268">
        <v>101164.15671984403</v>
      </c>
      <c r="H10" s="268">
        <v>124188.3839322635</v>
      </c>
      <c r="I10" s="268">
        <v>142715.54624824223</v>
      </c>
      <c r="J10" s="268">
        <v>161106.5133413763</v>
      </c>
      <c r="K10" s="268">
        <v>169808.20459846535</v>
      </c>
      <c r="L10" s="268">
        <v>181432.419729177</v>
      </c>
      <c r="M10" s="268">
        <v>195765.3186979792</v>
      </c>
      <c r="N10" s="268">
        <v>250842.64579952892</v>
      </c>
      <c r="O10" s="268">
        <v>254602.79574819884</v>
      </c>
      <c r="P10" s="268">
        <v>268943.5985939212</v>
      </c>
    </row>
    <row r="11" spans="2:16" ht="12.75">
      <c r="B11" s="267" t="s">
        <v>290</v>
      </c>
      <c r="C11" s="268">
        <v>142926.28114972456</v>
      </c>
      <c r="D11" s="268">
        <v>171208.49704411623</v>
      </c>
      <c r="E11" s="268">
        <v>226325.6470698045</v>
      </c>
      <c r="F11" s="268">
        <v>267976.13620034116</v>
      </c>
      <c r="G11" s="268">
        <v>311064.92726019444</v>
      </c>
      <c r="H11" s="268">
        <v>371811.2802713896</v>
      </c>
      <c r="I11" s="268">
        <v>435859.4919678025</v>
      </c>
      <c r="J11" s="268">
        <v>492026.6398832559</v>
      </c>
      <c r="K11" s="268">
        <v>518602.30964654905</v>
      </c>
      <c r="L11" s="268">
        <v>556905.1312785977</v>
      </c>
      <c r="M11" s="268">
        <v>589776.2557151702</v>
      </c>
      <c r="N11" s="268">
        <v>616248.8277024187</v>
      </c>
      <c r="O11" s="268">
        <v>637470.8210314775</v>
      </c>
      <c r="P11" s="268">
        <v>700727.2745533006</v>
      </c>
    </row>
    <row r="12" spans="2:16" ht="12.75">
      <c r="B12" s="267" t="s">
        <v>291</v>
      </c>
      <c r="C12" s="268">
        <v>40975.32180834939</v>
      </c>
      <c r="D12" s="268">
        <v>51155.20568087805</v>
      </c>
      <c r="E12" s="268">
        <v>66444.24916433617</v>
      </c>
      <c r="F12" s="268">
        <v>86143.87434409729</v>
      </c>
      <c r="G12" s="268">
        <v>104347.77480943207</v>
      </c>
      <c r="H12" s="268">
        <v>126948.80901977001</v>
      </c>
      <c r="I12" s="268">
        <v>145413.1741038285</v>
      </c>
      <c r="J12" s="268">
        <v>164151.85473031516</v>
      </c>
      <c r="K12" s="268">
        <v>173018.15483760458</v>
      </c>
      <c r="L12" s="268">
        <v>185085.02864309296</v>
      </c>
      <c r="M12" s="268">
        <v>225365.37939561598</v>
      </c>
      <c r="N12" s="268">
        <v>287688.0551632822</v>
      </c>
      <c r="O12" s="268">
        <v>295260.00979867624</v>
      </c>
      <c r="P12" s="268">
        <v>315328.4206638639</v>
      </c>
    </row>
    <row r="13" spans="2:16" ht="12.75">
      <c r="B13" s="267" t="s">
        <v>292</v>
      </c>
      <c r="C13" s="268">
        <v>39778.22736558222</v>
      </c>
      <c r="D13" s="268">
        <v>49878.30277124993</v>
      </c>
      <c r="E13" s="268">
        <v>64744.19160138845</v>
      </c>
      <c r="F13" s="268">
        <v>85083.21090380452</v>
      </c>
      <c r="G13" s="268">
        <v>103892.4741979279</v>
      </c>
      <c r="H13" s="268">
        <v>126872.8429870237</v>
      </c>
      <c r="I13" s="268">
        <v>188853.7025724546</v>
      </c>
      <c r="J13" s="268">
        <v>225981.7692132389</v>
      </c>
      <c r="K13" s="268">
        <v>235057.030235313</v>
      </c>
      <c r="L13" s="268">
        <v>265147.47679866984</v>
      </c>
      <c r="M13" s="268">
        <v>295647.18368048134</v>
      </c>
      <c r="N13" s="268">
        <v>255859.77158605878</v>
      </c>
      <c r="O13" s="268">
        <v>261864.26486774</v>
      </c>
      <c r="P13" s="268">
        <v>278021.5565568976</v>
      </c>
    </row>
    <row r="14" spans="2:16" ht="12.75">
      <c r="B14" s="267" t="s">
        <v>293</v>
      </c>
      <c r="C14" s="268">
        <v>54344.97117842941</v>
      </c>
      <c r="D14" s="268">
        <v>66799.61017131383</v>
      </c>
      <c r="E14" s="268">
        <v>84082.27017271944</v>
      </c>
      <c r="F14" s="268">
        <v>109830.4434651897</v>
      </c>
      <c r="G14" s="268">
        <v>132231.1602529049</v>
      </c>
      <c r="H14" s="268">
        <v>157749.42294547963</v>
      </c>
      <c r="I14" s="268">
        <v>180359.87839920883</v>
      </c>
      <c r="J14" s="268">
        <v>203601.99206442904</v>
      </c>
      <c r="K14" s="268">
        <v>214305.8961919745</v>
      </c>
      <c r="L14" s="268">
        <v>207622.0505261731</v>
      </c>
      <c r="M14" s="268">
        <v>245065.99678497936</v>
      </c>
      <c r="N14" s="268">
        <v>330901.0404171836</v>
      </c>
      <c r="O14" s="268">
        <v>373488.55443054246</v>
      </c>
      <c r="P14" s="268">
        <v>447187.7606423354</v>
      </c>
    </row>
    <row r="15" spans="2:16" ht="12.75">
      <c r="B15" s="267" t="s">
        <v>294</v>
      </c>
      <c r="C15" s="268">
        <v>53964.0374269625</v>
      </c>
      <c r="D15" s="268">
        <v>65800.87402001143</v>
      </c>
      <c r="E15" s="268">
        <v>83448.38198498038</v>
      </c>
      <c r="F15" s="268">
        <v>108807.27028210784</v>
      </c>
      <c r="G15" s="268">
        <v>132082.80693910018</v>
      </c>
      <c r="H15" s="268">
        <v>157894.5609307307</v>
      </c>
      <c r="I15" s="268">
        <v>182412.35819999696</v>
      </c>
      <c r="J15" s="268">
        <v>205918.90547855117</v>
      </c>
      <c r="K15" s="268">
        <v>217041.06938499358</v>
      </c>
      <c r="L15" s="268">
        <v>248491.0932440735</v>
      </c>
      <c r="M15" s="268">
        <v>325072.29927558755</v>
      </c>
      <c r="N15" s="268">
        <v>359186.5502913254</v>
      </c>
      <c r="O15" s="268">
        <v>395997.9431485908</v>
      </c>
      <c r="P15" s="268">
        <v>456936.69439661404</v>
      </c>
    </row>
    <row r="16" spans="2:16" ht="12.75">
      <c r="B16" s="267" t="s">
        <v>295</v>
      </c>
      <c r="C16" s="268">
        <v>44420.00320098356</v>
      </c>
      <c r="D16" s="268">
        <v>54481.603789165434</v>
      </c>
      <c r="E16" s="268">
        <v>68609.87164246105</v>
      </c>
      <c r="F16" s="268">
        <v>89725.97950741483</v>
      </c>
      <c r="G16" s="268">
        <v>108404.66561694312</v>
      </c>
      <c r="H16" s="268">
        <v>129449.29904535193</v>
      </c>
      <c r="I16" s="268">
        <v>148381.40828229667</v>
      </c>
      <c r="J16" s="268">
        <v>167502.62755941803</v>
      </c>
      <c r="K16" s="268">
        <v>176549.94829730107</v>
      </c>
      <c r="L16" s="268">
        <v>202534.92853742576</v>
      </c>
      <c r="M16" s="268">
        <v>242276.1655984598</v>
      </c>
      <c r="N16" s="268">
        <v>276041.7039361454</v>
      </c>
      <c r="O16" s="268">
        <v>355412.6717871928</v>
      </c>
      <c r="P16" s="268">
        <v>422115.67678894324</v>
      </c>
    </row>
    <row r="17" spans="2:16" ht="12.75">
      <c r="B17" s="267" t="s">
        <v>296</v>
      </c>
      <c r="C17" s="268">
        <v>44275.060631236476</v>
      </c>
      <c r="D17" s="268">
        <v>54850.19609040228</v>
      </c>
      <c r="E17" s="268">
        <v>70246.7159241327</v>
      </c>
      <c r="F17" s="268">
        <v>90896.3135087493</v>
      </c>
      <c r="G17" s="268">
        <v>110091.58375834259</v>
      </c>
      <c r="H17" s="268">
        <v>133565.37203124445</v>
      </c>
      <c r="I17" s="268">
        <v>152845.42957656638</v>
      </c>
      <c r="J17" s="268">
        <v>172541.87397071952</v>
      </c>
      <c r="K17" s="268">
        <v>181861.24188810153</v>
      </c>
      <c r="L17" s="268">
        <v>183942.24478652497</v>
      </c>
      <c r="M17" s="268">
        <v>206394.35177701968</v>
      </c>
      <c r="N17" s="268">
        <v>206031.43771297898</v>
      </c>
      <c r="O17" s="268">
        <v>209632.15157061996</v>
      </c>
      <c r="P17" s="268">
        <v>208247.33647047312</v>
      </c>
    </row>
    <row r="18" spans="2:16" ht="12.75">
      <c r="B18" s="267" t="s">
        <v>297</v>
      </c>
      <c r="C18" s="268">
        <v>43202.24320644717</v>
      </c>
      <c r="D18" s="268">
        <v>53571.609938775364</v>
      </c>
      <c r="E18" s="268">
        <v>68713.68163619336</v>
      </c>
      <c r="F18" s="268">
        <v>89090.78138218341</v>
      </c>
      <c r="G18" s="268">
        <v>107945.56863880195</v>
      </c>
      <c r="H18" s="268">
        <v>130943.30084603236</v>
      </c>
      <c r="I18" s="268">
        <v>149895.83344576106</v>
      </c>
      <c r="J18" s="268">
        <v>169212.19781062298</v>
      </c>
      <c r="K18" s="268">
        <v>178351.82830476272</v>
      </c>
      <c r="L18" s="268">
        <v>184363.04869642248</v>
      </c>
      <c r="M18" s="268">
        <v>172648.5640158334</v>
      </c>
      <c r="N18" s="268">
        <v>205886.82033741602</v>
      </c>
      <c r="O18" s="268">
        <v>244843.19139835506</v>
      </c>
      <c r="P18" s="268">
        <v>296991.69603259774</v>
      </c>
    </row>
    <row r="19" spans="2:16" ht="12.75">
      <c r="B19" s="267" t="s">
        <v>298</v>
      </c>
      <c r="C19" s="268">
        <v>59045.71530289177</v>
      </c>
      <c r="D19" s="268">
        <v>71769.48377827242</v>
      </c>
      <c r="E19" s="268">
        <v>88254.72267611868</v>
      </c>
      <c r="F19" s="268">
        <v>116057.64466574838</v>
      </c>
      <c r="G19" s="268">
        <v>139266.10030321238</v>
      </c>
      <c r="H19" s="268">
        <v>163745.3064462243</v>
      </c>
      <c r="I19" s="268">
        <v>187015.70722170625</v>
      </c>
      <c r="J19" s="268">
        <v>211115.47084849092</v>
      </c>
      <c r="K19" s="268">
        <v>222518.40554209537</v>
      </c>
      <c r="L19" s="268">
        <v>221803.77197621486</v>
      </c>
      <c r="M19" s="268">
        <v>245973.04755787054</v>
      </c>
      <c r="N19" s="268">
        <v>298018.5664237687</v>
      </c>
      <c r="O19" s="268">
        <v>323191.3512499079</v>
      </c>
      <c r="P19" s="268">
        <v>357790.71379979426</v>
      </c>
    </row>
    <row r="20" spans="2:16" ht="12.75">
      <c r="B20" s="267" t="s">
        <v>2</v>
      </c>
      <c r="C20" s="268">
        <v>32977.609832068316</v>
      </c>
      <c r="D20" s="268">
        <v>40961.577501112275</v>
      </c>
      <c r="E20" s="268">
        <v>52986.07434560298</v>
      </c>
      <c r="F20" s="268">
        <v>68063.02481158535</v>
      </c>
      <c r="G20" s="268">
        <v>81602.42891750677</v>
      </c>
      <c r="H20" s="268">
        <v>98961.04143012554</v>
      </c>
      <c r="I20" s="268">
        <v>113172.56157313044</v>
      </c>
      <c r="J20" s="268">
        <v>127756.54550774934</v>
      </c>
      <c r="K20" s="268">
        <v>134657.0462315923</v>
      </c>
      <c r="L20" s="268">
        <v>155279.10015027726</v>
      </c>
      <c r="M20" s="268">
        <v>126816.98021920612</v>
      </c>
      <c r="N20" s="268">
        <v>205044.5229384381</v>
      </c>
      <c r="O20" s="268">
        <v>207169.17120995748</v>
      </c>
      <c r="P20" s="268">
        <v>220222.5410450791</v>
      </c>
    </row>
    <row r="21" spans="2:16" ht="12.75">
      <c r="B21" s="267" t="s">
        <v>299</v>
      </c>
      <c r="C21" s="268">
        <v>50292.40396273775</v>
      </c>
      <c r="D21" s="268">
        <v>61824.498416455666</v>
      </c>
      <c r="E21" s="268">
        <v>77377.40646293083</v>
      </c>
      <c r="F21" s="268">
        <v>102001.09056069503</v>
      </c>
      <c r="G21" s="268">
        <v>123896.72586319086</v>
      </c>
      <c r="H21" s="268">
        <v>148404.14179580702</v>
      </c>
      <c r="I21" s="268">
        <v>169692.04011533954</v>
      </c>
      <c r="J21" s="268">
        <v>191559.4505841717</v>
      </c>
      <c r="K21" s="268">
        <v>210306.1479487723</v>
      </c>
      <c r="L21" s="268">
        <v>230873.37742379034</v>
      </c>
      <c r="M21" s="268">
        <v>241504.25362773592</v>
      </c>
      <c r="N21" s="268">
        <v>232163.7720094986</v>
      </c>
      <c r="O21" s="268">
        <v>234031.31966252843</v>
      </c>
      <c r="P21" s="268">
        <v>243349.52803493483</v>
      </c>
    </row>
    <row r="22" spans="2:16" ht="12.75">
      <c r="B22" s="267" t="s">
        <v>300</v>
      </c>
      <c r="C22" s="268">
        <v>32024.290965167136</v>
      </c>
      <c r="D22" s="268">
        <v>39621.11956630222</v>
      </c>
      <c r="E22" s="268">
        <v>50897.9204993004</v>
      </c>
      <c r="F22" s="268">
        <v>65606.92979308349</v>
      </c>
      <c r="G22" s="268">
        <v>79074.41271518827</v>
      </c>
      <c r="H22" s="268">
        <v>95623.26683305437</v>
      </c>
      <c r="I22" s="268">
        <v>109536.45367776607</v>
      </c>
      <c r="J22" s="268">
        <v>123651.88782682415</v>
      </c>
      <c r="K22" s="268">
        <v>140149.63102963008</v>
      </c>
      <c r="L22" s="268">
        <v>150536.3161949294</v>
      </c>
      <c r="M22" s="268">
        <v>161095.03658189392</v>
      </c>
      <c r="N22" s="268">
        <v>224862.35588006684</v>
      </c>
      <c r="O22" s="268">
        <v>227663.69890836606</v>
      </c>
      <c r="P22" s="268">
        <v>238632.73157104582</v>
      </c>
    </row>
    <row r="23" spans="2:19" ht="12.75">
      <c r="B23" s="267" t="s">
        <v>301</v>
      </c>
      <c r="C23" s="268">
        <v>44979.79025375673</v>
      </c>
      <c r="D23" s="268">
        <v>55401.70267250939</v>
      </c>
      <c r="E23" s="268">
        <v>69976.39923193367</v>
      </c>
      <c r="F23" s="268">
        <v>91955.7301399515</v>
      </c>
      <c r="G23" s="268">
        <v>111772.34545009014</v>
      </c>
      <c r="H23" s="268">
        <v>134335.2718383321</v>
      </c>
      <c r="I23" s="268">
        <v>153934.02198237999</v>
      </c>
      <c r="J23" s="268">
        <v>173770.76466768328</v>
      </c>
      <c r="K23" s="268">
        <v>224468.08010656908</v>
      </c>
      <c r="L23" s="268">
        <v>277634.75941539713</v>
      </c>
      <c r="M23" s="268">
        <v>287966.7069637053</v>
      </c>
      <c r="N23" s="268">
        <v>277317.3658663151</v>
      </c>
      <c r="O23" s="268">
        <v>310793.00460567954</v>
      </c>
      <c r="P23" s="268">
        <v>344785.5728013049</v>
      </c>
      <c r="S23" s="1">
        <f>P10/P36</f>
        <v>1.0591593452276926</v>
      </c>
    </row>
    <row r="24" spans="2:16" ht="12.75">
      <c r="B24" s="267" t="s">
        <v>302</v>
      </c>
      <c r="C24" s="268">
        <v>40211.460996059024</v>
      </c>
      <c r="D24" s="268">
        <v>49615.312810747666</v>
      </c>
      <c r="E24" s="268">
        <v>64171.08569309308</v>
      </c>
      <c r="F24" s="268">
        <v>81475.68212897085</v>
      </c>
      <c r="G24" s="268">
        <v>97686.16251646259</v>
      </c>
      <c r="H24" s="268">
        <v>118591.23749006416</v>
      </c>
      <c r="I24" s="268">
        <v>136055.3795744528</v>
      </c>
      <c r="J24" s="268">
        <v>153588.15401934332</v>
      </c>
      <c r="K24" s="268">
        <v>183194.07549893772</v>
      </c>
      <c r="L24" s="268">
        <v>183289.98431484879</v>
      </c>
      <c r="M24" s="268">
        <v>211156.61528745212</v>
      </c>
      <c r="N24" s="268">
        <v>317819.36751098535</v>
      </c>
      <c r="O24" s="268">
        <v>330949.3012745508</v>
      </c>
      <c r="P24" s="268">
        <v>359291.74655806174</v>
      </c>
    </row>
    <row r="25" spans="2:16" ht="12.75">
      <c r="B25" s="267" t="s">
        <v>303</v>
      </c>
      <c r="C25" s="268"/>
      <c r="D25" s="268"/>
      <c r="E25" s="268"/>
      <c r="F25" s="268"/>
      <c r="G25" s="268"/>
      <c r="H25" s="268"/>
      <c r="I25" s="268"/>
      <c r="J25" s="268"/>
      <c r="K25" s="268"/>
      <c r="L25" s="268"/>
      <c r="M25" s="268">
        <v>266283.38502313517</v>
      </c>
      <c r="N25" s="268">
        <v>258314.00652052794</v>
      </c>
      <c r="O25" s="268">
        <v>315126.3935578615</v>
      </c>
      <c r="P25" s="268">
        <v>384151.00161765615</v>
      </c>
    </row>
    <row r="26" spans="2:16" ht="12.75">
      <c r="B26" s="269" t="s">
        <v>304</v>
      </c>
      <c r="C26" s="270">
        <v>50513.87533076809</v>
      </c>
      <c r="D26" s="270">
        <v>61894.224790992674</v>
      </c>
      <c r="E26" s="270">
        <v>79559.76857047944</v>
      </c>
      <c r="F26" s="270">
        <v>101799.24181906298</v>
      </c>
      <c r="G26" s="270">
        <v>122204.96756747061</v>
      </c>
      <c r="H26" s="270">
        <v>147026.2922816485</v>
      </c>
      <c r="I26" s="270">
        <v>170719.79786746023</v>
      </c>
      <c r="J26" s="270">
        <v>193169.20686338277</v>
      </c>
      <c r="K26" s="270">
        <v>210232.36966956663</v>
      </c>
      <c r="L26" s="270">
        <v>231865.8658215499</v>
      </c>
      <c r="M26" s="270">
        <v>259043.89031305964</v>
      </c>
      <c r="N26" s="270">
        <v>286611.6364513773</v>
      </c>
      <c r="O26" s="270">
        <v>321300.1818724684</v>
      </c>
      <c r="P26" s="270">
        <v>360891.90742227336</v>
      </c>
    </row>
    <row r="28" spans="1:15" ht="12.75">
      <c r="A28" s="3"/>
      <c r="B28" s="508" t="s">
        <v>305</v>
      </c>
      <c r="C28" s="508"/>
      <c r="D28" s="508"/>
      <c r="E28" s="508"/>
      <c r="F28" s="508"/>
      <c r="G28" s="508"/>
      <c r="H28" s="508"/>
      <c r="I28" s="508"/>
      <c r="J28" s="508"/>
      <c r="K28" s="508"/>
      <c r="L28" s="508"/>
      <c r="M28" s="508"/>
      <c r="N28" s="3"/>
      <c r="O28" s="3"/>
    </row>
    <row r="29" spans="14:16" ht="12.75">
      <c r="N29" s="260"/>
      <c r="O29" s="260"/>
      <c r="P29" s="260"/>
    </row>
    <row r="30" spans="2:16" ht="14.25">
      <c r="B30" s="264" t="s">
        <v>280</v>
      </c>
      <c r="C30" s="263">
        <v>1992</v>
      </c>
      <c r="D30" s="263">
        <v>1993</v>
      </c>
      <c r="E30" s="263">
        <v>1994</v>
      </c>
      <c r="F30" s="263">
        <v>1995</v>
      </c>
      <c r="G30" s="263">
        <v>1996</v>
      </c>
      <c r="H30" s="263">
        <v>1997</v>
      </c>
      <c r="I30" s="263">
        <v>1998</v>
      </c>
      <c r="J30" s="263">
        <v>1999</v>
      </c>
      <c r="K30" s="263">
        <v>2000</v>
      </c>
      <c r="L30" s="263" t="s">
        <v>281</v>
      </c>
      <c r="M30" s="263" t="s">
        <v>282</v>
      </c>
      <c r="N30" s="263" t="s">
        <v>283</v>
      </c>
      <c r="O30" s="263" t="s">
        <v>284</v>
      </c>
      <c r="P30" s="263" t="s">
        <v>285</v>
      </c>
    </row>
    <row r="31" spans="2:16" ht="12.75">
      <c r="B31" s="271" t="s">
        <v>286</v>
      </c>
      <c r="C31" s="272">
        <v>44724.57791851804</v>
      </c>
      <c r="D31" s="273">
        <v>56762.986907857165</v>
      </c>
      <c r="E31" s="273">
        <v>75034.1412716007</v>
      </c>
      <c r="F31" s="273">
        <v>98400.6300002188</v>
      </c>
      <c r="G31" s="273">
        <v>121402.13539331965</v>
      </c>
      <c r="H31" s="273">
        <v>151607.87894939963</v>
      </c>
      <c r="I31" s="273">
        <v>178946.71594580772</v>
      </c>
      <c r="J31" s="273">
        <v>208237.19965876656</v>
      </c>
      <c r="K31" s="273">
        <v>226254.20101625155</v>
      </c>
      <c r="L31" s="273">
        <v>264197.418335629</v>
      </c>
      <c r="M31" s="273">
        <v>303904.5631419062</v>
      </c>
      <c r="N31" s="273">
        <v>324952.82912733115</v>
      </c>
      <c r="O31" s="273">
        <v>351997.9628177476</v>
      </c>
      <c r="P31" s="266">
        <v>392725.6054865577</v>
      </c>
    </row>
    <row r="32" spans="2:16" ht="12.75">
      <c r="B32" s="271" t="s">
        <v>0</v>
      </c>
      <c r="C32" s="274">
        <v>94782.11388065842</v>
      </c>
      <c r="D32" s="275">
        <v>118727.80535797363</v>
      </c>
      <c r="E32" s="275">
        <v>155655.13969897246</v>
      </c>
      <c r="F32" s="275">
        <v>214065.60209895042</v>
      </c>
      <c r="G32" s="275">
        <v>265142.7956367885</v>
      </c>
      <c r="H32" s="275">
        <v>328305.43707888736</v>
      </c>
      <c r="I32" s="275">
        <v>383893.0677248785</v>
      </c>
      <c r="J32" s="275">
        <v>446729.7260467815</v>
      </c>
      <c r="K32" s="275">
        <v>510055.4211622708</v>
      </c>
      <c r="L32" s="275">
        <v>582554.1479176738</v>
      </c>
      <c r="M32" s="275">
        <v>393050.46232199535</v>
      </c>
      <c r="N32" s="275">
        <v>388566.5335651011</v>
      </c>
      <c r="O32" s="275">
        <v>492385.8087912139</v>
      </c>
      <c r="P32" s="268">
        <v>592243.5141612006</v>
      </c>
    </row>
    <row r="33" spans="2:16" ht="12.75">
      <c r="B33" s="271" t="s">
        <v>4</v>
      </c>
      <c r="C33" s="274">
        <v>54628.45108013611</v>
      </c>
      <c r="D33" s="275">
        <v>68798.99730779215</v>
      </c>
      <c r="E33" s="275">
        <v>91196.70537094641</v>
      </c>
      <c r="F33" s="275">
        <v>119475.87963296658</v>
      </c>
      <c r="G33" s="275">
        <v>147293.9638743381</v>
      </c>
      <c r="H33" s="275">
        <v>182789.36401574645</v>
      </c>
      <c r="I33" s="275">
        <v>217243.86985110104</v>
      </c>
      <c r="J33" s="275">
        <v>252802.93556505837</v>
      </c>
      <c r="K33" s="275">
        <v>274675.83263011515</v>
      </c>
      <c r="L33" s="275">
        <v>310700.9230048496</v>
      </c>
      <c r="M33" s="275">
        <v>352291.5656849557</v>
      </c>
      <c r="N33" s="275">
        <v>427373.6825072691</v>
      </c>
      <c r="O33" s="275">
        <v>534999.9074317205</v>
      </c>
      <c r="P33" s="268">
        <v>639616.7241397209</v>
      </c>
    </row>
    <row r="34" spans="2:16" ht="12.75">
      <c r="B34" s="271" t="s">
        <v>287</v>
      </c>
      <c r="C34" s="274">
        <v>52976.03994550001</v>
      </c>
      <c r="D34" s="275">
        <v>66252.09967734435</v>
      </c>
      <c r="E34" s="275">
        <v>88008.77828992032</v>
      </c>
      <c r="F34" s="275">
        <v>114680.00959702813</v>
      </c>
      <c r="G34" s="275">
        <v>141448.87747520383</v>
      </c>
      <c r="H34" s="275">
        <v>175265.94538925556</v>
      </c>
      <c r="I34" s="275">
        <v>209450.2403038069</v>
      </c>
      <c r="J34" s="275">
        <v>243733.62359960246</v>
      </c>
      <c r="K34" s="275">
        <v>281872.73274757067</v>
      </c>
      <c r="L34" s="275">
        <v>336985.8712938093</v>
      </c>
      <c r="M34" s="275">
        <v>382095.03552054777</v>
      </c>
      <c r="N34" s="275">
        <v>418455.7373777732</v>
      </c>
      <c r="O34" s="275">
        <v>603976.8197095298</v>
      </c>
      <c r="P34" s="268">
        <v>754431.8726621738</v>
      </c>
    </row>
    <row r="35" spans="2:16" ht="12.75">
      <c r="B35" s="271" t="s">
        <v>288</v>
      </c>
      <c r="C35" s="274">
        <v>59409.96076113622</v>
      </c>
      <c r="D35" s="275">
        <v>74097.60224438783</v>
      </c>
      <c r="E35" s="275">
        <v>97431.06305839276</v>
      </c>
      <c r="F35" s="275">
        <v>128494.48118992773</v>
      </c>
      <c r="G35" s="275">
        <v>159195.3671171564</v>
      </c>
      <c r="H35" s="275">
        <v>196075.88525662353</v>
      </c>
      <c r="I35" s="275">
        <v>234401.8726134911</v>
      </c>
      <c r="J35" s="275">
        <v>272769.4067466783</v>
      </c>
      <c r="K35" s="275">
        <v>296369.8334700906</v>
      </c>
      <c r="L35" s="275">
        <v>363271.1981435794</v>
      </c>
      <c r="M35" s="275">
        <v>413888.7845169274</v>
      </c>
      <c r="N35" s="275">
        <v>439141.66938063543</v>
      </c>
      <c r="O35" s="275">
        <v>622225.9614540914</v>
      </c>
      <c r="P35" s="268">
        <v>706296.1998817971</v>
      </c>
    </row>
    <row r="36" spans="2:16" ht="12.75">
      <c r="B36" s="271" t="s">
        <v>289</v>
      </c>
      <c r="C36" s="274">
        <v>27762.88957079229</v>
      </c>
      <c r="D36" s="275">
        <v>35316.309503106786</v>
      </c>
      <c r="E36" s="275">
        <v>47772.460506829186</v>
      </c>
      <c r="F36" s="275">
        <v>61413.1003580312</v>
      </c>
      <c r="G36" s="275">
        <v>74953.3330269862</v>
      </c>
      <c r="H36" s="275">
        <v>93964.78112305247</v>
      </c>
      <c r="I36" s="275">
        <v>111313.55917614899</v>
      </c>
      <c r="J36" s="275">
        <v>129533.66438930007</v>
      </c>
      <c r="K36" s="275">
        <v>140741.11536811845</v>
      </c>
      <c r="L36" s="275">
        <v>155013.50079515236</v>
      </c>
      <c r="M36" s="275">
        <v>174065.516181583</v>
      </c>
      <c r="N36" s="275">
        <v>226487.83163356106</v>
      </c>
      <c r="O36" s="275">
        <v>235466.84961976422</v>
      </c>
      <c r="P36" s="268">
        <v>253921.7538944578</v>
      </c>
    </row>
    <row r="37" spans="2:16" ht="12.75">
      <c r="B37" s="271" t="s">
        <v>306</v>
      </c>
      <c r="C37" s="274">
        <v>232459.59145034652</v>
      </c>
      <c r="D37" s="275">
        <v>291260.2375884446</v>
      </c>
      <c r="E37" s="275">
        <v>402689.68122330256</v>
      </c>
      <c r="F37" s="275">
        <v>498624.2685325196</v>
      </c>
      <c r="G37" s="275">
        <v>605240.5842947967</v>
      </c>
      <c r="H37" s="275">
        <v>758248.5008748148</v>
      </c>
      <c r="I37" s="275">
        <v>916279.5149564253</v>
      </c>
      <c r="J37" s="275">
        <v>1066258.6306250067</v>
      </c>
      <c r="K37" s="275">
        <v>1158512.959951761</v>
      </c>
      <c r="L37" s="275">
        <v>1282448.9329801928</v>
      </c>
      <c r="M37" s="275">
        <v>1473225.7002011524</v>
      </c>
      <c r="N37" s="275">
        <v>1588174.293796876</v>
      </c>
      <c r="O37" s="275">
        <v>1715050.859432266</v>
      </c>
      <c r="P37" s="268">
        <v>1961504.5167478556</v>
      </c>
    </row>
    <row r="38" spans="2:16" ht="12.75">
      <c r="B38" s="271" t="s">
        <v>291</v>
      </c>
      <c r="C38" s="274">
        <v>28421.42563867273</v>
      </c>
      <c r="D38" s="275">
        <v>36124.98776854518</v>
      </c>
      <c r="E38" s="275">
        <v>47767.23583398542</v>
      </c>
      <c r="F38" s="275">
        <v>63039.39809401564</v>
      </c>
      <c r="G38" s="275">
        <v>77722.08354573295</v>
      </c>
      <c r="H38" s="275">
        <v>96466.36879317892</v>
      </c>
      <c r="I38" s="275">
        <v>113905.19295218505</v>
      </c>
      <c r="J38" s="275">
        <v>132549.5038094896</v>
      </c>
      <c r="K38" s="275">
        <v>144017.88983265433</v>
      </c>
      <c r="L38" s="275">
        <v>158813.8745924637</v>
      </c>
      <c r="M38" s="275">
        <v>178332.9769080273</v>
      </c>
      <c r="N38" s="275">
        <v>229264.36492072287</v>
      </c>
      <c r="O38" s="275">
        <v>238615.85321884917</v>
      </c>
      <c r="P38" s="268">
        <v>257564.983924554</v>
      </c>
    </row>
    <row r="39" spans="2:16" ht="12.75">
      <c r="B39" s="271" t="s">
        <v>292</v>
      </c>
      <c r="C39" s="274">
        <v>37058.4308476879</v>
      </c>
      <c r="D39" s="275">
        <v>47026.46093200095</v>
      </c>
      <c r="E39" s="275">
        <v>61770.361392753475</v>
      </c>
      <c r="F39" s="275">
        <v>82135.75831167492</v>
      </c>
      <c r="G39" s="275">
        <v>101470.63673190001</v>
      </c>
      <c r="H39" s="275">
        <v>125662.3491920845</v>
      </c>
      <c r="I39" s="275">
        <v>192821.14115609674</v>
      </c>
      <c r="J39" s="275">
        <v>237845.58611516474</v>
      </c>
      <c r="K39" s="275">
        <v>255027.7105811354</v>
      </c>
      <c r="L39" s="275">
        <v>296547.5667385523</v>
      </c>
      <c r="M39" s="275">
        <v>333644.6466686478</v>
      </c>
      <c r="N39" s="275">
        <v>291833.91133083025</v>
      </c>
      <c r="O39" s="275">
        <v>303803.65993616264</v>
      </c>
      <c r="P39" s="268">
        <v>326984.48892524594</v>
      </c>
    </row>
    <row r="40" spans="2:16" ht="12.75">
      <c r="B40" s="271" t="s">
        <v>293</v>
      </c>
      <c r="C40" s="274">
        <v>48106.87497177103</v>
      </c>
      <c r="D40" s="275">
        <v>60990.4488723757</v>
      </c>
      <c r="E40" s="275">
        <v>79175.9015436009</v>
      </c>
      <c r="F40" s="275">
        <v>106652.71924441138</v>
      </c>
      <c r="G40" s="275">
        <v>132404.3830728362</v>
      </c>
      <c r="H40" s="275">
        <v>163255.6665533916</v>
      </c>
      <c r="I40" s="275">
        <v>192412.42727323595</v>
      </c>
      <c r="J40" s="275">
        <v>223907.01513102246</v>
      </c>
      <c r="K40" s="275">
        <v>242947.4506062395</v>
      </c>
      <c r="L40" s="275">
        <v>242629.8273315427</v>
      </c>
      <c r="M40" s="275">
        <v>273779.39936428826</v>
      </c>
      <c r="N40" s="275">
        <v>376291.3979332895</v>
      </c>
      <c r="O40" s="275">
        <v>435908.2025783013</v>
      </c>
      <c r="P40" s="268">
        <v>533351.8983629006</v>
      </c>
    </row>
    <row r="41" spans="2:16" ht="12.75">
      <c r="B41" s="271" t="s">
        <v>294</v>
      </c>
      <c r="C41" s="274">
        <v>71974.96663051065</v>
      </c>
      <c r="D41" s="275">
        <v>89979.40517866463</v>
      </c>
      <c r="E41" s="275">
        <v>116983.44945975649</v>
      </c>
      <c r="F41" s="275">
        <v>156357.57069717292</v>
      </c>
      <c r="G41" s="275">
        <v>194545.55883744228</v>
      </c>
      <c r="H41" s="275">
        <v>238928.73380791748</v>
      </c>
      <c r="I41" s="275">
        <v>284543.03102023504</v>
      </c>
      <c r="J41" s="275">
        <v>331117.80592841574</v>
      </c>
      <c r="K41" s="275">
        <v>359766.62548935716</v>
      </c>
      <c r="L41" s="275">
        <v>424602.1978301998</v>
      </c>
      <c r="M41" s="275">
        <v>486091.3364926622</v>
      </c>
      <c r="N41" s="275">
        <v>542736.6244749973</v>
      </c>
      <c r="O41" s="275">
        <v>607402.2370943524</v>
      </c>
      <c r="P41" s="268">
        <v>709801.8055821451</v>
      </c>
    </row>
    <row r="42" spans="2:16" ht="12.75">
      <c r="B42" s="271" t="s">
        <v>295</v>
      </c>
      <c r="C42" s="274">
        <v>73511.24075734931</v>
      </c>
      <c r="D42" s="275">
        <v>92810.4472053153</v>
      </c>
      <c r="E42" s="275">
        <v>120300.00005891806</v>
      </c>
      <c r="F42" s="275">
        <v>161915.73412794148</v>
      </c>
      <c r="G42" s="275">
        <v>201312.1254512849</v>
      </c>
      <c r="H42" s="275">
        <v>247961.81516225924</v>
      </c>
      <c r="I42" s="275">
        <v>292992.89012436505</v>
      </c>
      <c r="J42" s="275">
        <v>340950.7608840576</v>
      </c>
      <c r="K42" s="275">
        <v>370450.34276351944</v>
      </c>
      <c r="L42" s="275">
        <v>438081.6326819522</v>
      </c>
      <c r="M42" s="275">
        <v>501522.80749242933</v>
      </c>
      <c r="N42" s="275">
        <v>581085.7294963419</v>
      </c>
      <c r="O42" s="275">
        <v>766340.0920822016</v>
      </c>
      <c r="P42" s="268">
        <v>929163.5604418826</v>
      </c>
    </row>
    <row r="43" spans="2:16" ht="12.75">
      <c r="B43" s="271" t="s">
        <v>296</v>
      </c>
      <c r="C43" s="274">
        <v>38369.83014448468</v>
      </c>
      <c r="D43" s="275">
        <v>48637.86288120332</v>
      </c>
      <c r="E43" s="275">
        <v>63730.700801726074</v>
      </c>
      <c r="F43" s="275">
        <v>84363.59545687548</v>
      </c>
      <c r="G43" s="275">
        <v>104522.1606275918</v>
      </c>
      <c r="H43" s="275">
        <v>130018.54357695473</v>
      </c>
      <c r="I43" s="275">
        <v>153375.6503717675</v>
      </c>
      <c r="J43" s="275">
        <v>178480.5927309177</v>
      </c>
      <c r="K43" s="275">
        <v>193923.00689508798</v>
      </c>
      <c r="L43" s="275">
        <v>202191.52277628568</v>
      </c>
      <c r="M43" s="275">
        <v>225126.29035559844</v>
      </c>
      <c r="N43" s="275">
        <v>227113.81060839727</v>
      </c>
      <c r="O43" s="275">
        <v>236459.4069035669</v>
      </c>
      <c r="P43" s="268">
        <v>239560.86371352873</v>
      </c>
    </row>
    <row r="44" spans="2:16" ht="12.75">
      <c r="B44" s="271" t="s">
        <v>297</v>
      </c>
      <c r="C44" s="274">
        <v>48804.407689756794</v>
      </c>
      <c r="D44" s="275">
        <v>61861.3344323114</v>
      </c>
      <c r="E44" s="275">
        <v>81099.80374688866</v>
      </c>
      <c r="F44" s="275">
        <v>107463.52777272419</v>
      </c>
      <c r="G44" s="275">
        <v>133058.9972370506</v>
      </c>
      <c r="H44" s="275">
        <v>165327.70221519202</v>
      </c>
      <c r="I44" s="275">
        <v>195094.2238963283</v>
      </c>
      <c r="J44" s="275">
        <v>227027.77549756758</v>
      </c>
      <c r="K44" s="275">
        <v>246670.56624787187</v>
      </c>
      <c r="L44" s="275">
        <v>262848.9796091713</v>
      </c>
      <c r="M44" s="275">
        <v>296594.3493113123</v>
      </c>
      <c r="N44" s="275">
        <v>362826.5197814554</v>
      </c>
      <c r="O44" s="275">
        <v>447293.98779480753</v>
      </c>
      <c r="P44" s="268">
        <v>560573.9052034004</v>
      </c>
    </row>
    <row r="45" spans="2:16" ht="12.75">
      <c r="B45" s="271" t="s">
        <v>298</v>
      </c>
      <c r="C45" s="274">
        <v>48072.48243385645</v>
      </c>
      <c r="D45" s="275">
        <v>60813.08261519756</v>
      </c>
      <c r="E45" s="275">
        <v>77822.30841802004</v>
      </c>
      <c r="F45" s="275">
        <v>106490.08455479342</v>
      </c>
      <c r="G45" s="275">
        <v>132956.37109677473</v>
      </c>
      <c r="H45" s="275">
        <v>163032.03189134455</v>
      </c>
      <c r="I45" s="275">
        <v>191944.13215411987</v>
      </c>
      <c r="J45" s="275">
        <v>223362.06819694102</v>
      </c>
      <c r="K45" s="275">
        <v>242687.69633883642</v>
      </c>
      <c r="L45" s="275">
        <v>249369.54475741886</v>
      </c>
      <c r="M45" s="275">
        <v>280838.0052378658</v>
      </c>
      <c r="N45" s="275">
        <v>348625.3972067553</v>
      </c>
      <c r="O45" s="275">
        <v>391931.2429386021</v>
      </c>
      <c r="P45" s="268">
        <v>447845.5630910611</v>
      </c>
    </row>
    <row r="46" spans="2:16" ht="12.75">
      <c r="B46" s="271" t="s">
        <v>2</v>
      </c>
      <c r="C46" s="274">
        <v>31283.253216506477</v>
      </c>
      <c r="D46" s="275">
        <v>39838.615853919284</v>
      </c>
      <c r="E46" s="275">
        <v>52830.401259175596</v>
      </c>
      <c r="F46" s="275">
        <v>69564.56320195373</v>
      </c>
      <c r="G46" s="275">
        <v>85485.806907262</v>
      </c>
      <c r="H46" s="275">
        <v>106507.71148854548</v>
      </c>
      <c r="I46" s="275">
        <v>125559.75112755585</v>
      </c>
      <c r="J46" s="275">
        <v>146111.71167048422</v>
      </c>
      <c r="K46" s="275">
        <v>158753.52068359705</v>
      </c>
      <c r="L46" s="275">
        <v>188712.08792453332</v>
      </c>
      <c r="M46" s="275">
        <v>212939.53283889097</v>
      </c>
      <c r="N46" s="275">
        <v>357087.9073206111</v>
      </c>
      <c r="O46" s="275">
        <v>378528.11533041776</v>
      </c>
      <c r="P46" s="268">
        <v>420755.4251403998</v>
      </c>
    </row>
    <row r="47" spans="2:16" ht="12.75">
      <c r="B47" s="271" t="s">
        <v>299</v>
      </c>
      <c r="C47" s="274">
        <v>99158.56564149621</v>
      </c>
      <c r="D47" s="275">
        <v>125225.15059554046</v>
      </c>
      <c r="E47" s="275">
        <v>160993.59845415485</v>
      </c>
      <c r="F47" s="275">
        <v>217982.96059909172</v>
      </c>
      <c r="G47" s="275">
        <v>271931.87913612963</v>
      </c>
      <c r="H47" s="275">
        <v>335305.65361072257</v>
      </c>
      <c r="I47" s="275">
        <v>369846.03743345966</v>
      </c>
      <c r="J47" s="275">
        <v>430383.4397461559</v>
      </c>
      <c r="K47" s="275">
        <v>520504.35127484426</v>
      </c>
      <c r="L47" s="275">
        <v>589031.8652888648</v>
      </c>
      <c r="M47" s="275">
        <v>677559.5038929033</v>
      </c>
      <c r="N47" s="275">
        <v>667311.348015938</v>
      </c>
      <c r="O47" s="275">
        <v>695248.074824817</v>
      </c>
      <c r="P47" s="268">
        <v>744692.3853038348</v>
      </c>
    </row>
    <row r="48" spans="2:16" ht="12.75">
      <c r="B48" s="271" t="s">
        <v>300</v>
      </c>
      <c r="C48" s="274">
        <v>48123.19025197534</v>
      </c>
      <c r="D48" s="275">
        <v>61043.070282214845</v>
      </c>
      <c r="E48" s="275">
        <v>80390.41514509702</v>
      </c>
      <c r="F48" s="275">
        <v>106220.57164684284</v>
      </c>
      <c r="G48" s="275">
        <v>131222.7227102515</v>
      </c>
      <c r="H48" s="275">
        <v>163028.1076236744</v>
      </c>
      <c r="I48" s="275">
        <v>192508.56475541502</v>
      </c>
      <c r="J48" s="275">
        <v>224018.88865697905</v>
      </c>
      <c r="K48" s="275">
        <v>261738.96612274417</v>
      </c>
      <c r="L48" s="275">
        <v>289807.849312676</v>
      </c>
      <c r="M48" s="275">
        <v>327649.2617634751</v>
      </c>
      <c r="N48" s="275">
        <v>467958.57533609244</v>
      </c>
      <c r="O48" s="275">
        <v>488705.85570478434</v>
      </c>
      <c r="P48" s="268">
        <v>526618.0528892259</v>
      </c>
    </row>
    <row r="49" spans="2:16" ht="12.75">
      <c r="B49" s="271" t="s">
        <v>301</v>
      </c>
      <c r="C49" s="274">
        <v>92866.39945266249</v>
      </c>
      <c r="D49" s="275">
        <v>117156.04158196207</v>
      </c>
      <c r="E49" s="275">
        <v>151549.21736818418</v>
      </c>
      <c r="F49" s="275">
        <v>203939.41830438442</v>
      </c>
      <c r="G49" s="275">
        <v>253826.27827420962</v>
      </c>
      <c r="H49" s="275">
        <v>313100.59148447413</v>
      </c>
      <c r="I49" s="275">
        <v>395229.0518644769</v>
      </c>
      <c r="J49" s="275">
        <v>459921.21480995644</v>
      </c>
      <c r="K49" s="275">
        <v>573094.1691497638</v>
      </c>
      <c r="L49" s="275">
        <v>730697.4837235635</v>
      </c>
      <c r="M49" s="275">
        <v>847240.6709598516</v>
      </c>
      <c r="N49" s="275">
        <v>834328.7074244197</v>
      </c>
      <c r="O49" s="275">
        <v>965447.7003000876</v>
      </c>
      <c r="P49" s="268">
        <v>1102180.8675719507</v>
      </c>
    </row>
    <row r="50" spans="2:16" ht="12.75">
      <c r="B50" s="271" t="s">
        <v>302</v>
      </c>
      <c r="C50" s="274">
        <v>43420.93875545947</v>
      </c>
      <c r="D50" s="275">
        <v>55038.71303877768</v>
      </c>
      <c r="E50" s="275">
        <v>73123.20883162234</v>
      </c>
      <c r="F50" s="275">
        <v>95360.19754761516</v>
      </c>
      <c r="G50" s="275">
        <v>117423.45628058883</v>
      </c>
      <c r="H50" s="275">
        <v>146746.9319124802</v>
      </c>
      <c r="I50" s="275">
        <v>173550.0652990988</v>
      </c>
      <c r="J50" s="275">
        <v>201957.21060019304</v>
      </c>
      <c r="K50" s="275">
        <v>248316.45503952657</v>
      </c>
      <c r="L50" s="275">
        <v>256109.26218329504</v>
      </c>
      <c r="M50" s="275">
        <v>288989.36599563755</v>
      </c>
      <c r="N50" s="275">
        <v>442805.3297977229</v>
      </c>
      <c r="O50" s="275">
        <v>472771.6672483366</v>
      </c>
      <c r="P50" s="268">
        <v>525022.2504928989</v>
      </c>
    </row>
    <row r="51" spans="2:16" ht="12.75">
      <c r="B51" s="276" t="s">
        <v>303</v>
      </c>
      <c r="C51" s="274"/>
      <c r="D51" s="275"/>
      <c r="E51" s="275"/>
      <c r="F51" s="275"/>
      <c r="G51" s="275"/>
      <c r="H51" s="275"/>
      <c r="I51" s="275"/>
      <c r="J51" s="275"/>
      <c r="K51" s="275"/>
      <c r="L51" s="275"/>
      <c r="M51" s="275">
        <v>277057.4770645562</v>
      </c>
      <c r="N51" s="275">
        <v>273896.79896387877</v>
      </c>
      <c r="O51" s="275">
        <v>347078.0039798737</v>
      </c>
      <c r="P51" s="268">
        <v>438460.7336223539</v>
      </c>
    </row>
    <row r="52" spans="2:16" ht="15" customHeight="1">
      <c r="B52" s="277" t="s">
        <v>304</v>
      </c>
      <c r="C52" s="278">
        <v>1275915.631039277</v>
      </c>
      <c r="D52" s="278">
        <v>1607761.6598249348</v>
      </c>
      <c r="E52" s="278">
        <v>2125324.5717338473</v>
      </c>
      <c r="F52" s="278">
        <v>2796640.0709691397</v>
      </c>
      <c r="G52" s="278">
        <v>3452559.5167276445</v>
      </c>
      <c r="H52" s="278">
        <v>4281600</v>
      </c>
      <c r="I52" s="278">
        <v>5125311</v>
      </c>
      <c r="J52" s="278">
        <v>5977698.760408539</v>
      </c>
      <c r="K52" s="278">
        <v>6706380.847371357</v>
      </c>
      <c r="L52" s="278">
        <v>7624615.687221405</v>
      </c>
      <c r="M52" s="278">
        <v>8699887.251915215</v>
      </c>
      <c r="N52" s="270">
        <v>9816318.999999998</v>
      </c>
      <c r="O52" s="270">
        <v>11331638.269191492</v>
      </c>
      <c r="P52" s="270">
        <v>13063316.971239144</v>
      </c>
    </row>
    <row r="54" spans="2:4" ht="12.75">
      <c r="B54" s="508" t="s">
        <v>325</v>
      </c>
      <c r="C54" s="508"/>
      <c r="D54" s="508"/>
    </row>
    <row r="56" spans="2:16" ht="14.25">
      <c r="B56" s="264" t="s">
        <v>280</v>
      </c>
      <c r="C56" s="263">
        <v>1992</v>
      </c>
      <c r="D56" s="263">
        <v>1993</v>
      </c>
      <c r="E56" s="263">
        <v>1994</v>
      </c>
      <c r="F56" s="263">
        <v>1995</v>
      </c>
      <c r="G56" s="263">
        <v>1996</v>
      </c>
      <c r="H56" s="263">
        <v>1997</v>
      </c>
      <c r="I56" s="263">
        <v>1998</v>
      </c>
      <c r="J56" s="263">
        <v>1999</v>
      </c>
      <c r="K56" s="263">
        <v>2000</v>
      </c>
      <c r="L56" s="263" t="s">
        <v>281</v>
      </c>
      <c r="M56" s="263" t="s">
        <v>282</v>
      </c>
      <c r="N56" s="263" t="s">
        <v>283</v>
      </c>
      <c r="O56" s="263" t="s">
        <v>284</v>
      </c>
      <c r="P56" s="263" t="s">
        <v>285</v>
      </c>
    </row>
    <row r="57" spans="2:16" ht="12.75">
      <c r="B57" s="279" t="s">
        <v>286</v>
      </c>
      <c r="C57" s="280">
        <f>(C31*1000000)/C5</f>
        <v>1349467.0000000002</v>
      </c>
      <c r="D57" s="280">
        <f aca="true" t="shared" si="0" ref="D57:P57">(D31*1000000)/D5</f>
        <v>1379412</v>
      </c>
      <c r="E57" s="280">
        <f t="shared" si="0"/>
        <v>1409892.0000000002</v>
      </c>
      <c r="F57" s="280">
        <f t="shared" si="0"/>
        <v>1440913</v>
      </c>
      <c r="G57" s="280">
        <f t="shared" si="0"/>
        <v>1472478.0000000002</v>
      </c>
      <c r="H57" s="280">
        <f t="shared" si="0"/>
        <v>1504591.9999999998</v>
      </c>
      <c r="I57" s="280">
        <f t="shared" si="0"/>
        <v>1550998</v>
      </c>
      <c r="J57" s="280">
        <f t="shared" si="0"/>
        <v>1598835</v>
      </c>
      <c r="K57" s="280">
        <f t="shared" si="0"/>
        <v>1648146.9999999998</v>
      </c>
      <c r="L57" s="280">
        <f t="shared" si="0"/>
        <v>1698981.0000000002</v>
      </c>
      <c r="M57" s="280">
        <f t="shared" si="0"/>
        <v>1698996</v>
      </c>
      <c r="N57" s="280">
        <f t="shared" si="0"/>
        <v>1713196</v>
      </c>
      <c r="O57" s="280">
        <f t="shared" si="0"/>
        <v>1753056</v>
      </c>
      <c r="P57" s="280">
        <f t="shared" si="0"/>
        <v>1786073</v>
      </c>
    </row>
    <row r="58" spans="2:16" ht="12.75">
      <c r="B58" s="279" t="s">
        <v>0</v>
      </c>
      <c r="C58" s="280">
        <f aca="true" t="shared" si="1" ref="C58:P73">(C32*1000000)/C6</f>
        <v>1552121</v>
      </c>
      <c r="D58" s="280">
        <f t="shared" si="1"/>
        <v>1607323</v>
      </c>
      <c r="E58" s="280">
        <f t="shared" si="1"/>
        <v>1664336.0000000002</v>
      </c>
      <c r="F58" s="280">
        <f t="shared" si="1"/>
        <v>1723211</v>
      </c>
      <c r="G58" s="280">
        <f t="shared" si="1"/>
        <v>1784003.0000000002</v>
      </c>
      <c r="H58" s="280">
        <f t="shared" si="1"/>
        <v>1851247</v>
      </c>
      <c r="I58" s="280">
        <f t="shared" si="1"/>
        <v>1908345</v>
      </c>
      <c r="J58" s="280">
        <f t="shared" si="1"/>
        <v>1967204</v>
      </c>
      <c r="K58" s="280">
        <f t="shared" si="1"/>
        <v>2027877.9999999998</v>
      </c>
      <c r="L58" s="280">
        <f t="shared" si="1"/>
        <v>2090424</v>
      </c>
      <c r="M58" s="280">
        <f t="shared" si="1"/>
        <v>1292973</v>
      </c>
      <c r="N58" s="280">
        <f t="shared" si="1"/>
        <v>1323856.0000000002</v>
      </c>
      <c r="O58" s="280">
        <f t="shared" si="1"/>
        <v>1377884.0000000002</v>
      </c>
      <c r="P58" s="280">
        <f t="shared" si="1"/>
        <v>1427903.9999999998</v>
      </c>
    </row>
    <row r="59" spans="2:16" ht="12.75">
      <c r="B59" s="279" t="s">
        <v>4</v>
      </c>
      <c r="C59" s="280">
        <f t="shared" si="1"/>
        <v>1373642</v>
      </c>
      <c r="D59" s="280">
        <f t="shared" si="1"/>
        <v>1449781.9999999998</v>
      </c>
      <c r="E59" s="280">
        <f t="shared" si="1"/>
        <v>1530002</v>
      </c>
      <c r="F59" s="280">
        <f t="shared" si="1"/>
        <v>1614512.0000000002</v>
      </c>
      <c r="G59" s="280">
        <f t="shared" si="1"/>
        <v>1703530</v>
      </c>
      <c r="H59" s="280">
        <f t="shared" si="1"/>
        <v>1801649</v>
      </c>
      <c r="I59" s="280">
        <f t="shared" si="1"/>
        <v>1857217</v>
      </c>
      <c r="J59" s="280">
        <f t="shared" si="1"/>
        <v>1914499</v>
      </c>
      <c r="K59" s="280">
        <f t="shared" si="1"/>
        <v>1973547.9999999998</v>
      </c>
      <c r="L59" s="280">
        <f t="shared" si="1"/>
        <v>2034418.0000000002</v>
      </c>
      <c r="M59" s="280">
        <f t="shared" si="1"/>
        <v>1381149</v>
      </c>
      <c r="N59" s="280">
        <f t="shared" si="1"/>
        <v>1395282</v>
      </c>
      <c r="O59" s="280">
        <f t="shared" si="1"/>
        <v>1417785.9999999998</v>
      </c>
      <c r="P59" s="280">
        <f t="shared" si="1"/>
        <v>1435847</v>
      </c>
    </row>
    <row r="60" spans="2:16" ht="12.75">
      <c r="B60" s="279" t="s">
        <v>287</v>
      </c>
      <c r="C60" s="280">
        <f t="shared" si="1"/>
        <v>1411506.0000000014</v>
      </c>
      <c r="D60" s="280">
        <f t="shared" si="1"/>
        <v>1438505</v>
      </c>
      <c r="E60" s="280">
        <f t="shared" si="1"/>
        <v>1465887.0000000002</v>
      </c>
      <c r="F60" s="280">
        <f t="shared" si="1"/>
        <v>1493652</v>
      </c>
      <c r="G60" s="280">
        <f t="shared" si="1"/>
        <v>1521800</v>
      </c>
      <c r="H60" s="280">
        <f t="shared" si="1"/>
        <v>1554096</v>
      </c>
      <c r="I60" s="280">
        <f t="shared" si="1"/>
        <v>1602029</v>
      </c>
      <c r="J60" s="280">
        <f t="shared" si="1"/>
        <v>1651440</v>
      </c>
      <c r="K60" s="280">
        <f t="shared" si="1"/>
        <v>1702375.0000000002</v>
      </c>
      <c r="L60" s="280">
        <f t="shared" si="1"/>
        <v>1754882.0000000002</v>
      </c>
      <c r="M60" s="280">
        <f t="shared" si="1"/>
        <v>1642015</v>
      </c>
      <c r="N60" s="280">
        <f t="shared" si="1"/>
        <v>1661125</v>
      </c>
      <c r="O60" s="280">
        <f t="shared" si="1"/>
        <v>1691296</v>
      </c>
      <c r="P60" s="280">
        <f t="shared" si="1"/>
        <v>1716271.0000000002</v>
      </c>
    </row>
    <row r="61" spans="2:16" ht="12.75">
      <c r="B61" s="279" t="s">
        <v>288</v>
      </c>
      <c r="C61" s="280">
        <f t="shared" si="1"/>
        <v>1381342</v>
      </c>
      <c r="D61" s="280">
        <f t="shared" si="1"/>
        <v>1414821.0000000002</v>
      </c>
      <c r="E61" s="280">
        <f t="shared" si="1"/>
        <v>1448979</v>
      </c>
      <c r="F61" s="280">
        <f t="shared" si="1"/>
        <v>1483824.9999999998</v>
      </c>
      <c r="G61" s="280">
        <f t="shared" si="1"/>
        <v>1519366.0000000002</v>
      </c>
      <c r="H61" s="280">
        <f t="shared" si="1"/>
        <v>1559386.9999999998</v>
      </c>
      <c r="I61" s="280">
        <f t="shared" si="1"/>
        <v>1607483</v>
      </c>
      <c r="J61" s="280">
        <f t="shared" si="1"/>
        <v>1657063</v>
      </c>
      <c r="K61" s="280">
        <f t="shared" si="1"/>
        <v>1708172</v>
      </c>
      <c r="L61" s="280">
        <f t="shared" si="1"/>
        <v>1760857</v>
      </c>
      <c r="M61" s="280">
        <f t="shared" si="1"/>
        <v>1759809</v>
      </c>
      <c r="N61" s="280">
        <f t="shared" si="1"/>
        <v>1791772</v>
      </c>
      <c r="O61" s="280">
        <f t="shared" si="1"/>
        <v>1838968.9999999995</v>
      </c>
      <c r="P61" s="280">
        <f t="shared" si="1"/>
        <v>1881113</v>
      </c>
    </row>
    <row r="62" spans="2:16" ht="12.75">
      <c r="B62" s="279" t="s">
        <v>289</v>
      </c>
      <c r="C62" s="280">
        <f t="shared" si="1"/>
        <v>687210</v>
      </c>
      <c r="D62" s="280">
        <f t="shared" si="1"/>
        <v>700355</v>
      </c>
      <c r="E62" s="280">
        <f t="shared" si="1"/>
        <v>713686</v>
      </c>
      <c r="F62" s="280">
        <f t="shared" si="1"/>
        <v>727204</v>
      </c>
      <c r="G62" s="280">
        <f t="shared" si="1"/>
        <v>740908</v>
      </c>
      <c r="H62" s="280">
        <f t="shared" si="1"/>
        <v>756631.0000000001</v>
      </c>
      <c r="I62" s="280">
        <f t="shared" si="1"/>
        <v>779967.9999999999</v>
      </c>
      <c r="J62" s="280">
        <f t="shared" si="1"/>
        <v>804025</v>
      </c>
      <c r="K62" s="280">
        <f t="shared" si="1"/>
        <v>828824</v>
      </c>
      <c r="L62" s="280">
        <f t="shared" si="1"/>
        <v>854387</v>
      </c>
      <c r="M62" s="280">
        <f t="shared" si="1"/>
        <v>889153.9999999999</v>
      </c>
      <c r="N62" s="280">
        <f t="shared" si="1"/>
        <v>902908</v>
      </c>
      <c r="O62" s="280">
        <f t="shared" si="1"/>
        <v>924840</v>
      </c>
      <c r="P62" s="280">
        <f t="shared" si="1"/>
        <v>944145.0000000001</v>
      </c>
    </row>
    <row r="63" spans="2:16" ht="12.75">
      <c r="B63" s="279" t="s">
        <v>306</v>
      </c>
      <c r="C63" s="280">
        <f t="shared" si="1"/>
        <v>1626430</v>
      </c>
      <c r="D63" s="280">
        <f t="shared" si="1"/>
        <v>1701201.9999999998</v>
      </c>
      <c r="E63" s="280">
        <f t="shared" si="1"/>
        <v>1779249</v>
      </c>
      <c r="F63" s="280">
        <f t="shared" si="1"/>
        <v>1860704</v>
      </c>
      <c r="G63" s="280">
        <f t="shared" si="1"/>
        <v>1945705</v>
      </c>
      <c r="H63" s="280">
        <f t="shared" si="1"/>
        <v>2039337</v>
      </c>
      <c r="I63" s="280">
        <f t="shared" si="1"/>
        <v>2102236</v>
      </c>
      <c r="J63" s="280">
        <f t="shared" si="1"/>
        <v>2167075</v>
      </c>
      <c r="K63" s="280">
        <f t="shared" si="1"/>
        <v>2233914</v>
      </c>
      <c r="L63" s="280">
        <f t="shared" si="1"/>
        <v>2302814</v>
      </c>
      <c r="M63" s="280">
        <f t="shared" si="1"/>
        <v>2497940.0000000005</v>
      </c>
      <c r="N63" s="280">
        <f t="shared" si="1"/>
        <v>2577164</v>
      </c>
      <c r="O63" s="280">
        <f t="shared" si="1"/>
        <v>2690399</v>
      </c>
      <c r="P63" s="280">
        <f t="shared" si="1"/>
        <v>2799240.9999999995</v>
      </c>
    </row>
    <row r="64" spans="2:16" ht="12.75">
      <c r="B64" s="279" t="s">
        <v>291</v>
      </c>
      <c r="C64" s="280">
        <f t="shared" si="1"/>
        <v>693623</v>
      </c>
      <c r="D64" s="280">
        <f t="shared" si="1"/>
        <v>706184</v>
      </c>
      <c r="E64" s="280">
        <f t="shared" si="1"/>
        <v>718906.9999999999</v>
      </c>
      <c r="F64" s="280">
        <f t="shared" si="1"/>
        <v>731792</v>
      </c>
      <c r="G64" s="280">
        <f t="shared" si="1"/>
        <v>744837</v>
      </c>
      <c r="H64" s="280">
        <f t="shared" si="1"/>
        <v>759884.0000000001</v>
      </c>
      <c r="I64" s="280">
        <f t="shared" si="1"/>
        <v>783321.0000000001</v>
      </c>
      <c r="J64" s="280">
        <f t="shared" si="1"/>
        <v>807480.9999999999</v>
      </c>
      <c r="K64" s="280">
        <f t="shared" si="1"/>
        <v>832386</v>
      </c>
      <c r="L64" s="280">
        <f t="shared" si="1"/>
        <v>858058.9999999999</v>
      </c>
      <c r="M64" s="280">
        <f t="shared" si="1"/>
        <v>791306.0000000001</v>
      </c>
      <c r="N64" s="280">
        <f t="shared" si="1"/>
        <v>796920.0000000001</v>
      </c>
      <c r="O64" s="280">
        <f t="shared" si="1"/>
        <v>808154.9999999999</v>
      </c>
      <c r="P64" s="280">
        <f t="shared" si="1"/>
        <v>816815</v>
      </c>
    </row>
    <row r="65" spans="2:16" ht="12.75">
      <c r="B65" s="279" t="s">
        <v>292</v>
      </c>
      <c r="C65" s="280">
        <f t="shared" si="1"/>
        <v>931626</v>
      </c>
      <c r="D65" s="280">
        <f t="shared" si="1"/>
        <v>942824</v>
      </c>
      <c r="E65" s="280">
        <f t="shared" si="1"/>
        <v>954068.0000000001</v>
      </c>
      <c r="F65" s="280">
        <f t="shared" si="1"/>
        <v>965357.9999999999</v>
      </c>
      <c r="G65" s="280">
        <f t="shared" si="1"/>
        <v>976689</v>
      </c>
      <c r="H65" s="280">
        <f t="shared" si="1"/>
        <v>990459</v>
      </c>
      <c r="I65" s="280">
        <f t="shared" si="1"/>
        <v>1021008</v>
      </c>
      <c r="J65" s="280">
        <f t="shared" si="1"/>
        <v>1052499</v>
      </c>
      <c r="K65" s="280">
        <f t="shared" si="1"/>
        <v>1084961</v>
      </c>
      <c r="L65" s="280">
        <f t="shared" si="1"/>
        <v>1118425</v>
      </c>
      <c r="M65" s="280">
        <f t="shared" si="1"/>
        <v>1128523</v>
      </c>
      <c r="N65" s="280">
        <f t="shared" si="1"/>
        <v>1140601.0000000002</v>
      </c>
      <c r="O65" s="280">
        <f t="shared" si="1"/>
        <v>1160157</v>
      </c>
      <c r="P65" s="280">
        <f t="shared" si="1"/>
        <v>1176112</v>
      </c>
    </row>
    <row r="66" spans="2:16" ht="12.75">
      <c r="B66" s="279" t="s">
        <v>293</v>
      </c>
      <c r="C66" s="280">
        <f t="shared" si="1"/>
        <v>885213</v>
      </c>
      <c r="D66" s="280">
        <f t="shared" si="1"/>
        <v>913036.0000000001</v>
      </c>
      <c r="E66" s="280">
        <f t="shared" si="1"/>
        <v>941647.9999999999</v>
      </c>
      <c r="F66" s="280">
        <f t="shared" si="1"/>
        <v>971067.0000000001</v>
      </c>
      <c r="G66" s="280">
        <f t="shared" si="1"/>
        <v>1001310.0000000001</v>
      </c>
      <c r="H66" s="280">
        <f t="shared" si="1"/>
        <v>1034905</v>
      </c>
      <c r="I66" s="280">
        <f t="shared" si="1"/>
        <v>1066825</v>
      </c>
      <c r="J66" s="280">
        <f t="shared" si="1"/>
        <v>1099729</v>
      </c>
      <c r="K66" s="280">
        <f t="shared" si="1"/>
        <v>1133648</v>
      </c>
      <c r="L66" s="280">
        <f t="shared" si="1"/>
        <v>1168613</v>
      </c>
      <c r="M66" s="280">
        <f t="shared" si="1"/>
        <v>1117166</v>
      </c>
      <c r="N66" s="280">
        <f t="shared" si="1"/>
        <v>1137172.0000000002</v>
      </c>
      <c r="O66" s="280">
        <f t="shared" si="1"/>
        <v>1167126</v>
      </c>
      <c r="P66" s="280">
        <f t="shared" si="1"/>
        <v>1192680</v>
      </c>
    </row>
    <row r="67" spans="2:16" ht="12.75">
      <c r="B67" s="279" t="s">
        <v>294</v>
      </c>
      <c r="C67" s="280">
        <f t="shared" si="1"/>
        <v>1333758</v>
      </c>
      <c r="D67" s="280">
        <f t="shared" si="1"/>
        <v>1367450</v>
      </c>
      <c r="E67" s="280">
        <f t="shared" si="1"/>
        <v>1401865.9999999998</v>
      </c>
      <c r="F67" s="280">
        <f t="shared" si="1"/>
        <v>1437014</v>
      </c>
      <c r="G67" s="280">
        <f t="shared" si="1"/>
        <v>1472906</v>
      </c>
      <c r="H67" s="280">
        <f t="shared" si="1"/>
        <v>1513216.9999999998</v>
      </c>
      <c r="I67" s="280">
        <f t="shared" si="1"/>
        <v>1559889</v>
      </c>
      <c r="J67" s="280">
        <f t="shared" si="1"/>
        <v>1608000.9999999998</v>
      </c>
      <c r="K67" s="280">
        <f t="shared" si="1"/>
        <v>1657597</v>
      </c>
      <c r="L67" s="280">
        <f t="shared" si="1"/>
        <v>1708722</v>
      </c>
      <c r="M67" s="280">
        <f t="shared" si="1"/>
        <v>1495333.0000000002</v>
      </c>
      <c r="N67" s="280">
        <f t="shared" si="1"/>
        <v>1511015.9999999998</v>
      </c>
      <c r="O67" s="280">
        <f t="shared" si="1"/>
        <v>1533852.0000000002</v>
      </c>
      <c r="P67" s="280">
        <f t="shared" si="1"/>
        <v>1553392.0000000002</v>
      </c>
    </row>
    <row r="68" spans="2:16" ht="12.75">
      <c r="B68" s="279" t="s">
        <v>295</v>
      </c>
      <c r="C68" s="280">
        <f t="shared" si="1"/>
        <v>1654912.9999999998</v>
      </c>
      <c r="D68" s="280">
        <f t="shared" si="1"/>
        <v>1703519</v>
      </c>
      <c r="E68" s="280">
        <f t="shared" si="1"/>
        <v>1753392</v>
      </c>
      <c r="F68" s="280">
        <f t="shared" si="1"/>
        <v>1804558.0000000002</v>
      </c>
      <c r="G68" s="280">
        <f t="shared" si="1"/>
        <v>1857043</v>
      </c>
      <c r="H68" s="280">
        <f t="shared" si="1"/>
        <v>1915513.0000000002</v>
      </c>
      <c r="I68" s="280">
        <f t="shared" si="1"/>
        <v>1974593</v>
      </c>
      <c r="J68" s="280">
        <f t="shared" si="1"/>
        <v>2035495</v>
      </c>
      <c r="K68" s="280">
        <f t="shared" si="1"/>
        <v>2098275</v>
      </c>
      <c r="L68" s="280">
        <f t="shared" si="1"/>
        <v>2162993.0000000005</v>
      </c>
      <c r="M68" s="280">
        <f t="shared" si="1"/>
        <v>2070046</v>
      </c>
      <c r="N68" s="280">
        <f t="shared" si="1"/>
        <v>2105065</v>
      </c>
      <c r="O68" s="280">
        <f t="shared" si="1"/>
        <v>2156198.0000000005</v>
      </c>
      <c r="P68" s="280">
        <f t="shared" si="1"/>
        <v>2201206</v>
      </c>
    </row>
    <row r="69" spans="2:16" ht="12.75">
      <c r="B69" s="279" t="s">
        <v>296</v>
      </c>
      <c r="C69" s="280">
        <f t="shared" si="1"/>
        <v>866624</v>
      </c>
      <c r="D69" s="280">
        <f t="shared" si="1"/>
        <v>886740.0000000001</v>
      </c>
      <c r="E69" s="280">
        <f t="shared" si="1"/>
        <v>907241</v>
      </c>
      <c r="F69" s="280">
        <f t="shared" si="1"/>
        <v>928130</v>
      </c>
      <c r="G69" s="280">
        <f t="shared" si="1"/>
        <v>949411</v>
      </c>
      <c r="H69" s="280">
        <f t="shared" si="1"/>
        <v>973444.9999999998</v>
      </c>
      <c r="I69" s="280">
        <f t="shared" si="1"/>
        <v>1003469</v>
      </c>
      <c r="J69" s="280">
        <f t="shared" si="1"/>
        <v>1034418.9999999999</v>
      </c>
      <c r="K69" s="280">
        <f t="shared" si="1"/>
        <v>1066324</v>
      </c>
      <c r="L69" s="280">
        <f t="shared" si="1"/>
        <v>1099212</v>
      </c>
      <c r="M69" s="280">
        <f t="shared" si="1"/>
        <v>1090758</v>
      </c>
      <c r="N69" s="280">
        <f t="shared" si="1"/>
        <v>1102326</v>
      </c>
      <c r="O69" s="280">
        <f t="shared" si="1"/>
        <v>1127973</v>
      </c>
      <c r="P69" s="280">
        <f t="shared" si="1"/>
        <v>1150366.9999999998</v>
      </c>
    </row>
    <row r="70" spans="2:16" ht="12.75">
      <c r="B70" s="279" t="s">
        <v>297</v>
      </c>
      <c r="C70" s="280">
        <f t="shared" si="1"/>
        <v>1129672.9999999998</v>
      </c>
      <c r="D70" s="280">
        <f t="shared" si="1"/>
        <v>1154741</v>
      </c>
      <c r="E70" s="280">
        <f t="shared" si="1"/>
        <v>1180256.9999999998</v>
      </c>
      <c r="F70" s="280">
        <f t="shared" si="1"/>
        <v>1206225</v>
      </c>
      <c r="G70" s="280">
        <f t="shared" si="1"/>
        <v>1232649</v>
      </c>
      <c r="H70" s="280">
        <f t="shared" si="1"/>
        <v>1262590.0000000002</v>
      </c>
      <c r="I70" s="280">
        <f t="shared" si="1"/>
        <v>1301532.0000000002</v>
      </c>
      <c r="J70" s="280">
        <f t="shared" si="1"/>
        <v>1341674.9999999998</v>
      </c>
      <c r="K70" s="280">
        <f t="shared" si="1"/>
        <v>1383056</v>
      </c>
      <c r="L70" s="280">
        <f t="shared" si="1"/>
        <v>1425714</v>
      </c>
      <c r="M70" s="280">
        <f t="shared" si="1"/>
        <v>1717908</v>
      </c>
      <c r="N70" s="280">
        <f t="shared" si="1"/>
        <v>1762261.9999999998</v>
      </c>
      <c r="O70" s="280">
        <f t="shared" si="1"/>
        <v>1826859</v>
      </c>
      <c r="P70" s="280">
        <f t="shared" si="1"/>
        <v>1887506.9999999998</v>
      </c>
    </row>
    <row r="71" spans="2:16" ht="12.75">
      <c r="B71" s="279" t="s">
        <v>298</v>
      </c>
      <c r="C71" s="280">
        <f t="shared" si="1"/>
        <v>814157</v>
      </c>
      <c r="D71" s="280">
        <f t="shared" si="1"/>
        <v>847338.9999999999</v>
      </c>
      <c r="E71" s="280">
        <f t="shared" si="1"/>
        <v>881792</v>
      </c>
      <c r="F71" s="280">
        <f t="shared" si="1"/>
        <v>917562</v>
      </c>
      <c r="G71" s="280">
        <f t="shared" si="1"/>
        <v>954693</v>
      </c>
      <c r="H71" s="280">
        <f t="shared" si="1"/>
        <v>995644</v>
      </c>
      <c r="I71" s="280">
        <f t="shared" si="1"/>
        <v>1026353</v>
      </c>
      <c r="J71" s="280">
        <f t="shared" si="1"/>
        <v>1058009</v>
      </c>
      <c r="K71" s="280">
        <f t="shared" si="1"/>
        <v>1090641</v>
      </c>
      <c r="L71" s="280">
        <f t="shared" si="1"/>
        <v>1124280</v>
      </c>
      <c r="M71" s="280">
        <f t="shared" si="1"/>
        <v>1141743</v>
      </c>
      <c r="N71" s="280">
        <f t="shared" si="1"/>
        <v>1169811</v>
      </c>
      <c r="O71" s="280">
        <f t="shared" si="1"/>
        <v>1212691</v>
      </c>
      <c r="P71" s="280">
        <f t="shared" si="1"/>
        <v>1251697</v>
      </c>
    </row>
    <row r="72" spans="2:16" ht="12.75">
      <c r="B72" s="279" t="s">
        <v>2</v>
      </c>
      <c r="C72" s="280">
        <f t="shared" si="1"/>
        <v>948621</v>
      </c>
      <c r="D72" s="280">
        <f t="shared" si="1"/>
        <v>972585</v>
      </c>
      <c r="E72" s="280">
        <f t="shared" si="1"/>
        <v>997062</v>
      </c>
      <c r="F72" s="280">
        <f t="shared" si="1"/>
        <v>1022061.0000000001</v>
      </c>
      <c r="G72" s="280">
        <f t="shared" si="1"/>
        <v>1047589</v>
      </c>
      <c r="H72" s="280">
        <f t="shared" si="1"/>
        <v>1076259</v>
      </c>
      <c r="I72" s="280">
        <f t="shared" si="1"/>
        <v>1109453.9999999998</v>
      </c>
      <c r="J72" s="280">
        <f t="shared" si="1"/>
        <v>1143673</v>
      </c>
      <c r="K72" s="280">
        <f t="shared" si="1"/>
        <v>1178947</v>
      </c>
      <c r="L72" s="280">
        <f t="shared" si="1"/>
        <v>1215309.0000000002</v>
      </c>
      <c r="M72" s="280">
        <f t="shared" si="1"/>
        <v>1679109</v>
      </c>
      <c r="N72" s="280">
        <f t="shared" si="1"/>
        <v>1741514.0000000002</v>
      </c>
      <c r="O72" s="280">
        <f t="shared" si="1"/>
        <v>1827145.0000000002</v>
      </c>
      <c r="P72" s="280">
        <f t="shared" si="1"/>
        <v>1910592</v>
      </c>
    </row>
    <row r="73" spans="2:16" ht="12.75">
      <c r="B73" s="279" t="s">
        <v>299</v>
      </c>
      <c r="C73" s="280">
        <f t="shared" si="1"/>
        <v>1971641</v>
      </c>
      <c r="D73" s="280">
        <f t="shared" si="1"/>
        <v>2025494</v>
      </c>
      <c r="E73" s="280">
        <f t="shared" si="1"/>
        <v>2080628</v>
      </c>
      <c r="F73" s="280">
        <f t="shared" si="1"/>
        <v>2137065</v>
      </c>
      <c r="G73" s="280">
        <f t="shared" si="1"/>
        <v>2194827</v>
      </c>
      <c r="H73" s="280">
        <f t="shared" si="1"/>
        <v>2259409.0000000005</v>
      </c>
      <c r="I73" s="280">
        <f t="shared" si="1"/>
        <v>2179513.1768235895</v>
      </c>
      <c r="J73" s="280">
        <f t="shared" si="1"/>
        <v>2246735.61358459</v>
      </c>
      <c r="K73" s="280">
        <f t="shared" si="1"/>
        <v>2474984</v>
      </c>
      <c r="L73" s="280">
        <f t="shared" si="1"/>
        <v>2551320.0000000005</v>
      </c>
      <c r="M73" s="280">
        <f t="shared" si="1"/>
        <v>2805580</v>
      </c>
      <c r="N73" s="280">
        <f t="shared" si="1"/>
        <v>2874313</v>
      </c>
      <c r="O73" s="280">
        <f t="shared" si="1"/>
        <v>2970748</v>
      </c>
      <c r="P73" s="280">
        <f t="shared" si="1"/>
        <v>3060176.0000000005</v>
      </c>
    </row>
    <row r="74" spans="2:16" ht="12.75">
      <c r="B74" s="279" t="s">
        <v>300</v>
      </c>
      <c r="C74" s="280">
        <f aca="true" t="shared" si="2" ref="C74:P76">(C48*1000000)/C22</f>
        <v>1502709</v>
      </c>
      <c r="D74" s="280">
        <f t="shared" si="2"/>
        <v>1540670</v>
      </c>
      <c r="E74" s="280">
        <f t="shared" si="2"/>
        <v>1579444.0000000002</v>
      </c>
      <c r="F74" s="280">
        <f t="shared" si="2"/>
        <v>1619045</v>
      </c>
      <c r="G74" s="280">
        <f t="shared" si="2"/>
        <v>1659484</v>
      </c>
      <c r="H74" s="280">
        <f t="shared" si="2"/>
        <v>1704900.0000000002</v>
      </c>
      <c r="I74" s="280">
        <f t="shared" si="2"/>
        <v>1757483.9999999998</v>
      </c>
      <c r="J74" s="280">
        <f t="shared" si="2"/>
        <v>1811689.9999999998</v>
      </c>
      <c r="K74" s="280">
        <f t="shared" si="2"/>
        <v>1867567.9999999998</v>
      </c>
      <c r="L74" s="280">
        <f t="shared" si="2"/>
        <v>1925169</v>
      </c>
      <c r="M74" s="280">
        <f t="shared" si="2"/>
        <v>2033888.0000000002</v>
      </c>
      <c r="N74" s="280">
        <f t="shared" si="2"/>
        <v>2081089.0000000002</v>
      </c>
      <c r="O74" s="280">
        <f t="shared" si="2"/>
        <v>2146613</v>
      </c>
      <c r="P74" s="280">
        <f t="shared" si="2"/>
        <v>2206814</v>
      </c>
    </row>
    <row r="75" spans="2:16" ht="12.75">
      <c r="B75" s="279" t="s">
        <v>301</v>
      </c>
      <c r="C75" s="280">
        <f t="shared" si="2"/>
        <v>2064625.0000000002</v>
      </c>
      <c r="D75" s="280">
        <f t="shared" si="2"/>
        <v>2114665</v>
      </c>
      <c r="E75" s="280">
        <f t="shared" si="2"/>
        <v>2165719.0000000005</v>
      </c>
      <c r="F75" s="280">
        <f t="shared" si="2"/>
        <v>2217800</v>
      </c>
      <c r="G75" s="280">
        <f t="shared" si="2"/>
        <v>2270922</v>
      </c>
      <c r="H75" s="280">
        <f t="shared" si="2"/>
        <v>2330740</v>
      </c>
      <c r="I75" s="280">
        <f t="shared" si="2"/>
        <v>2567522.4149585115</v>
      </c>
      <c r="J75" s="280">
        <f t="shared" si="2"/>
        <v>2646712.2688301634</v>
      </c>
      <c r="K75" s="280">
        <f t="shared" si="2"/>
        <v>2553121</v>
      </c>
      <c r="L75" s="280">
        <f t="shared" si="2"/>
        <v>2631865.9999999995</v>
      </c>
      <c r="M75" s="280">
        <f t="shared" si="2"/>
        <v>2942147.9999999995</v>
      </c>
      <c r="N75" s="280">
        <f t="shared" si="2"/>
        <v>3008570.0000000005</v>
      </c>
      <c r="O75" s="280">
        <f t="shared" si="2"/>
        <v>3106401</v>
      </c>
      <c r="P75" s="280">
        <f t="shared" si="2"/>
        <v>3196714</v>
      </c>
    </row>
    <row r="76" spans="2:16" ht="12.75">
      <c r="B76" s="279" t="s">
        <v>302</v>
      </c>
      <c r="C76" s="280">
        <f t="shared" si="2"/>
        <v>1079815</v>
      </c>
      <c r="D76" s="280">
        <f t="shared" si="2"/>
        <v>1109309</v>
      </c>
      <c r="E76" s="280">
        <f t="shared" si="2"/>
        <v>1139504</v>
      </c>
      <c r="F76" s="280">
        <f t="shared" si="2"/>
        <v>1170413</v>
      </c>
      <c r="G76" s="280">
        <f t="shared" si="2"/>
        <v>1202048</v>
      </c>
      <c r="H76" s="280">
        <f t="shared" si="2"/>
        <v>1237418</v>
      </c>
      <c r="I76" s="280">
        <f t="shared" si="2"/>
        <v>1275584</v>
      </c>
      <c r="J76" s="280">
        <f t="shared" si="2"/>
        <v>1314926.9999999998</v>
      </c>
      <c r="K76" s="280">
        <f t="shared" si="2"/>
        <v>1355483</v>
      </c>
      <c r="L76" s="280">
        <f t="shared" si="2"/>
        <v>1397290</v>
      </c>
      <c r="M76" s="280">
        <f t="shared" si="2"/>
        <v>1368602.0000000002</v>
      </c>
      <c r="N76" s="280">
        <f t="shared" si="2"/>
        <v>1393260.9999999998</v>
      </c>
      <c r="O76" s="280">
        <f t="shared" si="2"/>
        <v>1428532</v>
      </c>
      <c r="P76" s="280">
        <f t="shared" si="2"/>
        <v>1461270</v>
      </c>
    </row>
    <row r="77" spans="2:16" ht="12.75">
      <c r="B77" s="279" t="s">
        <v>303</v>
      </c>
      <c r="C77" s="280"/>
      <c r="D77" s="280"/>
      <c r="E77" s="280"/>
      <c r="F77" s="280"/>
      <c r="G77" s="280"/>
      <c r="H77" s="280"/>
      <c r="I77" s="280"/>
      <c r="J77" s="280"/>
      <c r="K77" s="280"/>
      <c r="L77" s="280"/>
      <c r="M77" s="280">
        <f>(M51*1000000)/M25</f>
        <v>1040460.9999999999</v>
      </c>
      <c r="N77" s="280">
        <f>(N51*1000000)/N25</f>
        <v>1060325</v>
      </c>
      <c r="O77" s="280">
        <f>(O51*1000000)/O25</f>
        <v>1101392.9999999998</v>
      </c>
      <c r="P77" s="280">
        <f>(P51*1000000)/P25</f>
        <v>1141376</v>
      </c>
    </row>
    <row r="78" spans="2:16" s="2" customFormat="1" ht="14.25" customHeight="1">
      <c r="B78" s="277" t="s">
        <v>304</v>
      </c>
      <c r="C78" s="281">
        <f aca="true" t="shared" si="3" ref="C78:P78">(C52*1000000)/C26</f>
        <v>25258715.999999993</v>
      </c>
      <c r="D78" s="281">
        <f t="shared" si="3"/>
        <v>25975956</v>
      </c>
      <c r="E78" s="281">
        <f t="shared" si="3"/>
        <v>26713558.999999985</v>
      </c>
      <c r="F78" s="281">
        <f t="shared" si="3"/>
        <v>27472110.999999996</v>
      </c>
      <c r="G78" s="281">
        <f t="shared" si="3"/>
        <v>28252202.716894068</v>
      </c>
      <c r="H78" s="281">
        <f t="shared" si="3"/>
        <v>29121321.999999996</v>
      </c>
      <c r="I78" s="281">
        <f t="shared" si="3"/>
        <v>30021772.89349346</v>
      </c>
      <c r="J78" s="281">
        <f t="shared" si="3"/>
        <v>30945402</v>
      </c>
      <c r="K78" s="281">
        <f t="shared" si="3"/>
        <v>31899849.000000004</v>
      </c>
      <c r="L78" s="281">
        <f t="shared" si="3"/>
        <v>32883735.000000004</v>
      </c>
      <c r="M78" s="281">
        <f t="shared" si="3"/>
        <v>33584607</v>
      </c>
      <c r="N78" s="281">
        <f t="shared" si="3"/>
        <v>34249548.00000001</v>
      </c>
      <c r="O78" s="281">
        <f t="shared" si="3"/>
        <v>35268073</v>
      </c>
      <c r="P78" s="281">
        <f t="shared" si="3"/>
        <v>36197312</v>
      </c>
    </row>
    <row r="79" spans="3:16" ht="12.75">
      <c r="C79" s="261"/>
      <c r="D79" s="261"/>
      <c r="E79" s="261"/>
      <c r="F79" s="261"/>
      <c r="G79" s="261"/>
      <c r="H79" s="261"/>
      <c r="I79" s="261"/>
      <c r="J79" s="261"/>
      <c r="K79" s="261"/>
      <c r="L79" s="261"/>
      <c r="M79" s="261"/>
      <c r="N79" s="261"/>
      <c r="O79" s="261"/>
      <c r="P79" s="261"/>
    </row>
    <row r="80" spans="3:16" ht="12.75">
      <c r="C80" s="261"/>
      <c r="D80" s="261"/>
      <c r="E80" s="261"/>
      <c r="F80" s="261"/>
      <c r="G80" s="261"/>
      <c r="H80" s="261"/>
      <c r="I80" s="261"/>
      <c r="J80" s="261"/>
      <c r="K80" s="261"/>
      <c r="L80" s="261"/>
      <c r="M80" s="261"/>
      <c r="N80" s="261"/>
      <c r="O80" s="261"/>
      <c r="P80" s="261"/>
    </row>
    <row r="81" spans="3:16" ht="12.75">
      <c r="C81" s="261"/>
      <c r="D81" s="261"/>
      <c r="E81" s="261"/>
      <c r="F81" s="261"/>
      <c r="G81" s="261"/>
      <c r="H81" s="261"/>
      <c r="I81" s="261"/>
      <c r="J81" s="261"/>
      <c r="K81" s="261"/>
      <c r="L81" s="261"/>
      <c r="M81" s="261"/>
      <c r="N81" s="261"/>
      <c r="O81" s="261"/>
      <c r="P81" s="261"/>
    </row>
  </sheetData>
  <mergeCells count="2">
    <mergeCell ref="B28:M28"/>
    <mergeCell ref="B54:D5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2:U99"/>
  <sheetViews>
    <sheetView workbookViewId="0" topLeftCell="D1">
      <selection activeCell="M30" sqref="M30"/>
    </sheetView>
  </sheetViews>
  <sheetFormatPr defaultColWidth="9.140625" defaultRowHeight="12.75"/>
  <cols>
    <col min="1" max="1" width="9.140625" style="1" customWidth="1"/>
    <col min="2" max="2" width="22.00390625" style="1" customWidth="1"/>
    <col min="3" max="14" width="10.7109375" style="1" bestFit="1" customWidth="1"/>
    <col min="15" max="16" width="11.7109375" style="1" bestFit="1" customWidth="1"/>
    <col min="17" max="16384" width="9.140625" style="1" customWidth="1"/>
  </cols>
  <sheetData>
    <row r="2" spans="2:13" s="3" customFormat="1" ht="12.75">
      <c r="B2" s="508" t="s">
        <v>305</v>
      </c>
      <c r="C2" s="508"/>
      <c r="D2" s="508"/>
      <c r="E2" s="508"/>
      <c r="F2" s="508"/>
      <c r="G2" s="508"/>
      <c r="H2" s="508"/>
      <c r="I2" s="508"/>
      <c r="J2" s="508"/>
      <c r="K2" s="508"/>
      <c r="L2" s="508"/>
      <c r="M2" s="508"/>
    </row>
    <row r="3" spans="14:16" ht="12.75" customHeight="1">
      <c r="N3" s="260"/>
      <c r="O3" s="260"/>
      <c r="P3" s="260"/>
    </row>
    <row r="4" spans="2:16" ht="14.25">
      <c r="B4" s="264" t="s">
        <v>280</v>
      </c>
      <c r="C4" s="263">
        <v>1992</v>
      </c>
      <c r="D4" s="263">
        <v>1993</v>
      </c>
      <c r="E4" s="263">
        <v>1994</v>
      </c>
      <c r="F4" s="263">
        <v>1995</v>
      </c>
      <c r="G4" s="263">
        <v>1996</v>
      </c>
      <c r="H4" s="263">
        <v>1997</v>
      </c>
      <c r="I4" s="263">
        <v>1998</v>
      </c>
      <c r="J4" s="263">
        <v>1999</v>
      </c>
      <c r="K4" s="263">
        <v>2000</v>
      </c>
      <c r="L4" s="263" t="s">
        <v>281</v>
      </c>
      <c r="M4" s="263" t="s">
        <v>282</v>
      </c>
      <c r="N4" s="263" t="s">
        <v>283</v>
      </c>
      <c r="O4" s="263" t="s">
        <v>284</v>
      </c>
      <c r="P4" s="263" t="s">
        <v>285</v>
      </c>
    </row>
    <row r="5" spans="2:16" ht="12.75">
      <c r="B5" s="271" t="s">
        <v>286</v>
      </c>
      <c r="C5" s="272">
        <v>44724.57791851804</v>
      </c>
      <c r="D5" s="273">
        <v>56762.986907857165</v>
      </c>
      <c r="E5" s="273">
        <v>75034.1412716007</v>
      </c>
      <c r="F5" s="273">
        <v>98400.6300002188</v>
      </c>
      <c r="G5" s="273">
        <v>121402.13539331965</v>
      </c>
      <c r="H5" s="273">
        <v>151607.87894939963</v>
      </c>
      <c r="I5" s="273">
        <v>178946.71594580772</v>
      </c>
      <c r="J5" s="273">
        <v>208237.19965876656</v>
      </c>
      <c r="K5" s="273">
        <v>226254.20101625155</v>
      </c>
      <c r="L5" s="273">
        <v>264197.418335629</v>
      </c>
      <c r="M5" s="273">
        <v>303904.5631419062</v>
      </c>
      <c r="N5" s="273">
        <v>324952.82912733115</v>
      </c>
      <c r="O5" s="273">
        <v>351997.9628177476</v>
      </c>
      <c r="P5" s="266">
        <v>392725.6054865577</v>
      </c>
    </row>
    <row r="6" spans="2:16" ht="12.75">
      <c r="B6" s="271" t="s">
        <v>0</v>
      </c>
      <c r="C6" s="274">
        <v>94782.11388065842</v>
      </c>
      <c r="D6" s="275">
        <v>118727.80535797363</v>
      </c>
      <c r="E6" s="275">
        <v>155655.13969897246</v>
      </c>
      <c r="F6" s="275">
        <v>214065.60209895042</v>
      </c>
      <c r="G6" s="275">
        <v>265142.7956367885</v>
      </c>
      <c r="H6" s="275">
        <v>328305.43707888736</v>
      </c>
      <c r="I6" s="275">
        <v>383893.0677248785</v>
      </c>
      <c r="J6" s="275">
        <v>446729.7260467815</v>
      </c>
      <c r="K6" s="275">
        <v>510055.4211622708</v>
      </c>
      <c r="L6" s="275">
        <v>582554.1479176738</v>
      </c>
      <c r="M6" s="275">
        <v>393050.46232199535</v>
      </c>
      <c r="N6" s="275">
        <v>388566.5335651011</v>
      </c>
      <c r="O6" s="275">
        <v>492385.8087912139</v>
      </c>
      <c r="P6" s="268">
        <v>592243.5141612006</v>
      </c>
    </row>
    <row r="7" spans="2:16" ht="12.75">
      <c r="B7" s="271" t="s">
        <v>4</v>
      </c>
      <c r="C7" s="274">
        <v>54628.45108013611</v>
      </c>
      <c r="D7" s="275">
        <v>68798.99730779215</v>
      </c>
      <c r="E7" s="275">
        <v>91196.70537094641</v>
      </c>
      <c r="F7" s="275">
        <v>119475.87963296658</v>
      </c>
      <c r="G7" s="275">
        <v>147293.9638743381</v>
      </c>
      <c r="H7" s="275">
        <v>182789.36401574645</v>
      </c>
      <c r="I7" s="275">
        <v>217243.86985110104</v>
      </c>
      <c r="J7" s="275">
        <v>252802.93556505837</v>
      </c>
      <c r="K7" s="275">
        <v>274675.83263011515</v>
      </c>
      <c r="L7" s="275">
        <v>310700.9230048496</v>
      </c>
      <c r="M7" s="275">
        <v>352291.5656849557</v>
      </c>
      <c r="N7" s="275">
        <v>427373.6825072691</v>
      </c>
      <c r="O7" s="275">
        <v>534999.9074317205</v>
      </c>
      <c r="P7" s="268">
        <v>639616.7241397209</v>
      </c>
    </row>
    <row r="8" spans="2:16" ht="12.75">
      <c r="B8" s="271" t="s">
        <v>287</v>
      </c>
      <c r="C8" s="274">
        <v>52976.03994550001</v>
      </c>
      <c r="D8" s="275">
        <v>66252.09967734435</v>
      </c>
      <c r="E8" s="275">
        <v>88008.77828992032</v>
      </c>
      <c r="F8" s="275">
        <v>114680.00959702813</v>
      </c>
      <c r="G8" s="275">
        <v>141448.87747520383</v>
      </c>
      <c r="H8" s="275">
        <v>175265.94538925556</v>
      </c>
      <c r="I8" s="275">
        <v>209450.2403038069</v>
      </c>
      <c r="J8" s="275">
        <v>243733.62359960246</v>
      </c>
      <c r="K8" s="275">
        <v>281872.73274757067</v>
      </c>
      <c r="L8" s="275">
        <v>336985.8712938093</v>
      </c>
      <c r="M8" s="275">
        <v>382095.03552054777</v>
      </c>
      <c r="N8" s="275">
        <v>418455.7373777732</v>
      </c>
      <c r="O8" s="275">
        <v>603976.8197095298</v>
      </c>
      <c r="P8" s="268">
        <v>754431.8726621738</v>
      </c>
    </row>
    <row r="9" spans="2:16" ht="12.75">
      <c r="B9" s="271" t="s">
        <v>288</v>
      </c>
      <c r="C9" s="274">
        <v>59409.96076113622</v>
      </c>
      <c r="D9" s="275">
        <v>74097.60224438783</v>
      </c>
      <c r="E9" s="275">
        <v>97431.06305839276</v>
      </c>
      <c r="F9" s="275">
        <v>128494.48118992773</v>
      </c>
      <c r="G9" s="275">
        <v>159195.3671171564</v>
      </c>
      <c r="H9" s="275">
        <v>196075.88525662353</v>
      </c>
      <c r="I9" s="275">
        <v>234401.8726134911</v>
      </c>
      <c r="J9" s="275">
        <v>272769.4067466783</v>
      </c>
      <c r="K9" s="275">
        <v>296369.8334700906</v>
      </c>
      <c r="L9" s="275">
        <v>363271.1981435794</v>
      </c>
      <c r="M9" s="275">
        <v>413888.7845169274</v>
      </c>
      <c r="N9" s="275">
        <v>439141.66938063543</v>
      </c>
      <c r="O9" s="275">
        <v>622225.9614540914</v>
      </c>
      <c r="P9" s="268">
        <v>706296.1998817971</v>
      </c>
    </row>
    <row r="10" spans="2:16" ht="12.75">
      <c r="B10" s="271" t="s">
        <v>289</v>
      </c>
      <c r="C10" s="274">
        <v>27762.88957079229</v>
      </c>
      <c r="D10" s="275">
        <v>35316.309503106786</v>
      </c>
      <c r="E10" s="275">
        <v>47772.460506829186</v>
      </c>
      <c r="F10" s="275">
        <v>61413.1003580312</v>
      </c>
      <c r="G10" s="275">
        <v>74953.3330269862</v>
      </c>
      <c r="H10" s="275">
        <v>93964.78112305247</v>
      </c>
      <c r="I10" s="275">
        <v>111313.55917614899</v>
      </c>
      <c r="J10" s="275">
        <v>129533.66438930007</v>
      </c>
      <c r="K10" s="275">
        <v>140741.11536811845</v>
      </c>
      <c r="L10" s="275">
        <v>155013.50079515236</v>
      </c>
      <c r="M10" s="275">
        <v>174065.516181583</v>
      </c>
      <c r="N10" s="275">
        <v>226487.83163356106</v>
      </c>
      <c r="O10" s="275">
        <v>235466.84961976422</v>
      </c>
      <c r="P10" s="268">
        <v>253921.7538944578</v>
      </c>
    </row>
    <row r="11" spans="2:16" ht="12.75">
      <c r="B11" s="271" t="s">
        <v>306</v>
      </c>
      <c r="C11" s="274">
        <v>232459.59145034652</v>
      </c>
      <c r="D11" s="275">
        <v>291260.2375884446</v>
      </c>
      <c r="E11" s="275">
        <v>402689.68122330256</v>
      </c>
      <c r="F11" s="275">
        <v>498624.2685325196</v>
      </c>
      <c r="G11" s="275">
        <v>605240.5842947967</v>
      </c>
      <c r="H11" s="275">
        <v>758248.5008748148</v>
      </c>
      <c r="I11" s="275">
        <v>916279.5149564253</v>
      </c>
      <c r="J11" s="275">
        <v>1066258.6306250067</v>
      </c>
      <c r="K11" s="275">
        <v>1158512.959951761</v>
      </c>
      <c r="L11" s="275">
        <v>1282448.9329801928</v>
      </c>
      <c r="M11" s="275">
        <v>1473225.7002011524</v>
      </c>
      <c r="N11" s="275">
        <v>1588174.293796876</v>
      </c>
      <c r="O11" s="275">
        <v>1715050.859432266</v>
      </c>
      <c r="P11" s="268">
        <v>1961504.5167478556</v>
      </c>
    </row>
    <row r="12" spans="2:16" ht="12.75">
      <c r="B12" s="271" t="s">
        <v>291</v>
      </c>
      <c r="C12" s="274">
        <v>28421.42563867273</v>
      </c>
      <c r="D12" s="275">
        <v>36124.98776854518</v>
      </c>
      <c r="E12" s="275">
        <v>47767.23583398542</v>
      </c>
      <c r="F12" s="275">
        <v>63039.39809401564</v>
      </c>
      <c r="G12" s="275">
        <v>77722.08354573295</v>
      </c>
      <c r="H12" s="275">
        <v>96466.36879317892</v>
      </c>
      <c r="I12" s="275">
        <v>113905.19295218505</v>
      </c>
      <c r="J12" s="275">
        <v>132549.5038094896</v>
      </c>
      <c r="K12" s="275">
        <v>144017.88983265433</v>
      </c>
      <c r="L12" s="275">
        <v>158813.8745924637</v>
      </c>
      <c r="M12" s="275">
        <v>178332.9769080273</v>
      </c>
      <c r="N12" s="275">
        <v>229264.36492072287</v>
      </c>
      <c r="O12" s="275">
        <v>238615.85321884917</v>
      </c>
      <c r="P12" s="268">
        <v>257564.983924554</v>
      </c>
    </row>
    <row r="13" spans="2:16" ht="12.75">
      <c r="B13" s="271" t="s">
        <v>292</v>
      </c>
      <c r="C13" s="274">
        <v>37058.4308476879</v>
      </c>
      <c r="D13" s="275">
        <v>47026.46093200095</v>
      </c>
      <c r="E13" s="275">
        <v>61770.361392753475</v>
      </c>
      <c r="F13" s="275">
        <v>82135.75831167492</v>
      </c>
      <c r="G13" s="275">
        <v>101470.63673190001</v>
      </c>
      <c r="H13" s="275">
        <v>125662.3491920845</v>
      </c>
      <c r="I13" s="275">
        <v>192821.14115609674</v>
      </c>
      <c r="J13" s="275">
        <v>237845.58611516474</v>
      </c>
      <c r="K13" s="275">
        <v>255027.7105811354</v>
      </c>
      <c r="L13" s="275">
        <v>296547.5667385523</v>
      </c>
      <c r="M13" s="275">
        <v>333644.6466686478</v>
      </c>
      <c r="N13" s="275">
        <v>291833.91133083025</v>
      </c>
      <c r="O13" s="275">
        <v>303803.65993616264</v>
      </c>
      <c r="P13" s="268">
        <v>326984.48892524594</v>
      </c>
    </row>
    <row r="14" spans="2:16" ht="12.75">
      <c r="B14" s="271" t="s">
        <v>293</v>
      </c>
      <c r="C14" s="274">
        <v>48106.87497177103</v>
      </c>
      <c r="D14" s="275">
        <v>60990.4488723757</v>
      </c>
      <c r="E14" s="275">
        <v>79175.9015436009</v>
      </c>
      <c r="F14" s="275">
        <v>106652.71924441138</v>
      </c>
      <c r="G14" s="275">
        <v>132404.3830728362</v>
      </c>
      <c r="H14" s="275">
        <v>163255.6665533916</v>
      </c>
      <c r="I14" s="275">
        <v>192412.42727323595</v>
      </c>
      <c r="J14" s="275">
        <v>223907.01513102246</v>
      </c>
      <c r="K14" s="275">
        <v>242947.4506062395</v>
      </c>
      <c r="L14" s="275">
        <v>242629.8273315427</v>
      </c>
      <c r="M14" s="275">
        <v>273779.39936428826</v>
      </c>
      <c r="N14" s="275">
        <v>376291.3979332895</v>
      </c>
      <c r="O14" s="275">
        <v>435908.2025783013</v>
      </c>
      <c r="P14" s="268">
        <v>533351.8983629006</v>
      </c>
    </row>
    <row r="15" spans="2:16" ht="12.75">
      <c r="B15" s="271" t="s">
        <v>294</v>
      </c>
      <c r="C15" s="274">
        <v>71974.96663051065</v>
      </c>
      <c r="D15" s="275">
        <v>89979.40517866463</v>
      </c>
      <c r="E15" s="275">
        <v>116983.44945975649</v>
      </c>
      <c r="F15" s="275">
        <v>156357.57069717292</v>
      </c>
      <c r="G15" s="275">
        <v>194545.55883744228</v>
      </c>
      <c r="H15" s="275">
        <v>238928.73380791748</v>
      </c>
      <c r="I15" s="275">
        <v>284543.03102023504</v>
      </c>
      <c r="J15" s="275">
        <v>331117.80592841574</v>
      </c>
      <c r="K15" s="275">
        <v>359766.62548935716</v>
      </c>
      <c r="L15" s="275">
        <v>424602.1978301998</v>
      </c>
      <c r="M15" s="275">
        <v>486091.3364926622</v>
      </c>
      <c r="N15" s="275">
        <v>542736.6244749973</v>
      </c>
      <c r="O15" s="275">
        <v>607402.2370943524</v>
      </c>
      <c r="P15" s="268">
        <v>709801.8055821451</v>
      </c>
    </row>
    <row r="16" spans="2:16" ht="12.75">
      <c r="B16" s="271" t="s">
        <v>295</v>
      </c>
      <c r="C16" s="274">
        <v>73511.24075734931</v>
      </c>
      <c r="D16" s="275">
        <v>92810.4472053153</v>
      </c>
      <c r="E16" s="275">
        <v>120300.00005891806</v>
      </c>
      <c r="F16" s="275">
        <v>161915.73412794148</v>
      </c>
      <c r="G16" s="275">
        <v>201312.1254512849</v>
      </c>
      <c r="H16" s="275">
        <v>247961.81516225924</v>
      </c>
      <c r="I16" s="275">
        <v>292992.89012436505</v>
      </c>
      <c r="J16" s="275">
        <v>340950.7608840576</v>
      </c>
      <c r="K16" s="275">
        <v>370450.34276351944</v>
      </c>
      <c r="L16" s="275">
        <v>438081.6326819522</v>
      </c>
      <c r="M16" s="275">
        <v>501522.80749242933</v>
      </c>
      <c r="N16" s="275">
        <v>581085.7294963419</v>
      </c>
      <c r="O16" s="275">
        <v>766340.0920822016</v>
      </c>
      <c r="P16" s="268">
        <v>929163.5604418826</v>
      </c>
    </row>
    <row r="17" spans="2:16" ht="12.75">
      <c r="B17" s="271" t="s">
        <v>296</v>
      </c>
      <c r="C17" s="274">
        <v>38369.83014448468</v>
      </c>
      <c r="D17" s="275">
        <v>48637.86288120332</v>
      </c>
      <c r="E17" s="275">
        <v>63730.700801726074</v>
      </c>
      <c r="F17" s="275">
        <v>84363.59545687548</v>
      </c>
      <c r="G17" s="275">
        <v>104522.1606275918</v>
      </c>
      <c r="H17" s="275">
        <v>130018.54357695473</v>
      </c>
      <c r="I17" s="275">
        <v>153375.6503717675</v>
      </c>
      <c r="J17" s="275">
        <v>178480.5927309177</v>
      </c>
      <c r="K17" s="275">
        <v>193923.00689508798</v>
      </c>
      <c r="L17" s="275">
        <v>202191.52277628568</v>
      </c>
      <c r="M17" s="275">
        <v>225126.29035559844</v>
      </c>
      <c r="N17" s="275">
        <v>227113.81060839727</v>
      </c>
      <c r="O17" s="275">
        <v>236459.4069035669</v>
      </c>
      <c r="P17" s="268">
        <v>239560.86371352873</v>
      </c>
    </row>
    <row r="18" spans="2:16" ht="12.75">
      <c r="B18" s="271" t="s">
        <v>297</v>
      </c>
      <c r="C18" s="274">
        <v>48804.407689756794</v>
      </c>
      <c r="D18" s="275">
        <v>61861.3344323114</v>
      </c>
      <c r="E18" s="275">
        <v>81099.80374688866</v>
      </c>
      <c r="F18" s="275">
        <v>107463.52777272419</v>
      </c>
      <c r="G18" s="275">
        <v>133058.9972370506</v>
      </c>
      <c r="H18" s="275">
        <v>165327.70221519202</v>
      </c>
      <c r="I18" s="275">
        <v>195094.2238963283</v>
      </c>
      <c r="J18" s="275">
        <v>227027.77549756758</v>
      </c>
      <c r="K18" s="275">
        <v>246670.56624787187</v>
      </c>
      <c r="L18" s="275">
        <v>262848.9796091713</v>
      </c>
      <c r="M18" s="275">
        <v>296594.3493113123</v>
      </c>
      <c r="N18" s="275">
        <v>362826.5197814554</v>
      </c>
      <c r="O18" s="275">
        <v>447293.98779480753</v>
      </c>
      <c r="P18" s="268">
        <v>560573.9052034004</v>
      </c>
    </row>
    <row r="19" spans="2:16" ht="12.75">
      <c r="B19" s="271" t="s">
        <v>298</v>
      </c>
      <c r="C19" s="274">
        <v>48072.48243385645</v>
      </c>
      <c r="D19" s="275">
        <v>60813.08261519756</v>
      </c>
      <c r="E19" s="275">
        <v>77822.30841802004</v>
      </c>
      <c r="F19" s="275">
        <v>106490.08455479342</v>
      </c>
      <c r="G19" s="275">
        <v>132956.37109677473</v>
      </c>
      <c r="H19" s="275">
        <v>163032.03189134455</v>
      </c>
      <c r="I19" s="275">
        <v>191944.13215411987</v>
      </c>
      <c r="J19" s="275">
        <v>223362.06819694102</v>
      </c>
      <c r="K19" s="275">
        <v>242687.69633883642</v>
      </c>
      <c r="L19" s="275">
        <v>249369.54475741886</v>
      </c>
      <c r="M19" s="275">
        <v>280838.0052378658</v>
      </c>
      <c r="N19" s="275">
        <v>348625.3972067553</v>
      </c>
      <c r="O19" s="275">
        <v>391931.2429386021</v>
      </c>
      <c r="P19" s="268">
        <v>447845.5630910611</v>
      </c>
    </row>
    <row r="20" spans="2:16" ht="12.75">
      <c r="B20" s="271" t="s">
        <v>2</v>
      </c>
      <c r="C20" s="274">
        <v>31283.253216506477</v>
      </c>
      <c r="D20" s="275">
        <v>39838.615853919284</v>
      </c>
      <c r="E20" s="275">
        <v>52830.401259175596</v>
      </c>
      <c r="F20" s="275">
        <v>69564.56320195373</v>
      </c>
      <c r="G20" s="275">
        <v>85485.806907262</v>
      </c>
      <c r="H20" s="275">
        <v>106507.71148854548</v>
      </c>
      <c r="I20" s="275">
        <v>125559.75112755585</v>
      </c>
      <c r="J20" s="275">
        <v>146111.71167048422</v>
      </c>
      <c r="K20" s="275">
        <v>158753.52068359705</v>
      </c>
      <c r="L20" s="275">
        <v>188712.08792453332</v>
      </c>
      <c r="M20" s="275">
        <v>212939.53283889097</v>
      </c>
      <c r="N20" s="275">
        <v>357087.9073206111</v>
      </c>
      <c r="O20" s="275">
        <v>378528.11533041776</v>
      </c>
      <c r="P20" s="268">
        <v>420755.4251403998</v>
      </c>
    </row>
    <row r="21" spans="2:16" ht="12.75">
      <c r="B21" s="271" t="s">
        <v>299</v>
      </c>
      <c r="C21" s="274">
        <v>99158.56564149621</v>
      </c>
      <c r="D21" s="275">
        <v>125225.15059554046</v>
      </c>
      <c r="E21" s="275">
        <v>160993.59845415485</v>
      </c>
      <c r="F21" s="275">
        <v>217982.96059909172</v>
      </c>
      <c r="G21" s="275">
        <v>271931.87913612963</v>
      </c>
      <c r="H21" s="275">
        <v>335305.65361072257</v>
      </c>
      <c r="I21" s="275">
        <v>369846.03743345966</v>
      </c>
      <c r="J21" s="275">
        <v>430383.4397461559</v>
      </c>
      <c r="K21" s="275">
        <v>520504.35127484426</v>
      </c>
      <c r="L21" s="275">
        <v>589031.8652888648</v>
      </c>
      <c r="M21" s="275">
        <v>677559.5038929033</v>
      </c>
      <c r="N21" s="275">
        <v>667311.348015938</v>
      </c>
      <c r="O21" s="275">
        <v>695248.074824817</v>
      </c>
      <c r="P21" s="268">
        <v>744692.3853038348</v>
      </c>
    </row>
    <row r="22" spans="2:16" ht="12.75">
      <c r="B22" s="271" t="s">
        <v>300</v>
      </c>
      <c r="C22" s="274">
        <v>48123.19025197534</v>
      </c>
      <c r="D22" s="275">
        <v>61043.070282214845</v>
      </c>
      <c r="E22" s="275">
        <v>80390.41514509702</v>
      </c>
      <c r="F22" s="275">
        <v>106220.57164684284</v>
      </c>
      <c r="G22" s="275">
        <v>131222.7227102515</v>
      </c>
      <c r="H22" s="275">
        <v>163028.1076236744</v>
      </c>
      <c r="I22" s="275">
        <v>192508.56475541502</v>
      </c>
      <c r="J22" s="275">
        <v>224018.88865697905</v>
      </c>
      <c r="K22" s="275">
        <v>261738.96612274417</v>
      </c>
      <c r="L22" s="275">
        <v>289807.849312676</v>
      </c>
      <c r="M22" s="275">
        <v>327649.2617634751</v>
      </c>
      <c r="N22" s="275">
        <v>467958.57533609244</v>
      </c>
      <c r="O22" s="275">
        <v>488705.85570478434</v>
      </c>
      <c r="P22" s="268">
        <v>526618.0528892259</v>
      </c>
    </row>
    <row r="23" spans="2:16" ht="12.75">
      <c r="B23" s="271" t="s">
        <v>301</v>
      </c>
      <c r="C23" s="274">
        <v>92866.39945266249</v>
      </c>
      <c r="D23" s="275">
        <v>117156.04158196207</v>
      </c>
      <c r="E23" s="275">
        <v>151549.21736818418</v>
      </c>
      <c r="F23" s="275">
        <v>203939.41830438442</v>
      </c>
      <c r="G23" s="275">
        <v>253826.27827420962</v>
      </c>
      <c r="H23" s="275">
        <v>313100.59148447413</v>
      </c>
      <c r="I23" s="275">
        <v>395229.0518644769</v>
      </c>
      <c r="J23" s="275">
        <v>459921.21480995644</v>
      </c>
      <c r="K23" s="275">
        <v>573094.1691497638</v>
      </c>
      <c r="L23" s="275">
        <v>730697.4837235635</v>
      </c>
      <c r="M23" s="275">
        <v>847240.6709598516</v>
      </c>
      <c r="N23" s="275">
        <v>834328.7074244197</v>
      </c>
      <c r="O23" s="275">
        <v>965447.7003000876</v>
      </c>
      <c r="P23" s="268">
        <v>1102180.8675719507</v>
      </c>
    </row>
    <row r="24" spans="2:16" ht="12.75">
      <c r="B24" s="271" t="s">
        <v>302</v>
      </c>
      <c r="C24" s="274">
        <v>43420.93875545947</v>
      </c>
      <c r="D24" s="275">
        <v>55038.71303877768</v>
      </c>
      <c r="E24" s="275">
        <v>73123.20883162234</v>
      </c>
      <c r="F24" s="275">
        <v>95360.19754761516</v>
      </c>
      <c r="G24" s="275">
        <v>117423.45628058883</v>
      </c>
      <c r="H24" s="275">
        <v>146746.9319124802</v>
      </c>
      <c r="I24" s="275">
        <v>173550.0652990988</v>
      </c>
      <c r="J24" s="275">
        <v>201957.21060019304</v>
      </c>
      <c r="K24" s="275">
        <v>248316.45503952657</v>
      </c>
      <c r="L24" s="275">
        <v>256109.26218329504</v>
      </c>
      <c r="M24" s="275">
        <v>288989.36599563755</v>
      </c>
      <c r="N24" s="275">
        <v>442805.3297977229</v>
      </c>
      <c r="O24" s="275">
        <v>472771.6672483366</v>
      </c>
      <c r="P24" s="268">
        <v>525022.2504928989</v>
      </c>
    </row>
    <row r="25" spans="2:16" ht="12.75">
      <c r="B25" s="276" t="s">
        <v>303</v>
      </c>
      <c r="C25" s="274"/>
      <c r="D25" s="275"/>
      <c r="E25" s="275"/>
      <c r="F25" s="275"/>
      <c r="G25" s="275"/>
      <c r="H25" s="275"/>
      <c r="I25" s="275"/>
      <c r="J25" s="275"/>
      <c r="K25" s="275"/>
      <c r="L25" s="275"/>
      <c r="M25" s="275">
        <v>277057.4770645562</v>
      </c>
      <c r="N25" s="275">
        <v>273896.79896387877</v>
      </c>
      <c r="O25" s="275">
        <v>347078.0039798737</v>
      </c>
      <c r="P25" s="268">
        <v>438460.7336223539</v>
      </c>
    </row>
    <row r="26" spans="2:16" ht="12.75">
      <c r="B26" s="277" t="s">
        <v>304</v>
      </c>
      <c r="C26" s="275">
        <v>1275915.631039277</v>
      </c>
      <c r="D26" s="275">
        <v>1607761.6598249348</v>
      </c>
      <c r="E26" s="275">
        <v>2125324.5717338473</v>
      </c>
      <c r="F26" s="275">
        <v>2796640.0709691397</v>
      </c>
      <c r="G26" s="275">
        <v>3452559.5167276445</v>
      </c>
      <c r="H26" s="275">
        <v>4281600</v>
      </c>
      <c r="I26" s="275">
        <v>5125311</v>
      </c>
      <c r="J26" s="275">
        <v>5977698.760408539</v>
      </c>
      <c r="K26" s="275">
        <v>6706380.847371357</v>
      </c>
      <c r="L26" s="275">
        <v>7624615.687221405</v>
      </c>
      <c r="M26" s="275">
        <v>8699887.251915215</v>
      </c>
      <c r="N26" s="268">
        <v>9816318.999999998</v>
      </c>
      <c r="O26" s="268">
        <v>11331638.269191492</v>
      </c>
      <c r="P26" s="268">
        <v>13063316.971239144</v>
      </c>
    </row>
    <row r="28" spans="10:21" ht="12.75">
      <c r="J28" s="508" t="s">
        <v>328</v>
      </c>
      <c r="K28" s="508"/>
      <c r="L28" s="508"/>
      <c r="M28" s="508">
        <v>966.6</v>
      </c>
      <c r="N28" s="508">
        <v>1038.4</v>
      </c>
      <c r="O28" s="508">
        <v>1089.3</v>
      </c>
      <c r="P28" s="508">
        <v>1128.9</v>
      </c>
      <c r="Q28" s="508"/>
      <c r="R28" s="508"/>
      <c r="S28" s="508"/>
      <c r="T28" s="508"/>
      <c r="U28" s="508"/>
    </row>
    <row r="30" spans="10:16" ht="12.75">
      <c r="J30" s="509" t="s">
        <v>286</v>
      </c>
      <c r="K30" s="510"/>
      <c r="L30" s="284"/>
      <c r="M30" s="285">
        <f>M5/M$28</f>
        <v>314.40571398914363</v>
      </c>
      <c r="N30" s="285">
        <f>N5/N$28</f>
        <v>312.93608352015707</v>
      </c>
      <c r="O30" s="285">
        <f>O5/O$28</f>
        <v>323.141432863075</v>
      </c>
      <c r="P30" s="285">
        <f>P5/P$28</f>
        <v>347.88343120432074</v>
      </c>
    </row>
    <row r="31" spans="10:16" ht="12.75">
      <c r="J31" s="509" t="s">
        <v>0</v>
      </c>
      <c r="K31" s="510"/>
      <c r="L31" s="284"/>
      <c r="M31" s="285">
        <f aca="true" t="shared" si="0" ref="M31:P46">M6/M$28</f>
        <v>406.6319701241417</v>
      </c>
      <c r="N31" s="285">
        <f t="shared" si="0"/>
        <v>374.19735512817897</v>
      </c>
      <c r="O31" s="285">
        <f t="shared" si="0"/>
        <v>452.02038813110613</v>
      </c>
      <c r="P31" s="285">
        <f t="shared" si="0"/>
        <v>524.6199965995222</v>
      </c>
    </row>
    <row r="32" spans="10:16" ht="12.75">
      <c r="J32" s="509" t="s">
        <v>4</v>
      </c>
      <c r="K32" s="510"/>
      <c r="L32" s="284"/>
      <c r="M32" s="285">
        <f t="shared" si="0"/>
        <v>364.4646862041751</v>
      </c>
      <c r="N32" s="285">
        <f t="shared" si="0"/>
        <v>411.56941689837157</v>
      </c>
      <c r="O32" s="285">
        <f t="shared" si="0"/>
        <v>491.14101480925416</v>
      </c>
      <c r="P32" s="285">
        <f t="shared" si="0"/>
        <v>566.584041225725</v>
      </c>
    </row>
    <row r="33" spans="10:16" ht="12.75">
      <c r="J33" s="509" t="s">
        <v>287</v>
      </c>
      <c r="K33" s="510"/>
      <c r="L33" s="284"/>
      <c r="M33" s="285">
        <f t="shared" si="0"/>
        <v>395.29798833079633</v>
      </c>
      <c r="N33" s="285">
        <f t="shared" si="0"/>
        <v>402.9812571049433</v>
      </c>
      <c r="O33" s="285">
        <f t="shared" si="0"/>
        <v>554.4632513628292</v>
      </c>
      <c r="P33" s="285">
        <f t="shared" si="0"/>
        <v>668.2893725415659</v>
      </c>
    </row>
    <row r="34" spans="10:16" ht="12.75">
      <c r="J34" s="509" t="s">
        <v>288</v>
      </c>
      <c r="K34" s="510"/>
      <c r="L34" s="284"/>
      <c r="M34" s="285">
        <f t="shared" si="0"/>
        <v>428.1903419376447</v>
      </c>
      <c r="N34" s="285">
        <f t="shared" si="0"/>
        <v>422.9022239798107</v>
      </c>
      <c r="O34" s="285">
        <f t="shared" si="0"/>
        <v>571.2163421041874</v>
      </c>
      <c r="P34" s="285">
        <f t="shared" si="0"/>
        <v>625.6499246007592</v>
      </c>
    </row>
    <row r="35" spans="10:16" ht="12.75">
      <c r="J35" s="509" t="s">
        <v>289</v>
      </c>
      <c r="K35" s="510"/>
      <c r="L35" s="284"/>
      <c r="M35" s="285">
        <f t="shared" si="0"/>
        <v>180.08019468402958</v>
      </c>
      <c r="N35" s="285">
        <f t="shared" si="0"/>
        <v>218.11231859934614</v>
      </c>
      <c r="O35" s="285">
        <f t="shared" si="0"/>
        <v>216.1634532449869</v>
      </c>
      <c r="P35" s="285">
        <f t="shared" si="0"/>
        <v>224.92847364200352</v>
      </c>
    </row>
    <row r="36" spans="10:16" ht="12.75">
      <c r="J36" s="265" t="s">
        <v>290</v>
      </c>
      <c r="K36" s="286"/>
      <c r="L36" s="284"/>
      <c r="M36" s="285">
        <f t="shared" si="0"/>
        <v>1524.131698945947</v>
      </c>
      <c r="N36" s="285">
        <f t="shared" si="0"/>
        <v>1529.4436573544644</v>
      </c>
      <c r="O36" s="285">
        <f t="shared" si="0"/>
        <v>1574.4522715801581</v>
      </c>
      <c r="P36" s="285">
        <f t="shared" si="0"/>
        <v>1737.5361119212114</v>
      </c>
    </row>
    <row r="37" spans="10:16" ht="12.75">
      <c r="J37" s="509" t="s">
        <v>291</v>
      </c>
      <c r="K37" s="510"/>
      <c r="L37" s="284"/>
      <c r="M37" s="285">
        <f t="shared" si="0"/>
        <v>184.49511370580106</v>
      </c>
      <c r="N37" s="285">
        <f t="shared" si="0"/>
        <v>220.78617577111214</v>
      </c>
      <c r="O37" s="285">
        <f t="shared" si="0"/>
        <v>219.05430388217127</v>
      </c>
      <c r="P37" s="285">
        <f t="shared" si="0"/>
        <v>228.15571257379216</v>
      </c>
    </row>
    <row r="38" spans="10:16" ht="12.75">
      <c r="J38" s="509" t="s">
        <v>292</v>
      </c>
      <c r="K38" s="510"/>
      <c r="L38" s="284"/>
      <c r="M38" s="285">
        <f t="shared" si="0"/>
        <v>345.1734395496046</v>
      </c>
      <c r="N38" s="285">
        <f t="shared" si="0"/>
        <v>281.041902283157</v>
      </c>
      <c r="O38" s="285">
        <f t="shared" si="0"/>
        <v>278.89806291761926</v>
      </c>
      <c r="P38" s="285">
        <f t="shared" si="0"/>
        <v>289.64876333177955</v>
      </c>
    </row>
    <row r="39" spans="10:16" ht="12.75">
      <c r="J39" s="509" t="s">
        <v>293</v>
      </c>
      <c r="K39" s="510"/>
      <c r="L39" s="284"/>
      <c r="M39" s="285">
        <f t="shared" si="0"/>
        <v>283.23960207354463</v>
      </c>
      <c r="N39" s="285">
        <f t="shared" si="0"/>
        <v>362.37615363375335</v>
      </c>
      <c r="O39" s="285">
        <f t="shared" si="0"/>
        <v>400.17277387157014</v>
      </c>
      <c r="P39" s="285">
        <f t="shared" si="0"/>
        <v>472.4527401567017</v>
      </c>
    </row>
    <row r="40" spans="10:16" ht="12.75">
      <c r="J40" s="509" t="s">
        <v>294</v>
      </c>
      <c r="K40" s="510"/>
      <c r="L40" s="284"/>
      <c r="M40" s="285">
        <f t="shared" si="0"/>
        <v>502.88778863300456</v>
      </c>
      <c r="N40" s="285">
        <f t="shared" si="0"/>
        <v>522.6662408272315</v>
      </c>
      <c r="O40" s="285">
        <f t="shared" si="0"/>
        <v>557.6078555901519</v>
      </c>
      <c r="P40" s="285">
        <f t="shared" si="0"/>
        <v>628.7552534167287</v>
      </c>
    </row>
    <row r="41" spans="10:16" ht="12.75">
      <c r="J41" s="509" t="s">
        <v>295</v>
      </c>
      <c r="K41" s="510"/>
      <c r="L41" s="284"/>
      <c r="M41" s="285">
        <f t="shared" si="0"/>
        <v>518.8524803356397</v>
      </c>
      <c r="N41" s="285">
        <f t="shared" si="0"/>
        <v>559.5971971266774</v>
      </c>
      <c r="O41" s="285">
        <f t="shared" si="0"/>
        <v>703.5161039954114</v>
      </c>
      <c r="P41" s="285">
        <f t="shared" si="0"/>
        <v>823.0698560030849</v>
      </c>
    </row>
    <row r="42" spans="10:16" ht="12.75">
      <c r="J42" s="509" t="s">
        <v>296</v>
      </c>
      <c r="K42" s="510"/>
      <c r="L42" s="284"/>
      <c r="M42" s="285">
        <f t="shared" si="0"/>
        <v>232.9053283215378</v>
      </c>
      <c r="N42" s="285">
        <f t="shared" si="0"/>
        <v>218.71514889098347</v>
      </c>
      <c r="O42" s="285">
        <f t="shared" si="0"/>
        <v>217.0746414243706</v>
      </c>
      <c r="P42" s="285">
        <f t="shared" si="0"/>
        <v>212.2073378629894</v>
      </c>
    </row>
    <row r="43" spans="10:16" ht="12.75">
      <c r="J43" s="509" t="s">
        <v>297</v>
      </c>
      <c r="K43" s="510"/>
      <c r="L43" s="284"/>
      <c r="M43" s="285">
        <f t="shared" si="0"/>
        <v>306.8429022463401</v>
      </c>
      <c r="N43" s="285">
        <f t="shared" si="0"/>
        <v>349.4092062610317</v>
      </c>
      <c r="O43" s="285">
        <f t="shared" si="0"/>
        <v>410.62516092427023</v>
      </c>
      <c r="P43" s="285">
        <f t="shared" si="0"/>
        <v>496.5664852541415</v>
      </c>
    </row>
    <row r="44" spans="10:16" ht="12.75">
      <c r="J44" s="509" t="s">
        <v>298</v>
      </c>
      <c r="K44" s="510"/>
      <c r="L44" s="284"/>
      <c r="M44" s="285">
        <f t="shared" si="0"/>
        <v>290.5421117710178</v>
      </c>
      <c r="N44" s="285">
        <f t="shared" si="0"/>
        <v>335.7332407615132</v>
      </c>
      <c r="O44" s="285">
        <f t="shared" si="0"/>
        <v>359.8010125205197</v>
      </c>
      <c r="P44" s="285">
        <f t="shared" si="0"/>
        <v>396.7096847294367</v>
      </c>
    </row>
    <row r="45" spans="10:16" ht="12.75">
      <c r="J45" s="509" t="s">
        <v>2</v>
      </c>
      <c r="K45" s="510"/>
      <c r="L45" s="284"/>
      <c r="M45" s="285">
        <f t="shared" si="0"/>
        <v>220.29746827942373</v>
      </c>
      <c r="N45" s="285">
        <f t="shared" si="0"/>
        <v>343.8828075121447</v>
      </c>
      <c r="O45" s="285">
        <f t="shared" si="0"/>
        <v>347.49666329791404</v>
      </c>
      <c r="P45" s="285">
        <f t="shared" si="0"/>
        <v>372.71275147524113</v>
      </c>
    </row>
    <row r="46" spans="10:16" ht="12.75">
      <c r="J46" s="509" t="s">
        <v>299</v>
      </c>
      <c r="K46" s="510"/>
      <c r="L46" s="284"/>
      <c r="M46" s="285">
        <f t="shared" si="0"/>
        <v>700.9719676111146</v>
      </c>
      <c r="N46" s="285">
        <f t="shared" si="0"/>
        <v>642.6341949306028</v>
      </c>
      <c r="O46" s="285">
        <f t="shared" si="0"/>
        <v>638.2521571879345</v>
      </c>
      <c r="P46" s="285">
        <f t="shared" si="0"/>
        <v>659.6619588128574</v>
      </c>
    </row>
    <row r="47" spans="10:16" ht="12.75">
      <c r="J47" s="509" t="s">
        <v>300</v>
      </c>
      <c r="K47" s="510"/>
      <c r="L47" s="284"/>
      <c r="M47" s="285">
        <f aca="true" t="shared" si="1" ref="M47:P51">M22/M$28</f>
        <v>338.9708894718343</v>
      </c>
      <c r="N47" s="285">
        <f t="shared" si="1"/>
        <v>450.65348164107513</v>
      </c>
      <c r="O47" s="285">
        <f t="shared" si="1"/>
        <v>448.6421148487876</v>
      </c>
      <c r="P47" s="285">
        <f t="shared" si="1"/>
        <v>466.4877782701974</v>
      </c>
    </row>
    <row r="48" spans="10:16" ht="12.75">
      <c r="J48" s="509" t="s">
        <v>301</v>
      </c>
      <c r="K48" s="510"/>
      <c r="L48" s="284"/>
      <c r="M48" s="285">
        <f t="shared" si="1"/>
        <v>876.5163159112886</v>
      </c>
      <c r="N48" s="285">
        <f t="shared" si="1"/>
        <v>803.4752575350728</v>
      </c>
      <c r="O48" s="285">
        <f t="shared" si="1"/>
        <v>886.3010192785162</v>
      </c>
      <c r="P48" s="285">
        <f t="shared" si="1"/>
        <v>976.3317101354863</v>
      </c>
    </row>
    <row r="49" spans="10:16" ht="12.75">
      <c r="J49" s="509" t="s">
        <v>302</v>
      </c>
      <c r="K49" s="510"/>
      <c r="L49" s="284"/>
      <c r="M49" s="285">
        <f t="shared" si="1"/>
        <v>298.9751355220748</v>
      </c>
      <c r="N49" s="285">
        <f t="shared" si="1"/>
        <v>426.430402347576</v>
      </c>
      <c r="O49" s="285">
        <f t="shared" si="1"/>
        <v>434.0141992548762</v>
      </c>
      <c r="P49" s="285">
        <f t="shared" si="1"/>
        <v>465.0741876985551</v>
      </c>
    </row>
    <row r="50" spans="10:16" ht="12.75">
      <c r="J50" s="509" t="s">
        <v>303</v>
      </c>
      <c r="K50" s="510"/>
      <c r="L50" s="284"/>
      <c r="M50" s="285">
        <f t="shared" si="1"/>
        <v>286.63095082201136</v>
      </c>
      <c r="N50" s="285">
        <f t="shared" si="1"/>
        <v>263.7681037787738</v>
      </c>
      <c r="O50" s="285">
        <f t="shared" si="1"/>
        <v>318.62480857419786</v>
      </c>
      <c r="P50" s="285">
        <f t="shared" si="1"/>
        <v>388.39643336199293</v>
      </c>
    </row>
    <row r="51" spans="10:16" ht="12.75">
      <c r="J51" s="287" t="s">
        <v>304</v>
      </c>
      <c r="K51" s="286"/>
      <c r="L51" s="284"/>
      <c r="M51" s="285">
        <f t="shared" si="1"/>
        <v>9000.504088470116</v>
      </c>
      <c r="N51" s="285">
        <f t="shared" si="1"/>
        <v>9453.311825885976</v>
      </c>
      <c r="O51" s="285">
        <f t="shared" si="1"/>
        <v>10402.679031663905</v>
      </c>
      <c r="P51" s="285">
        <f t="shared" si="1"/>
        <v>11571.722004818092</v>
      </c>
    </row>
    <row r="53" spans="10:16" ht="12.75">
      <c r="J53" s="509" t="s">
        <v>286</v>
      </c>
      <c r="K53" s="510"/>
      <c r="L53" s="284"/>
      <c r="M53" s="284"/>
      <c r="N53" s="284">
        <f>(N30-M30)/M30</f>
        <v>-0.004674312213795553</v>
      </c>
      <c r="O53" s="284">
        <f>(O30-N30)/N30</f>
        <v>0.03261160946388781</v>
      </c>
      <c r="P53" s="284">
        <f>(P30-O30)/O30</f>
        <v>0.07656708742679148</v>
      </c>
    </row>
    <row r="54" spans="10:16" ht="12.75">
      <c r="J54" s="509" t="s">
        <v>0</v>
      </c>
      <c r="K54" s="510"/>
      <c r="L54" s="284"/>
      <c r="M54" s="284"/>
      <c r="N54" s="284">
        <f aca="true" t="shared" si="2" ref="N54:P69">(N31-M31)/M31</f>
        <v>-0.07976405540877826</v>
      </c>
      <c r="O54" s="284">
        <f t="shared" si="2"/>
        <v>0.2079732310675188</v>
      </c>
      <c r="P54" s="284">
        <f t="shared" si="2"/>
        <v>0.1606113581924516</v>
      </c>
    </row>
    <row r="55" spans="10:16" ht="12.75">
      <c r="J55" s="509" t="s">
        <v>4</v>
      </c>
      <c r="K55" s="510"/>
      <c r="L55" s="284"/>
      <c r="M55" s="284"/>
      <c r="N55" s="284">
        <f t="shared" si="2"/>
        <v>0.12924360706871924</v>
      </c>
      <c r="O55" s="284">
        <f t="shared" si="2"/>
        <v>0.19333700378065535</v>
      </c>
      <c r="P55" s="284">
        <f t="shared" si="2"/>
        <v>0.15360766896197992</v>
      </c>
    </row>
    <row r="56" spans="10:16" ht="12.75">
      <c r="J56" s="509" t="s">
        <v>287</v>
      </c>
      <c r="K56" s="510"/>
      <c r="L56" s="284"/>
      <c r="M56" s="284"/>
      <c r="N56" s="284">
        <f t="shared" si="2"/>
        <v>0.019436650326986795</v>
      </c>
      <c r="O56" s="284">
        <f t="shared" si="2"/>
        <v>0.3759033245023535</v>
      </c>
      <c r="P56" s="284">
        <f t="shared" si="2"/>
        <v>0.20529064982929093</v>
      </c>
    </row>
    <row r="57" spans="10:16" ht="12.75">
      <c r="J57" s="509" t="s">
        <v>288</v>
      </c>
      <c r="K57" s="510"/>
      <c r="L57" s="284"/>
      <c r="M57" s="284"/>
      <c r="N57" s="284">
        <f t="shared" si="2"/>
        <v>-0.01234992348006786</v>
      </c>
      <c r="O57" s="284">
        <f t="shared" si="2"/>
        <v>0.3507054579392736</v>
      </c>
      <c r="P57" s="284">
        <f t="shared" si="2"/>
        <v>0.0952941617462395</v>
      </c>
    </row>
    <row r="58" spans="10:16" ht="12.75">
      <c r="J58" s="509" t="s">
        <v>289</v>
      </c>
      <c r="K58" s="510"/>
      <c r="L58" s="284"/>
      <c r="M58" s="284"/>
      <c r="N58" s="284">
        <f t="shared" si="2"/>
        <v>0.21119548422328221</v>
      </c>
      <c r="O58" s="284">
        <f t="shared" si="2"/>
        <v>-0.008935145739930182</v>
      </c>
      <c r="P58" s="284">
        <f t="shared" si="2"/>
        <v>0.040548114241508115</v>
      </c>
    </row>
    <row r="59" spans="10:16" ht="12.75">
      <c r="J59" s="265" t="s">
        <v>290</v>
      </c>
      <c r="K59" s="286"/>
      <c r="L59" s="284"/>
      <c r="M59" s="284"/>
      <c r="N59" s="284">
        <f t="shared" si="2"/>
        <v>0.0034852358311234753</v>
      </c>
      <c r="O59" s="284">
        <f t="shared" si="2"/>
        <v>0.02942809564070295</v>
      </c>
      <c r="P59" s="284">
        <f t="shared" si="2"/>
        <v>0.10358131731575348</v>
      </c>
    </row>
    <row r="60" spans="10:16" ht="12.75">
      <c r="J60" s="509" t="s">
        <v>291</v>
      </c>
      <c r="K60" s="510"/>
      <c r="L60" s="284"/>
      <c r="M60" s="284"/>
      <c r="N60" s="284">
        <f t="shared" si="2"/>
        <v>0.19670473291331392</v>
      </c>
      <c r="O60" s="284">
        <f t="shared" si="2"/>
        <v>-0.007844113803285833</v>
      </c>
      <c r="P60" s="284">
        <f t="shared" si="2"/>
        <v>0.041548641274432634</v>
      </c>
    </row>
    <row r="61" spans="10:16" ht="12.75">
      <c r="J61" s="509" t="s">
        <v>292</v>
      </c>
      <c r="K61" s="510"/>
      <c r="L61" s="284"/>
      <c r="M61" s="284"/>
      <c r="N61" s="284">
        <f t="shared" si="2"/>
        <v>-0.18579511027884665</v>
      </c>
      <c r="O61" s="284">
        <f t="shared" si="2"/>
        <v>-0.007628184082592013</v>
      </c>
      <c r="P61" s="284">
        <f t="shared" si="2"/>
        <v>0.038547060175659335</v>
      </c>
    </row>
    <row r="62" spans="10:16" ht="12.75">
      <c r="J62" s="509" t="s">
        <v>293</v>
      </c>
      <c r="K62" s="510"/>
      <c r="L62" s="284"/>
      <c r="M62" s="284"/>
      <c r="N62" s="284">
        <f t="shared" si="2"/>
        <v>0.27939790545130233</v>
      </c>
      <c r="O62" s="284">
        <f t="shared" si="2"/>
        <v>0.10430217291841205</v>
      </c>
      <c r="P62" s="284">
        <f t="shared" si="2"/>
        <v>0.18062189885094176</v>
      </c>
    </row>
    <row r="63" spans="10:16" ht="12.75">
      <c r="J63" s="509" t="s">
        <v>294</v>
      </c>
      <c r="K63" s="510"/>
      <c r="L63" s="284"/>
      <c r="M63" s="284"/>
      <c r="N63" s="284">
        <f t="shared" si="2"/>
        <v>0.039329752364817845</v>
      </c>
      <c r="O63" s="284">
        <f t="shared" si="2"/>
        <v>0.06685263373356155</v>
      </c>
      <c r="P63" s="284">
        <f t="shared" si="2"/>
        <v>0.12759396610594198</v>
      </c>
    </row>
    <row r="64" spans="10:16" ht="12.75">
      <c r="J64" s="509" t="s">
        <v>295</v>
      </c>
      <c r="K64" s="510"/>
      <c r="L64" s="284"/>
      <c r="M64" s="284"/>
      <c r="N64" s="284">
        <f t="shared" si="2"/>
        <v>0.07852851886663513</v>
      </c>
      <c r="O64" s="284">
        <f t="shared" si="2"/>
        <v>0.25718303738421816</v>
      </c>
      <c r="P64" s="284">
        <f t="shared" si="2"/>
        <v>0.16993747737785006</v>
      </c>
    </row>
    <row r="65" spans="10:16" ht="12.75">
      <c r="J65" s="509" t="s">
        <v>296</v>
      </c>
      <c r="K65" s="510"/>
      <c r="L65" s="284"/>
      <c r="M65" s="284"/>
      <c r="N65" s="284">
        <f t="shared" si="2"/>
        <v>-0.06092681319408916</v>
      </c>
      <c r="O65" s="284">
        <f t="shared" si="2"/>
        <v>-0.007500657704467263</v>
      </c>
      <c r="P65" s="284">
        <f t="shared" si="2"/>
        <v>-0.022422257751728233</v>
      </c>
    </row>
    <row r="66" spans="10:16" ht="12.75">
      <c r="J66" s="509" t="s">
        <v>297</v>
      </c>
      <c r="K66" s="510"/>
      <c r="L66" s="284"/>
      <c r="M66" s="284"/>
      <c r="N66" s="284">
        <f t="shared" si="2"/>
        <v>0.13872344350503663</v>
      </c>
      <c r="O66" s="284">
        <f t="shared" si="2"/>
        <v>0.17519845947478027</v>
      </c>
      <c r="P66" s="284">
        <f t="shared" si="2"/>
        <v>0.2092938585069342</v>
      </c>
    </row>
    <row r="67" spans="10:16" ht="12.75">
      <c r="J67" s="509" t="s">
        <v>298</v>
      </c>
      <c r="K67" s="510"/>
      <c r="L67" s="284"/>
      <c r="M67" s="284"/>
      <c r="N67" s="284">
        <f t="shared" si="2"/>
        <v>0.1555407190889816</v>
      </c>
      <c r="O67" s="284">
        <f t="shared" si="2"/>
        <v>0.07168718743611976</v>
      </c>
      <c r="P67" s="284">
        <f t="shared" si="2"/>
        <v>0.10258079028282906</v>
      </c>
    </row>
    <row r="68" spans="10:16" ht="12.75">
      <c r="J68" s="509" t="s">
        <v>2</v>
      </c>
      <c r="K68" s="510"/>
      <c r="L68" s="284"/>
      <c r="M68" s="284"/>
      <c r="N68" s="284">
        <f t="shared" si="2"/>
        <v>0.5609930073093997</v>
      </c>
      <c r="O68" s="284">
        <f t="shared" si="2"/>
        <v>0.010508974879884591</v>
      </c>
      <c r="P68" s="284">
        <f t="shared" si="2"/>
        <v>0.07256497929509317</v>
      </c>
    </row>
    <row r="69" spans="10:16" ht="12.75">
      <c r="J69" s="509" t="s">
        <v>299</v>
      </c>
      <c r="K69" s="510"/>
      <c r="L69" s="284"/>
      <c r="M69" s="284"/>
      <c r="N69" s="284">
        <f t="shared" si="2"/>
        <v>-0.08322411647833028</v>
      </c>
      <c r="O69" s="284">
        <f t="shared" si="2"/>
        <v>-0.006818867992453376</v>
      </c>
      <c r="P69" s="284">
        <f t="shared" si="2"/>
        <v>0.03354442501103645</v>
      </c>
    </row>
    <row r="70" spans="10:16" ht="12.75">
      <c r="J70" s="509" t="s">
        <v>300</v>
      </c>
      <c r="K70" s="510"/>
      <c r="L70" s="284"/>
      <c r="M70" s="284"/>
      <c r="N70" s="284">
        <f aca="true" t="shared" si="3" ref="N70:P74">(N47-M47)/M47</f>
        <v>0.32947546718025983</v>
      </c>
      <c r="O70" s="284">
        <f t="shared" si="3"/>
        <v>-0.00446322257394533</v>
      </c>
      <c r="P70" s="284">
        <f t="shared" si="3"/>
        <v>0.03977705799515623</v>
      </c>
    </row>
    <row r="71" spans="10:16" ht="12.75">
      <c r="J71" s="509" t="s">
        <v>301</v>
      </c>
      <c r="K71" s="510"/>
      <c r="L71" s="284"/>
      <c r="M71" s="284"/>
      <c r="N71" s="284">
        <f t="shared" si="3"/>
        <v>-0.0833310881387041</v>
      </c>
      <c r="O71" s="284">
        <f t="shared" si="3"/>
        <v>0.10308439614872378</v>
      </c>
      <c r="P71" s="284">
        <f t="shared" si="3"/>
        <v>0.10158026324990431</v>
      </c>
    </row>
    <row r="72" spans="10:16" ht="12.75">
      <c r="J72" s="509" t="s">
        <v>302</v>
      </c>
      <c r="K72" s="510"/>
      <c r="L72" s="284"/>
      <c r="M72" s="284"/>
      <c r="N72" s="284">
        <f t="shared" si="3"/>
        <v>0.4263072465974031</v>
      </c>
      <c r="O72" s="284">
        <f t="shared" si="3"/>
        <v>0.017784371999627718</v>
      </c>
      <c r="P72" s="284">
        <f t="shared" si="3"/>
        <v>0.07156445226216854</v>
      </c>
    </row>
    <row r="73" spans="10:16" ht="12.75">
      <c r="J73" s="509" t="s">
        <v>303</v>
      </c>
      <c r="K73" s="510"/>
      <c r="L73" s="284"/>
      <c r="M73" s="284"/>
      <c r="N73" s="284">
        <f t="shared" si="3"/>
        <v>-0.07976405540877765</v>
      </c>
      <c r="O73" s="284">
        <f t="shared" si="3"/>
        <v>0.20797323106751817</v>
      </c>
      <c r="P73" s="284">
        <f t="shared" si="3"/>
        <v>0.21897737687160485</v>
      </c>
    </row>
    <row r="74" spans="10:16" ht="12.75">
      <c r="J74" s="287" t="s">
        <v>304</v>
      </c>
      <c r="K74" s="286"/>
      <c r="L74" s="284"/>
      <c r="M74" s="284"/>
      <c r="N74" s="284">
        <f t="shared" si="3"/>
        <v>0.0503091530168759</v>
      </c>
      <c r="O74" s="284">
        <f t="shared" si="3"/>
        <v>0.10042694277557629</v>
      </c>
      <c r="P74" s="284">
        <f t="shared" si="3"/>
        <v>0.11237902943999592</v>
      </c>
    </row>
    <row r="75" spans="11:16" ht="12.75">
      <c r="K75" s="283"/>
      <c r="L75" s="283"/>
      <c r="M75" s="283"/>
      <c r="N75" s="283"/>
      <c r="O75" s="283"/>
      <c r="P75" s="283"/>
    </row>
    <row r="76" spans="10:16" ht="12.75">
      <c r="J76" s="288" t="s">
        <v>327</v>
      </c>
      <c r="K76" s="283"/>
      <c r="L76" s="283"/>
      <c r="M76" s="283">
        <v>0.01</v>
      </c>
      <c r="N76" s="283">
        <v>0.035</v>
      </c>
      <c r="O76" s="283">
        <v>0.041</v>
      </c>
      <c r="P76" s="283">
        <v>0.043</v>
      </c>
    </row>
    <row r="77" spans="11:16" ht="12.75">
      <c r="K77" s="283"/>
      <c r="L77" s="283"/>
      <c r="M77" s="283"/>
      <c r="N77" s="283"/>
      <c r="O77" s="283"/>
      <c r="P77" s="283"/>
    </row>
    <row r="78" spans="10:17" ht="12.75">
      <c r="J78" s="509" t="s">
        <v>286</v>
      </c>
      <c r="K78" s="510"/>
      <c r="L78" s="284"/>
      <c r="M78" s="284"/>
      <c r="N78" s="284">
        <f aca="true" t="shared" si="4" ref="N78:P93">N53-N$76</f>
        <v>-0.039674312213795554</v>
      </c>
      <c r="O78" s="284">
        <f t="shared" si="4"/>
        <v>-0.008388390536112192</v>
      </c>
      <c r="P78" s="284">
        <f t="shared" si="4"/>
        <v>0.033567087426791486</v>
      </c>
      <c r="Q78" s="289">
        <f>AVERAGE(N78:P78)</f>
        <v>-0.004831871774372086</v>
      </c>
    </row>
    <row r="79" spans="10:17" ht="12.75">
      <c r="J79" s="509" t="s">
        <v>0</v>
      </c>
      <c r="K79" s="510"/>
      <c r="L79" s="284"/>
      <c r="M79" s="284"/>
      <c r="N79" s="284">
        <f t="shared" si="4"/>
        <v>-0.11476405540877826</v>
      </c>
      <c r="O79" s="284">
        <f t="shared" si="4"/>
        <v>0.1669732310675188</v>
      </c>
      <c r="P79" s="284">
        <f t="shared" si="4"/>
        <v>0.1176113581924516</v>
      </c>
      <c r="Q79" s="289">
        <f aca="true" t="shared" si="5" ref="Q79:Q99">AVERAGE(N79:P79)</f>
        <v>0.056606844617064035</v>
      </c>
    </row>
    <row r="80" spans="10:17" ht="12.75">
      <c r="J80" s="509" t="s">
        <v>4</v>
      </c>
      <c r="K80" s="510"/>
      <c r="L80" s="284"/>
      <c r="M80" s="284"/>
      <c r="N80" s="284">
        <f t="shared" si="4"/>
        <v>0.09424360706871923</v>
      </c>
      <c r="O80" s="284">
        <f t="shared" si="4"/>
        <v>0.15233700378065534</v>
      </c>
      <c r="P80" s="284">
        <f t="shared" si="4"/>
        <v>0.11060766896197992</v>
      </c>
      <c r="Q80" s="289">
        <f t="shared" si="5"/>
        <v>0.11906275993711816</v>
      </c>
    </row>
    <row r="81" spans="10:17" ht="12.75">
      <c r="J81" s="509" t="s">
        <v>287</v>
      </c>
      <c r="K81" s="510"/>
      <c r="L81" s="284"/>
      <c r="M81" s="284"/>
      <c r="N81" s="284">
        <f t="shared" si="4"/>
        <v>-0.015563349673013208</v>
      </c>
      <c r="O81" s="284">
        <f t="shared" si="4"/>
        <v>0.3349033245023535</v>
      </c>
      <c r="P81" s="284">
        <f t="shared" si="4"/>
        <v>0.16229064982929092</v>
      </c>
      <c r="Q81" s="289">
        <f t="shared" si="5"/>
        <v>0.16054354155287706</v>
      </c>
    </row>
    <row r="82" spans="10:17" ht="12.75">
      <c r="J82" s="509" t="s">
        <v>288</v>
      </c>
      <c r="K82" s="510"/>
      <c r="L82" s="284"/>
      <c r="M82" s="284"/>
      <c r="N82" s="284">
        <f t="shared" si="4"/>
        <v>-0.04734992348006786</v>
      </c>
      <c r="O82" s="284">
        <f t="shared" si="4"/>
        <v>0.3097054579392736</v>
      </c>
      <c r="P82" s="284">
        <f t="shared" si="4"/>
        <v>0.052294161746239506</v>
      </c>
      <c r="Q82" s="289">
        <f t="shared" si="5"/>
        <v>0.10488323206848177</v>
      </c>
    </row>
    <row r="83" spans="10:17" ht="12.75">
      <c r="J83" s="509" t="s">
        <v>289</v>
      </c>
      <c r="K83" s="510"/>
      <c r="L83" s="284"/>
      <c r="M83" s="284"/>
      <c r="N83" s="284">
        <f t="shared" si="4"/>
        <v>0.1761954842232822</v>
      </c>
      <c r="O83" s="284">
        <f t="shared" si="4"/>
        <v>-0.04993514573993019</v>
      </c>
      <c r="P83" s="284">
        <f t="shared" si="4"/>
        <v>-0.0024518857584918813</v>
      </c>
      <c r="Q83" s="289">
        <f t="shared" si="5"/>
        <v>0.041269484241620046</v>
      </c>
    </row>
    <row r="84" spans="10:17" ht="12.75">
      <c r="J84" s="265" t="s">
        <v>290</v>
      </c>
      <c r="K84" s="290"/>
      <c r="L84" s="284"/>
      <c r="M84" s="284"/>
      <c r="N84" s="284">
        <f t="shared" si="4"/>
        <v>-0.031514764168876525</v>
      </c>
      <c r="O84" s="284">
        <f t="shared" si="4"/>
        <v>-0.011571904359297051</v>
      </c>
      <c r="P84" s="284">
        <f t="shared" si="4"/>
        <v>0.06058131731575349</v>
      </c>
      <c r="Q84" s="289">
        <f t="shared" si="5"/>
        <v>0.005831549595859971</v>
      </c>
    </row>
    <row r="85" spans="10:17" ht="12.75">
      <c r="J85" s="509" t="s">
        <v>291</v>
      </c>
      <c r="K85" s="510"/>
      <c r="L85" s="284"/>
      <c r="M85" s="284"/>
      <c r="N85" s="284">
        <f t="shared" si="4"/>
        <v>0.16170473291331391</v>
      </c>
      <c r="O85" s="284">
        <f t="shared" si="4"/>
        <v>-0.048844113803285835</v>
      </c>
      <c r="P85" s="284">
        <f t="shared" si="4"/>
        <v>-0.001451358725567363</v>
      </c>
      <c r="Q85" s="289">
        <f t="shared" si="5"/>
        <v>0.037136420128153574</v>
      </c>
    </row>
    <row r="86" spans="10:17" ht="12.75">
      <c r="J86" s="509" t="s">
        <v>292</v>
      </c>
      <c r="K86" s="510"/>
      <c r="L86" s="284"/>
      <c r="M86" s="284"/>
      <c r="N86" s="284">
        <f t="shared" si="4"/>
        <v>-0.22079511027884666</v>
      </c>
      <c r="O86" s="284">
        <f t="shared" si="4"/>
        <v>-0.048628184082592014</v>
      </c>
      <c r="P86" s="284">
        <f t="shared" si="4"/>
        <v>-0.004452939824340661</v>
      </c>
      <c r="Q86" s="289">
        <f t="shared" si="5"/>
        <v>-0.09129207806192645</v>
      </c>
    </row>
    <row r="87" spans="10:17" ht="12.75">
      <c r="J87" s="509" t="s">
        <v>293</v>
      </c>
      <c r="K87" s="510"/>
      <c r="L87" s="284"/>
      <c r="M87" s="284"/>
      <c r="N87" s="284">
        <f t="shared" si="4"/>
        <v>0.24439790545130233</v>
      </c>
      <c r="O87" s="284">
        <f t="shared" si="4"/>
        <v>0.06330217291841206</v>
      </c>
      <c r="P87" s="284">
        <f t="shared" si="4"/>
        <v>0.13762189885094178</v>
      </c>
      <c r="Q87" s="289">
        <f t="shared" si="5"/>
        <v>0.14844065907355206</v>
      </c>
    </row>
    <row r="88" spans="10:17" ht="12.75">
      <c r="J88" s="509" t="s">
        <v>294</v>
      </c>
      <c r="K88" s="510"/>
      <c r="L88" s="284"/>
      <c r="M88" s="284"/>
      <c r="N88" s="284">
        <f t="shared" si="4"/>
        <v>0.004329752364817842</v>
      </c>
      <c r="O88" s="284">
        <f t="shared" si="4"/>
        <v>0.02585263373356155</v>
      </c>
      <c r="P88" s="284">
        <f t="shared" si="4"/>
        <v>0.08459396610594198</v>
      </c>
      <c r="Q88" s="289">
        <f t="shared" si="5"/>
        <v>0.03825878406810713</v>
      </c>
    </row>
    <row r="89" spans="10:17" ht="12.75">
      <c r="J89" s="509" t="s">
        <v>295</v>
      </c>
      <c r="K89" s="510"/>
      <c r="L89" s="284"/>
      <c r="M89" s="284"/>
      <c r="N89" s="284">
        <f t="shared" si="4"/>
        <v>0.04352851886663513</v>
      </c>
      <c r="O89" s="284">
        <f t="shared" si="4"/>
        <v>0.21618303738421815</v>
      </c>
      <c r="P89" s="284">
        <f t="shared" si="4"/>
        <v>0.12693747737785005</v>
      </c>
      <c r="Q89" s="289">
        <f t="shared" si="5"/>
        <v>0.12888301120956777</v>
      </c>
    </row>
    <row r="90" spans="10:17" ht="12.75">
      <c r="J90" s="509" t="s">
        <v>296</v>
      </c>
      <c r="K90" s="510"/>
      <c r="L90" s="284"/>
      <c r="M90" s="284"/>
      <c r="N90" s="284">
        <f t="shared" si="4"/>
        <v>-0.09592681319408916</v>
      </c>
      <c r="O90" s="284">
        <f t="shared" si="4"/>
        <v>-0.048500657704467265</v>
      </c>
      <c r="P90" s="284">
        <f t="shared" si="4"/>
        <v>-0.06542225775172823</v>
      </c>
      <c r="Q90" s="289">
        <f t="shared" si="5"/>
        <v>-0.06994990955009489</v>
      </c>
    </row>
    <row r="91" spans="10:17" ht="12.75">
      <c r="J91" s="509" t="s">
        <v>297</v>
      </c>
      <c r="K91" s="510"/>
      <c r="L91" s="284"/>
      <c r="M91" s="284"/>
      <c r="N91" s="284">
        <f t="shared" si="4"/>
        <v>0.10372344350503662</v>
      </c>
      <c r="O91" s="284">
        <f t="shared" si="4"/>
        <v>0.13419845947478026</v>
      </c>
      <c r="P91" s="284">
        <f t="shared" si="4"/>
        <v>0.16629385850693418</v>
      </c>
      <c r="Q91" s="289">
        <f t="shared" si="5"/>
        <v>0.13473858716225037</v>
      </c>
    </row>
    <row r="92" spans="10:17" ht="12.75">
      <c r="J92" s="509" t="s">
        <v>298</v>
      </c>
      <c r="K92" s="510"/>
      <c r="L92" s="284"/>
      <c r="M92" s="284"/>
      <c r="N92" s="284">
        <f t="shared" si="4"/>
        <v>0.12054071908898159</v>
      </c>
      <c r="O92" s="284">
        <f t="shared" si="4"/>
        <v>0.030687187436119763</v>
      </c>
      <c r="P92" s="284">
        <f t="shared" si="4"/>
        <v>0.05958079028282906</v>
      </c>
      <c r="Q92" s="289">
        <f t="shared" si="5"/>
        <v>0.07026956560264347</v>
      </c>
    </row>
    <row r="93" spans="10:17" ht="12.75">
      <c r="J93" s="509" t="s">
        <v>2</v>
      </c>
      <c r="K93" s="510"/>
      <c r="L93" s="284"/>
      <c r="M93" s="284"/>
      <c r="N93" s="284">
        <f t="shared" si="4"/>
        <v>0.5259930073093997</v>
      </c>
      <c r="O93" s="284">
        <f t="shared" si="4"/>
        <v>-0.03049102512011541</v>
      </c>
      <c r="P93" s="284">
        <f t="shared" si="4"/>
        <v>0.029564979295093177</v>
      </c>
      <c r="Q93" s="289">
        <f t="shared" si="5"/>
        <v>0.1750223204947925</v>
      </c>
    </row>
    <row r="94" spans="10:17" ht="12.75">
      <c r="J94" s="509" t="s">
        <v>299</v>
      </c>
      <c r="K94" s="510"/>
      <c r="L94" s="284"/>
      <c r="M94" s="284"/>
      <c r="N94" s="284">
        <f aca="true" t="shared" si="6" ref="N94:P99">N69-N$76</f>
        <v>-0.11822411647833028</v>
      </c>
      <c r="O94" s="284">
        <f t="shared" si="6"/>
        <v>-0.04781886799245338</v>
      </c>
      <c r="P94" s="284">
        <f t="shared" si="6"/>
        <v>-0.009455574988963544</v>
      </c>
      <c r="Q94" s="289">
        <f t="shared" si="5"/>
        <v>-0.05849951981991574</v>
      </c>
    </row>
    <row r="95" spans="10:17" ht="12.75">
      <c r="J95" s="509" t="s">
        <v>300</v>
      </c>
      <c r="K95" s="510"/>
      <c r="L95" s="284"/>
      <c r="M95" s="284"/>
      <c r="N95" s="284">
        <f t="shared" si="6"/>
        <v>0.29447546718025985</v>
      </c>
      <c r="O95" s="284">
        <f t="shared" si="6"/>
        <v>-0.04546322257394533</v>
      </c>
      <c r="P95" s="284">
        <f t="shared" si="6"/>
        <v>-0.0032229420048437638</v>
      </c>
      <c r="Q95" s="289">
        <f t="shared" si="5"/>
        <v>0.08192976753382358</v>
      </c>
    </row>
    <row r="96" spans="10:17" ht="12.75">
      <c r="J96" s="509" t="s">
        <v>301</v>
      </c>
      <c r="K96" s="510"/>
      <c r="L96" s="284"/>
      <c r="M96" s="284"/>
      <c r="N96" s="284">
        <f t="shared" si="6"/>
        <v>-0.1183310881387041</v>
      </c>
      <c r="O96" s="284">
        <f t="shared" si="6"/>
        <v>0.062084396148723776</v>
      </c>
      <c r="P96" s="284">
        <f t="shared" si="6"/>
        <v>0.05858026324990431</v>
      </c>
      <c r="Q96" s="289">
        <f t="shared" si="5"/>
        <v>0.0007778570866413282</v>
      </c>
    </row>
    <row r="97" spans="10:17" ht="12.75">
      <c r="J97" s="509" t="s">
        <v>302</v>
      </c>
      <c r="K97" s="510"/>
      <c r="L97" s="284"/>
      <c r="M97" s="284"/>
      <c r="N97" s="284">
        <f t="shared" si="6"/>
        <v>0.3913072465974031</v>
      </c>
      <c r="O97" s="284">
        <f t="shared" si="6"/>
        <v>-0.023215628000372284</v>
      </c>
      <c r="P97" s="284">
        <f t="shared" si="6"/>
        <v>0.02856445226216854</v>
      </c>
      <c r="Q97" s="289">
        <f t="shared" si="5"/>
        <v>0.1322186902863998</v>
      </c>
    </row>
    <row r="98" spans="10:17" ht="12.75">
      <c r="J98" s="509" t="s">
        <v>303</v>
      </c>
      <c r="K98" s="510"/>
      <c r="L98" s="284"/>
      <c r="M98" s="284"/>
      <c r="N98" s="284">
        <f t="shared" si="6"/>
        <v>-0.11476405540877765</v>
      </c>
      <c r="O98" s="284">
        <f t="shared" si="6"/>
        <v>0.16697323106751816</v>
      </c>
      <c r="P98" s="284">
        <f t="shared" si="6"/>
        <v>0.17597737687160486</v>
      </c>
      <c r="Q98" s="289">
        <f t="shared" si="5"/>
        <v>0.07606218417678179</v>
      </c>
    </row>
    <row r="99" spans="10:17" ht="12.75">
      <c r="J99" s="287" t="s">
        <v>304</v>
      </c>
      <c r="K99" s="290"/>
      <c r="L99" s="284"/>
      <c r="M99" s="284"/>
      <c r="N99" s="284">
        <f t="shared" si="6"/>
        <v>0.015309153016875895</v>
      </c>
      <c r="O99" s="284">
        <f t="shared" si="6"/>
        <v>0.05942694277557629</v>
      </c>
      <c r="P99" s="284">
        <f t="shared" si="6"/>
        <v>0.06937902943999592</v>
      </c>
      <c r="Q99" s="289">
        <f t="shared" si="5"/>
        <v>0.04803837507748271</v>
      </c>
    </row>
  </sheetData>
  <mergeCells count="62">
    <mergeCell ref="J91:K91"/>
    <mergeCell ref="J92:K92"/>
    <mergeCell ref="J98:K98"/>
    <mergeCell ref="J97:K97"/>
    <mergeCell ref="J96:K96"/>
    <mergeCell ref="J95:K95"/>
    <mergeCell ref="J94:K94"/>
    <mergeCell ref="J93:K93"/>
    <mergeCell ref="J87:K87"/>
    <mergeCell ref="J88:K88"/>
    <mergeCell ref="J89:K89"/>
    <mergeCell ref="J90:K90"/>
    <mergeCell ref="J82:K82"/>
    <mergeCell ref="J83:K83"/>
    <mergeCell ref="J85:K85"/>
    <mergeCell ref="J86:K86"/>
    <mergeCell ref="J78:K78"/>
    <mergeCell ref="J79:K79"/>
    <mergeCell ref="J80:K80"/>
    <mergeCell ref="J81:K81"/>
    <mergeCell ref="J70:K70"/>
    <mergeCell ref="J71:K71"/>
    <mergeCell ref="J72:K72"/>
    <mergeCell ref="J73:K73"/>
    <mergeCell ref="J66:K66"/>
    <mergeCell ref="J67:K67"/>
    <mergeCell ref="J68:K68"/>
    <mergeCell ref="J69:K69"/>
    <mergeCell ref="J62:K62"/>
    <mergeCell ref="J63:K63"/>
    <mergeCell ref="J64:K64"/>
    <mergeCell ref="J65:K65"/>
    <mergeCell ref="J57:K57"/>
    <mergeCell ref="J58:K58"/>
    <mergeCell ref="J60:K60"/>
    <mergeCell ref="J61:K61"/>
    <mergeCell ref="J53:K53"/>
    <mergeCell ref="J54:K54"/>
    <mergeCell ref="J55:K55"/>
    <mergeCell ref="J56:K56"/>
    <mergeCell ref="J50:K50"/>
    <mergeCell ref="J49:K49"/>
    <mergeCell ref="J48:K48"/>
    <mergeCell ref="J47:K47"/>
    <mergeCell ref="J46:K46"/>
    <mergeCell ref="J45:K45"/>
    <mergeCell ref="J44:K44"/>
    <mergeCell ref="J43:K43"/>
    <mergeCell ref="J42:K42"/>
    <mergeCell ref="J33:K33"/>
    <mergeCell ref="J34:K34"/>
    <mergeCell ref="J35:K35"/>
    <mergeCell ref="J37:K37"/>
    <mergeCell ref="J41:K41"/>
    <mergeCell ref="J40:K40"/>
    <mergeCell ref="J39:K39"/>
    <mergeCell ref="J38:K38"/>
    <mergeCell ref="B2:M2"/>
    <mergeCell ref="J30:K30"/>
    <mergeCell ref="J31:K31"/>
    <mergeCell ref="J32:K32"/>
    <mergeCell ref="J28:U2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2:Q99"/>
  <sheetViews>
    <sheetView workbookViewId="0" topLeftCell="A25">
      <selection activeCell="J77" sqref="J77"/>
    </sheetView>
  </sheetViews>
  <sheetFormatPr defaultColWidth="9.140625" defaultRowHeight="12.75"/>
  <cols>
    <col min="1" max="1" width="9.140625" style="1" customWidth="1"/>
    <col min="2" max="2" width="53.00390625" style="1" bestFit="1" customWidth="1"/>
    <col min="3" max="12" width="9.140625" style="1" customWidth="1"/>
    <col min="13" max="13" width="9.28125" style="1" bestFit="1" customWidth="1"/>
    <col min="14" max="16384" width="9.140625" style="1" customWidth="1"/>
  </cols>
  <sheetData>
    <row r="2" ht="12.75">
      <c r="B2" s="259" t="s">
        <v>279</v>
      </c>
    </row>
    <row r="4" spans="2:16" ht="14.25">
      <c r="B4" s="262" t="s">
        <v>280</v>
      </c>
      <c r="C4" s="263">
        <v>1992</v>
      </c>
      <c r="D4" s="263">
        <v>1993</v>
      </c>
      <c r="E4" s="263">
        <v>1994</v>
      </c>
      <c r="F4" s="263">
        <v>1995</v>
      </c>
      <c r="G4" s="263">
        <v>1996</v>
      </c>
      <c r="H4" s="263">
        <v>1997</v>
      </c>
      <c r="I4" s="263">
        <v>1998</v>
      </c>
      <c r="J4" s="263">
        <v>1999</v>
      </c>
      <c r="K4" s="263">
        <v>2000</v>
      </c>
      <c r="L4" s="263" t="s">
        <v>281</v>
      </c>
      <c r="M4" s="263" t="s">
        <v>282</v>
      </c>
      <c r="N4" s="263" t="s">
        <v>283</v>
      </c>
      <c r="O4" s="263" t="s">
        <v>284</v>
      </c>
      <c r="P4" s="263" t="s">
        <v>285</v>
      </c>
    </row>
    <row r="5" spans="2:16" ht="12.75">
      <c r="B5" s="265" t="s">
        <v>286</v>
      </c>
      <c r="C5" s="266">
        <v>33142.40208802293</v>
      </c>
      <c r="D5" s="266">
        <v>41150.132743413255</v>
      </c>
      <c r="E5" s="266">
        <v>53219.77943814186</v>
      </c>
      <c r="F5" s="266">
        <v>68290.47277678722</v>
      </c>
      <c r="G5" s="266">
        <v>82447.50372726767</v>
      </c>
      <c r="H5" s="266">
        <v>100763.44879502193</v>
      </c>
      <c r="I5" s="266">
        <v>115375.20741213574</v>
      </c>
      <c r="J5" s="266">
        <v>130243.08303156146</v>
      </c>
      <c r="K5" s="266">
        <v>137277.92546189847</v>
      </c>
      <c r="L5" s="266">
        <v>155503.45668116887</v>
      </c>
      <c r="M5" s="266">
        <v>178873.0303908345</v>
      </c>
      <c r="N5" s="266">
        <v>189676.3879482156</v>
      </c>
      <c r="O5" s="266">
        <v>200791.05448870294</v>
      </c>
      <c r="P5" s="266">
        <v>219882.16914233498</v>
      </c>
    </row>
    <row r="6" spans="2:16" ht="12.75">
      <c r="B6" s="267" t="s">
        <v>0</v>
      </c>
      <c r="C6" s="268">
        <v>61066.1887060728</v>
      </c>
      <c r="D6" s="268">
        <v>73866.799241953</v>
      </c>
      <c r="E6" s="268">
        <v>93523.86759582948</v>
      </c>
      <c r="F6" s="268">
        <v>124224.83497316952</v>
      </c>
      <c r="G6" s="268">
        <v>148622.39336861455</v>
      </c>
      <c r="H6" s="268">
        <v>177342.8597474499</v>
      </c>
      <c r="I6" s="268">
        <v>201165.44321120053</v>
      </c>
      <c r="J6" s="268">
        <v>227088.6629179188</v>
      </c>
      <c r="K6" s="268">
        <v>251521.74892289913</v>
      </c>
      <c r="L6" s="268">
        <v>278677.5065334467</v>
      </c>
      <c r="M6" s="268">
        <v>303989.6906756718</v>
      </c>
      <c r="N6" s="268">
        <v>293511.17762437987</v>
      </c>
      <c r="O6" s="268">
        <v>357349.24622915563</v>
      </c>
      <c r="P6" s="268">
        <v>414764.2377647241</v>
      </c>
    </row>
    <row r="7" spans="2:16" ht="12.75">
      <c r="B7" s="267" t="s">
        <v>4</v>
      </c>
      <c r="C7" s="268">
        <v>39769.05997351283</v>
      </c>
      <c r="D7" s="268">
        <v>47454.71892173593</v>
      </c>
      <c r="E7" s="268">
        <v>59605.61186909979</v>
      </c>
      <c r="F7" s="268">
        <v>74001.23358201522</v>
      </c>
      <c r="G7" s="268">
        <v>86463.96827431164</v>
      </c>
      <c r="H7" s="268">
        <v>101456.70106427305</v>
      </c>
      <c r="I7" s="268">
        <v>116972.79846733098</v>
      </c>
      <c r="J7" s="268">
        <v>132046.52264903684</v>
      </c>
      <c r="K7" s="268">
        <v>139178.69371817415</v>
      </c>
      <c r="L7" s="268">
        <v>152722.2640602126</v>
      </c>
      <c r="M7" s="268">
        <v>255071.36861045094</v>
      </c>
      <c r="N7" s="268">
        <v>306299.1441925497</v>
      </c>
      <c r="O7" s="268">
        <v>377348.84350086725</v>
      </c>
      <c r="P7" s="268">
        <v>445463.00834261655</v>
      </c>
    </row>
    <row r="8" spans="2:16" ht="12.75">
      <c r="B8" s="267" t="s">
        <v>287</v>
      </c>
      <c r="C8" s="268">
        <v>37531.5726220788</v>
      </c>
      <c r="D8" s="268">
        <v>46056.21786322908</v>
      </c>
      <c r="E8" s="268">
        <v>60037.90079993909</v>
      </c>
      <c r="F8" s="268">
        <v>76778.26535031461</v>
      </c>
      <c r="G8" s="268">
        <v>92948.40154764347</v>
      </c>
      <c r="H8" s="268">
        <v>112776.78173629915</v>
      </c>
      <c r="I8" s="268">
        <v>130740.60476046745</v>
      </c>
      <c r="J8" s="268">
        <v>147588.54308942647</v>
      </c>
      <c r="K8" s="268">
        <v>165576.1702019653</v>
      </c>
      <c r="L8" s="268">
        <v>192027.6527389359</v>
      </c>
      <c r="M8" s="268">
        <v>232698.87030298004</v>
      </c>
      <c r="N8" s="268">
        <v>251911.04665679776</v>
      </c>
      <c r="O8" s="268">
        <v>357108.87964586314</v>
      </c>
      <c r="P8" s="268">
        <v>439576.1931898714</v>
      </c>
    </row>
    <row r="9" spans="2:16" ht="12.75">
      <c r="B9" s="267" t="s">
        <v>288</v>
      </c>
      <c r="C9" s="268">
        <v>43008.87163434995</v>
      </c>
      <c r="D9" s="268">
        <v>52372.421843037264</v>
      </c>
      <c r="E9" s="268">
        <v>67241.18365993763</v>
      </c>
      <c r="F9" s="268">
        <v>86596.78950680015</v>
      </c>
      <c r="G9" s="268">
        <v>104777.49740165067</v>
      </c>
      <c r="H9" s="268">
        <v>125739.07904620441</v>
      </c>
      <c r="I9" s="268">
        <v>145819.1922486839</v>
      </c>
      <c r="J9" s="268">
        <v>164610.1607160852</v>
      </c>
      <c r="K9" s="268">
        <v>173501.16584869122</v>
      </c>
      <c r="L9" s="268">
        <v>206303.63405068067</v>
      </c>
      <c r="M9" s="268">
        <v>235189.60552930878</v>
      </c>
      <c r="N9" s="268">
        <v>245087.9182064657</v>
      </c>
      <c r="O9" s="268">
        <v>338355.8730212915</v>
      </c>
      <c r="P9" s="268">
        <v>375467.18346096016</v>
      </c>
    </row>
    <row r="10" spans="2:16" ht="12.75">
      <c r="B10" s="267" t="s">
        <v>289</v>
      </c>
      <c r="C10" s="268">
        <v>40399.42604268315</v>
      </c>
      <c r="D10" s="268">
        <v>50426.29738219444</v>
      </c>
      <c r="E10" s="268">
        <v>66937.64555677032</v>
      </c>
      <c r="F10" s="268">
        <v>84450.99361118916</v>
      </c>
      <c r="G10" s="268">
        <v>101164.15671984403</v>
      </c>
      <c r="H10" s="268">
        <v>124188.3839322635</v>
      </c>
      <c r="I10" s="268">
        <v>142715.54624824223</v>
      </c>
      <c r="J10" s="268">
        <v>161106.5133413763</v>
      </c>
      <c r="K10" s="268">
        <v>169808.20459846535</v>
      </c>
      <c r="L10" s="268">
        <v>181432.419729177</v>
      </c>
      <c r="M10" s="268">
        <v>195765.3186979792</v>
      </c>
      <c r="N10" s="268">
        <v>250842.64579952892</v>
      </c>
      <c r="O10" s="268">
        <v>254602.79574819884</v>
      </c>
      <c r="P10" s="268">
        <v>268943.5985939212</v>
      </c>
    </row>
    <row r="11" spans="2:16" ht="12.75">
      <c r="B11" s="267" t="s">
        <v>290</v>
      </c>
      <c r="C11" s="268">
        <v>142926.28114972456</v>
      </c>
      <c r="D11" s="268">
        <v>171208.49704411623</v>
      </c>
      <c r="E11" s="268">
        <v>226325.6470698045</v>
      </c>
      <c r="F11" s="268">
        <v>267976.13620034116</v>
      </c>
      <c r="G11" s="268">
        <v>311064.92726019444</v>
      </c>
      <c r="H11" s="268">
        <v>371811.2802713896</v>
      </c>
      <c r="I11" s="268">
        <v>435859.4919678025</v>
      </c>
      <c r="J11" s="268">
        <v>492026.6398832559</v>
      </c>
      <c r="K11" s="268">
        <v>518602.30964654905</v>
      </c>
      <c r="L11" s="268">
        <v>556905.1312785977</v>
      </c>
      <c r="M11" s="268">
        <v>589776.2557151702</v>
      </c>
      <c r="N11" s="268">
        <v>616248.8277024187</v>
      </c>
      <c r="O11" s="268">
        <v>637470.8210314775</v>
      </c>
      <c r="P11" s="268">
        <v>700727.2745533006</v>
      </c>
    </row>
    <row r="12" spans="2:16" ht="12.75">
      <c r="B12" s="267" t="s">
        <v>291</v>
      </c>
      <c r="C12" s="268">
        <v>40975.32180834939</v>
      </c>
      <c r="D12" s="268">
        <v>51155.20568087805</v>
      </c>
      <c r="E12" s="268">
        <v>66444.24916433617</v>
      </c>
      <c r="F12" s="268">
        <v>86143.87434409729</v>
      </c>
      <c r="G12" s="268">
        <v>104347.77480943207</v>
      </c>
      <c r="H12" s="268">
        <v>126948.80901977001</v>
      </c>
      <c r="I12" s="268">
        <v>145413.1741038285</v>
      </c>
      <c r="J12" s="268">
        <v>164151.85473031516</v>
      </c>
      <c r="K12" s="268">
        <v>173018.15483760458</v>
      </c>
      <c r="L12" s="268">
        <v>185085.02864309296</v>
      </c>
      <c r="M12" s="268">
        <v>225365.37939561598</v>
      </c>
      <c r="N12" s="268">
        <v>287688.0551632822</v>
      </c>
      <c r="O12" s="268">
        <v>295260.00979867624</v>
      </c>
      <c r="P12" s="268">
        <v>315328.4206638639</v>
      </c>
    </row>
    <row r="13" spans="2:16" ht="12.75">
      <c r="B13" s="267" t="s">
        <v>292</v>
      </c>
      <c r="C13" s="268">
        <v>39778.22736558222</v>
      </c>
      <c r="D13" s="268">
        <v>49878.30277124993</v>
      </c>
      <c r="E13" s="268">
        <v>64744.19160138845</v>
      </c>
      <c r="F13" s="268">
        <v>85083.21090380452</v>
      </c>
      <c r="G13" s="268">
        <v>103892.4741979279</v>
      </c>
      <c r="H13" s="268">
        <v>126872.8429870237</v>
      </c>
      <c r="I13" s="268">
        <v>188853.7025724546</v>
      </c>
      <c r="J13" s="268">
        <v>225981.7692132389</v>
      </c>
      <c r="K13" s="268">
        <v>235057.030235313</v>
      </c>
      <c r="L13" s="268">
        <v>265147.47679866984</v>
      </c>
      <c r="M13" s="268">
        <v>295647.18368048134</v>
      </c>
      <c r="N13" s="268">
        <v>255859.77158605878</v>
      </c>
      <c r="O13" s="268">
        <v>261864.26486774</v>
      </c>
      <c r="P13" s="268">
        <v>278021.5565568976</v>
      </c>
    </row>
    <row r="14" spans="2:16" ht="12.75">
      <c r="B14" s="267" t="s">
        <v>293</v>
      </c>
      <c r="C14" s="268">
        <v>54344.97117842941</v>
      </c>
      <c r="D14" s="268">
        <v>66799.61017131383</v>
      </c>
      <c r="E14" s="268">
        <v>84082.27017271944</v>
      </c>
      <c r="F14" s="268">
        <v>109830.4434651897</v>
      </c>
      <c r="G14" s="268">
        <v>132231.1602529049</v>
      </c>
      <c r="H14" s="268">
        <v>157749.42294547963</v>
      </c>
      <c r="I14" s="268">
        <v>180359.87839920883</v>
      </c>
      <c r="J14" s="268">
        <v>203601.99206442904</v>
      </c>
      <c r="K14" s="268">
        <v>214305.8961919745</v>
      </c>
      <c r="L14" s="268">
        <v>207622.0505261731</v>
      </c>
      <c r="M14" s="268">
        <v>245065.99678497936</v>
      </c>
      <c r="N14" s="268">
        <v>330901.0404171836</v>
      </c>
      <c r="O14" s="268">
        <v>373488.55443054246</v>
      </c>
      <c r="P14" s="268">
        <v>447187.7606423354</v>
      </c>
    </row>
    <row r="15" spans="2:16" ht="12.75">
      <c r="B15" s="267" t="s">
        <v>294</v>
      </c>
      <c r="C15" s="268">
        <v>53964.0374269625</v>
      </c>
      <c r="D15" s="268">
        <v>65800.87402001143</v>
      </c>
      <c r="E15" s="268">
        <v>83448.38198498038</v>
      </c>
      <c r="F15" s="268">
        <v>108807.27028210784</v>
      </c>
      <c r="G15" s="268">
        <v>132082.80693910018</v>
      </c>
      <c r="H15" s="268">
        <v>157894.5609307307</v>
      </c>
      <c r="I15" s="268">
        <v>182412.35819999696</v>
      </c>
      <c r="J15" s="268">
        <v>205918.90547855117</v>
      </c>
      <c r="K15" s="268">
        <v>217041.06938499358</v>
      </c>
      <c r="L15" s="268">
        <v>248491.0932440735</v>
      </c>
      <c r="M15" s="268">
        <v>325072.29927558755</v>
      </c>
      <c r="N15" s="268">
        <v>359186.5502913254</v>
      </c>
      <c r="O15" s="268">
        <v>395997.9431485908</v>
      </c>
      <c r="P15" s="268">
        <v>456936.69439661404</v>
      </c>
    </row>
    <row r="16" spans="2:16" ht="12.75">
      <c r="B16" s="267" t="s">
        <v>295</v>
      </c>
      <c r="C16" s="268">
        <v>44420.00320098356</v>
      </c>
      <c r="D16" s="268">
        <v>54481.603789165434</v>
      </c>
      <c r="E16" s="268">
        <v>68609.87164246105</v>
      </c>
      <c r="F16" s="268">
        <v>89725.97950741483</v>
      </c>
      <c r="G16" s="268">
        <v>108404.66561694312</v>
      </c>
      <c r="H16" s="268">
        <v>129449.29904535193</v>
      </c>
      <c r="I16" s="268">
        <v>148381.40828229667</v>
      </c>
      <c r="J16" s="268">
        <v>167502.62755941803</v>
      </c>
      <c r="K16" s="268">
        <v>176549.94829730107</v>
      </c>
      <c r="L16" s="268">
        <v>202534.92853742576</v>
      </c>
      <c r="M16" s="268">
        <v>242276.1655984598</v>
      </c>
      <c r="N16" s="268">
        <v>276041.7039361454</v>
      </c>
      <c r="O16" s="268">
        <v>355412.6717871928</v>
      </c>
      <c r="P16" s="268">
        <v>422115.67678894324</v>
      </c>
    </row>
    <row r="17" spans="2:16" ht="12.75">
      <c r="B17" s="267" t="s">
        <v>296</v>
      </c>
      <c r="C17" s="268">
        <v>44275.060631236476</v>
      </c>
      <c r="D17" s="268">
        <v>54850.19609040228</v>
      </c>
      <c r="E17" s="268">
        <v>70246.7159241327</v>
      </c>
      <c r="F17" s="268">
        <v>90896.3135087493</v>
      </c>
      <c r="G17" s="268">
        <v>110091.58375834259</v>
      </c>
      <c r="H17" s="268">
        <v>133565.37203124445</v>
      </c>
      <c r="I17" s="268">
        <v>152845.42957656638</v>
      </c>
      <c r="J17" s="268">
        <v>172541.87397071952</v>
      </c>
      <c r="K17" s="268">
        <v>181861.24188810153</v>
      </c>
      <c r="L17" s="268">
        <v>183942.24478652497</v>
      </c>
      <c r="M17" s="268">
        <v>206394.35177701968</v>
      </c>
      <c r="N17" s="268">
        <v>206031.43771297898</v>
      </c>
      <c r="O17" s="268">
        <v>209632.15157061996</v>
      </c>
      <c r="P17" s="268">
        <v>208247.33647047312</v>
      </c>
    </row>
    <row r="18" spans="2:16" ht="12.75">
      <c r="B18" s="267" t="s">
        <v>297</v>
      </c>
      <c r="C18" s="268">
        <v>43202.24320644717</v>
      </c>
      <c r="D18" s="268">
        <v>53571.609938775364</v>
      </c>
      <c r="E18" s="268">
        <v>68713.68163619336</v>
      </c>
      <c r="F18" s="268">
        <v>89090.78138218341</v>
      </c>
      <c r="G18" s="268">
        <v>107945.56863880195</v>
      </c>
      <c r="H18" s="268">
        <v>130943.30084603236</v>
      </c>
      <c r="I18" s="268">
        <v>149895.83344576106</v>
      </c>
      <c r="J18" s="268">
        <v>169212.19781062298</v>
      </c>
      <c r="K18" s="268">
        <v>178351.82830476272</v>
      </c>
      <c r="L18" s="268">
        <v>184363.04869642248</v>
      </c>
      <c r="M18" s="268">
        <v>172648.5640158334</v>
      </c>
      <c r="N18" s="268">
        <v>205886.82033741602</v>
      </c>
      <c r="O18" s="268">
        <v>244843.19139835506</v>
      </c>
      <c r="P18" s="268">
        <v>296991.69603259774</v>
      </c>
    </row>
    <row r="19" spans="2:16" ht="12.75">
      <c r="B19" s="267" t="s">
        <v>298</v>
      </c>
      <c r="C19" s="268">
        <v>59045.71530289177</v>
      </c>
      <c r="D19" s="268">
        <v>71769.48377827242</v>
      </c>
      <c r="E19" s="268">
        <v>88254.72267611868</v>
      </c>
      <c r="F19" s="268">
        <v>116057.64466574838</v>
      </c>
      <c r="G19" s="268">
        <v>139266.10030321238</v>
      </c>
      <c r="H19" s="268">
        <v>163745.3064462243</v>
      </c>
      <c r="I19" s="268">
        <v>187015.70722170625</v>
      </c>
      <c r="J19" s="268">
        <v>211115.47084849092</v>
      </c>
      <c r="K19" s="268">
        <v>222518.40554209537</v>
      </c>
      <c r="L19" s="268">
        <v>221803.77197621486</v>
      </c>
      <c r="M19" s="268">
        <v>245973.04755787054</v>
      </c>
      <c r="N19" s="268">
        <v>298018.5664237687</v>
      </c>
      <c r="O19" s="268">
        <v>323191.3512499079</v>
      </c>
      <c r="P19" s="268">
        <v>357790.71379979426</v>
      </c>
    </row>
    <row r="20" spans="2:16" ht="12.75">
      <c r="B20" s="267" t="s">
        <v>2</v>
      </c>
      <c r="C20" s="268">
        <v>32977.609832068316</v>
      </c>
      <c r="D20" s="268">
        <v>40961.577501112275</v>
      </c>
      <c r="E20" s="268">
        <v>52986.07434560298</v>
      </c>
      <c r="F20" s="268">
        <v>68063.02481158535</v>
      </c>
      <c r="G20" s="268">
        <v>81602.42891750677</v>
      </c>
      <c r="H20" s="268">
        <v>98961.04143012554</v>
      </c>
      <c r="I20" s="268">
        <v>113172.56157313044</v>
      </c>
      <c r="J20" s="268">
        <v>127756.54550774934</v>
      </c>
      <c r="K20" s="268">
        <v>134657.0462315923</v>
      </c>
      <c r="L20" s="268">
        <v>155279.10015027726</v>
      </c>
      <c r="M20" s="268">
        <v>126816.98021920612</v>
      </c>
      <c r="N20" s="268">
        <v>205044.5229384381</v>
      </c>
      <c r="O20" s="268">
        <v>207169.17120995748</v>
      </c>
      <c r="P20" s="268">
        <v>220222.5410450791</v>
      </c>
    </row>
    <row r="21" spans="2:16" ht="12.75">
      <c r="B21" s="267" t="s">
        <v>299</v>
      </c>
      <c r="C21" s="268">
        <v>50292.40396273775</v>
      </c>
      <c r="D21" s="268">
        <v>61824.498416455666</v>
      </c>
      <c r="E21" s="268">
        <v>77377.40646293083</v>
      </c>
      <c r="F21" s="268">
        <v>102001.09056069503</v>
      </c>
      <c r="G21" s="268">
        <v>123896.72586319086</v>
      </c>
      <c r="H21" s="268">
        <v>148404.14179580702</v>
      </c>
      <c r="I21" s="268">
        <v>169692.04011533954</v>
      </c>
      <c r="J21" s="268">
        <v>191559.4505841717</v>
      </c>
      <c r="K21" s="268">
        <v>210306.1479487723</v>
      </c>
      <c r="L21" s="268">
        <v>230873.37742379034</v>
      </c>
      <c r="M21" s="268">
        <v>241504.25362773592</v>
      </c>
      <c r="N21" s="268">
        <v>232163.7720094986</v>
      </c>
      <c r="O21" s="268">
        <v>234031.31966252843</v>
      </c>
      <c r="P21" s="268">
        <v>243349.52803493483</v>
      </c>
    </row>
    <row r="22" spans="2:16" ht="12.75">
      <c r="B22" s="267" t="s">
        <v>300</v>
      </c>
      <c r="C22" s="268">
        <v>32024.290965167136</v>
      </c>
      <c r="D22" s="268">
        <v>39621.11956630222</v>
      </c>
      <c r="E22" s="268">
        <v>50897.9204993004</v>
      </c>
      <c r="F22" s="268">
        <v>65606.92979308349</v>
      </c>
      <c r="G22" s="268">
        <v>79074.41271518827</v>
      </c>
      <c r="H22" s="268">
        <v>95623.26683305437</v>
      </c>
      <c r="I22" s="268">
        <v>109536.45367776607</v>
      </c>
      <c r="J22" s="268">
        <v>123651.88782682415</v>
      </c>
      <c r="K22" s="268">
        <v>140149.63102963008</v>
      </c>
      <c r="L22" s="268">
        <v>150536.3161949294</v>
      </c>
      <c r="M22" s="268">
        <v>161095.03658189392</v>
      </c>
      <c r="N22" s="268">
        <v>224862.35588006684</v>
      </c>
      <c r="O22" s="268">
        <v>227663.69890836606</v>
      </c>
      <c r="P22" s="268">
        <v>238632.73157104582</v>
      </c>
    </row>
    <row r="23" spans="2:16" ht="12.75">
      <c r="B23" s="267" t="s">
        <v>301</v>
      </c>
      <c r="C23" s="268">
        <v>44979.79025375673</v>
      </c>
      <c r="D23" s="268">
        <v>55401.70267250939</v>
      </c>
      <c r="E23" s="268">
        <v>69976.39923193367</v>
      </c>
      <c r="F23" s="268">
        <v>91955.7301399515</v>
      </c>
      <c r="G23" s="268">
        <v>111772.34545009014</v>
      </c>
      <c r="H23" s="268">
        <v>134335.2718383321</v>
      </c>
      <c r="I23" s="268">
        <v>153934.02198237999</v>
      </c>
      <c r="J23" s="268">
        <v>173770.76466768328</v>
      </c>
      <c r="K23" s="268">
        <v>224468.08010656908</v>
      </c>
      <c r="L23" s="268">
        <v>277634.75941539713</v>
      </c>
      <c r="M23" s="268">
        <v>287966.7069637053</v>
      </c>
      <c r="N23" s="268">
        <v>277317.3658663151</v>
      </c>
      <c r="O23" s="268">
        <v>310793.00460567954</v>
      </c>
      <c r="P23" s="268">
        <v>344785.5728013049</v>
      </c>
    </row>
    <row r="24" spans="2:16" ht="12.75">
      <c r="B24" s="267" t="s">
        <v>302</v>
      </c>
      <c r="C24" s="268">
        <v>40211.460996059024</v>
      </c>
      <c r="D24" s="268">
        <v>49615.312810747666</v>
      </c>
      <c r="E24" s="268">
        <v>64171.08569309308</v>
      </c>
      <c r="F24" s="268">
        <v>81475.68212897085</v>
      </c>
      <c r="G24" s="268">
        <v>97686.16251646259</v>
      </c>
      <c r="H24" s="268">
        <v>118591.23749006416</v>
      </c>
      <c r="I24" s="268">
        <v>136055.3795744528</v>
      </c>
      <c r="J24" s="268">
        <v>153588.15401934332</v>
      </c>
      <c r="K24" s="268">
        <v>183194.07549893772</v>
      </c>
      <c r="L24" s="268">
        <v>183289.98431484879</v>
      </c>
      <c r="M24" s="268">
        <v>211156.61528745212</v>
      </c>
      <c r="N24" s="268">
        <v>317819.36751098535</v>
      </c>
      <c r="O24" s="268">
        <v>330949.3012745508</v>
      </c>
      <c r="P24" s="268">
        <v>359291.74655806174</v>
      </c>
    </row>
    <row r="25" spans="2:16" ht="12.75">
      <c r="B25" s="267" t="s">
        <v>303</v>
      </c>
      <c r="C25" s="268"/>
      <c r="D25" s="268"/>
      <c r="E25" s="268"/>
      <c r="F25" s="268"/>
      <c r="G25" s="268"/>
      <c r="H25" s="268"/>
      <c r="I25" s="268"/>
      <c r="J25" s="268"/>
      <c r="K25" s="268"/>
      <c r="L25" s="268"/>
      <c r="M25" s="268">
        <v>266283.38502313517</v>
      </c>
      <c r="N25" s="268">
        <v>258314.00652052794</v>
      </c>
      <c r="O25" s="268">
        <v>315126.3935578615</v>
      </c>
      <c r="P25" s="268">
        <v>384151.00161765615</v>
      </c>
    </row>
    <row r="26" spans="2:16" ht="12.75">
      <c r="B26" s="269" t="s">
        <v>304</v>
      </c>
      <c r="C26" s="270">
        <v>50513.87533076809</v>
      </c>
      <c r="D26" s="270">
        <v>61894.224790992674</v>
      </c>
      <c r="E26" s="270">
        <v>79559.76857047944</v>
      </c>
      <c r="F26" s="270">
        <v>101799.24181906298</v>
      </c>
      <c r="G26" s="270">
        <v>122204.96756747061</v>
      </c>
      <c r="H26" s="270">
        <v>147026.2922816485</v>
      </c>
      <c r="I26" s="270">
        <v>170719.79786746023</v>
      </c>
      <c r="J26" s="270">
        <v>193169.20686338277</v>
      </c>
      <c r="K26" s="270">
        <v>210232.36966956663</v>
      </c>
      <c r="L26" s="270">
        <v>231865.8658215499</v>
      </c>
      <c r="M26" s="270">
        <v>259043.89031305964</v>
      </c>
      <c r="N26" s="270">
        <v>286611.6364513773</v>
      </c>
      <c r="O26" s="270">
        <v>321300.1818724684</v>
      </c>
      <c r="P26" s="270">
        <v>360891.90742227336</v>
      </c>
    </row>
    <row r="28" spans="10:16" ht="12.75">
      <c r="J28" s="259" t="s">
        <v>326</v>
      </c>
      <c r="M28" s="282">
        <v>966.6</v>
      </c>
      <c r="N28" s="282">
        <v>1038.4</v>
      </c>
      <c r="O28" s="282">
        <v>1089.3</v>
      </c>
      <c r="P28" s="282">
        <v>1128.9</v>
      </c>
    </row>
    <row r="30" spans="10:16" ht="12.75">
      <c r="J30" s="509" t="s">
        <v>286</v>
      </c>
      <c r="K30" s="510"/>
      <c r="L30" s="284"/>
      <c r="M30" s="285">
        <f aca="true" t="shared" si="0" ref="M30:P45">M5/M$28</f>
        <v>185.053828254536</v>
      </c>
      <c r="N30" s="285">
        <f t="shared" si="0"/>
        <v>182.6621609670797</v>
      </c>
      <c r="O30" s="285">
        <f t="shared" si="0"/>
        <v>184.33035388662714</v>
      </c>
      <c r="P30" s="285">
        <f t="shared" si="0"/>
        <v>194.77559495290546</v>
      </c>
    </row>
    <row r="31" spans="10:16" ht="12.75">
      <c r="J31" s="509" t="s">
        <v>0</v>
      </c>
      <c r="K31" s="510"/>
      <c r="L31" s="284"/>
      <c r="M31" s="285">
        <f t="shared" si="0"/>
        <v>314.49378302883486</v>
      </c>
      <c r="N31" s="285">
        <f t="shared" si="0"/>
        <v>282.65714332085884</v>
      </c>
      <c r="O31" s="285">
        <f t="shared" si="0"/>
        <v>328.05402205926345</v>
      </c>
      <c r="P31" s="285">
        <f t="shared" si="0"/>
        <v>367.4056495391302</v>
      </c>
    </row>
    <row r="32" spans="10:16" ht="12.75">
      <c r="J32" s="509" t="s">
        <v>4</v>
      </c>
      <c r="K32" s="510"/>
      <c r="L32" s="284"/>
      <c r="M32" s="285">
        <f t="shared" si="0"/>
        <v>263.8851320199161</v>
      </c>
      <c r="N32" s="285">
        <f t="shared" si="0"/>
        <v>294.9722112794199</v>
      </c>
      <c r="O32" s="285">
        <f t="shared" si="0"/>
        <v>346.41406729171695</v>
      </c>
      <c r="P32" s="285">
        <f t="shared" si="0"/>
        <v>394.59917472107054</v>
      </c>
    </row>
    <row r="33" spans="10:16" ht="12.75">
      <c r="J33" s="509" t="s">
        <v>287</v>
      </c>
      <c r="K33" s="510"/>
      <c r="L33" s="284"/>
      <c r="M33" s="285">
        <f t="shared" si="0"/>
        <v>240.73957200804887</v>
      </c>
      <c r="N33" s="285">
        <f t="shared" si="0"/>
        <v>242.59538391448163</v>
      </c>
      <c r="O33" s="285">
        <f t="shared" si="0"/>
        <v>327.8333605488508</v>
      </c>
      <c r="P33" s="285">
        <f t="shared" si="0"/>
        <v>389.3845275842602</v>
      </c>
    </row>
    <row r="34" spans="10:16" ht="12.75">
      <c r="J34" s="509" t="s">
        <v>288</v>
      </c>
      <c r="K34" s="510"/>
      <c r="L34" s="284"/>
      <c r="M34" s="285">
        <f t="shared" si="0"/>
        <v>243.3163723663447</v>
      </c>
      <c r="N34" s="285">
        <f t="shared" si="0"/>
        <v>236.02457454397697</v>
      </c>
      <c r="O34" s="285">
        <f t="shared" si="0"/>
        <v>310.61771139382313</v>
      </c>
      <c r="P34" s="285">
        <f t="shared" si="0"/>
        <v>332.5956094082382</v>
      </c>
    </row>
    <row r="35" spans="10:16" ht="12.75">
      <c r="J35" s="509" t="s">
        <v>289</v>
      </c>
      <c r="K35" s="510"/>
      <c r="L35" s="284"/>
      <c r="M35" s="285">
        <f t="shared" si="0"/>
        <v>202.52981450235797</v>
      </c>
      <c r="N35" s="285">
        <f t="shared" si="0"/>
        <v>241.56649248799008</v>
      </c>
      <c r="O35" s="285">
        <f t="shared" si="0"/>
        <v>233.73064880950963</v>
      </c>
      <c r="P35" s="285">
        <f t="shared" si="0"/>
        <v>238.23509486572877</v>
      </c>
    </row>
    <row r="36" spans="10:16" ht="12.75">
      <c r="J36" s="509" t="s">
        <v>290</v>
      </c>
      <c r="K36" s="510"/>
      <c r="L36" s="284"/>
      <c r="M36" s="285">
        <f t="shared" si="0"/>
        <v>610.1554476672566</v>
      </c>
      <c r="N36" s="285">
        <f t="shared" si="0"/>
        <v>593.459965044702</v>
      </c>
      <c r="O36" s="285">
        <f t="shared" si="0"/>
        <v>585.2114394854287</v>
      </c>
      <c r="P36" s="285">
        <f t="shared" si="0"/>
        <v>620.7168700091244</v>
      </c>
    </row>
    <row r="37" spans="10:16" ht="12.75">
      <c r="J37" s="509" t="s">
        <v>291</v>
      </c>
      <c r="K37" s="510"/>
      <c r="L37" s="284"/>
      <c r="M37" s="285">
        <f t="shared" si="0"/>
        <v>233.15267886986962</v>
      </c>
      <c r="N37" s="285">
        <f t="shared" si="0"/>
        <v>277.0493597489235</v>
      </c>
      <c r="O37" s="285">
        <f t="shared" si="0"/>
        <v>271.05481483400007</v>
      </c>
      <c r="P37" s="285">
        <f t="shared" si="0"/>
        <v>279.32360763917427</v>
      </c>
    </row>
    <row r="38" spans="10:16" ht="12.75">
      <c r="J38" s="509" t="s">
        <v>292</v>
      </c>
      <c r="K38" s="510"/>
      <c r="L38" s="284"/>
      <c r="M38" s="285">
        <f t="shared" si="0"/>
        <v>305.86300815278435</v>
      </c>
      <c r="N38" s="285">
        <f t="shared" si="0"/>
        <v>246.39808511754504</v>
      </c>
      <c r="O38" s="285">
        <f t="shared" si="0"/>
        <v>240.3968281169008</v>
      </c>
      <c r="P38" s="285">
        <f t="shared" si="0"/>
        <v>246.2765139134534</v>
      </c>
    </row>
    <row r="39" spans="10:16" ht="12.75">
      <c r="J39" s="509" t="s">
        <v>293</v>
      </c>
      <c r="K39" s="510"/>
      <c r="L39" s="284"/>
      <c r="M39" s="285">
        <f t="shared" si="0"/>
        <v>253.5340335040134</v>
      </c>
      <c r="N39" s="285">
        <f t="shared" si="0"/>
        <v>318.6643301398147</v>
      </c>
      <c r="O39" s="285">
        <f t="shared" si="0"/>
        <v>342.87024183470345</v>
      </c>
      <c r="P39" s="285">
        <f t="shared" si="0"/>
        <v>396.1269914450663</v>
      </c>
    </row>
    <row r="40" spans="10:16" ht="12.75">
      <c r="J40" s="509" t="s">
        <v>294</v>
      </c>
      <c r="K40" s="510"/>
      <c r="L40" s="284"/>
      <c r="M40" s="285">
        <f t="shared" si="0"/>
        <v>336.304882345942</v>
      </c>
      <c r="N40" s="285">
        <f t="shared" si="0"/>
        <v>345.9038427304751</v>
      </c>
      <c r="O40" s="285">
        <f t="shared" si="0"/>
        <v>363.53432768621207</v>
      </c>
      <c r="P40" s="285">
        <f t="shared" si="0"/>
        <v>404.76277296183366</v>
      </c>
    </row>
    <row r="41" spans="10:16" ht="12.75">
      <c r="J41" s="509" t="s">
        <v>295</v>
      </c>
      <c r="K41" s="510"/>
      <c r="L41" s="284"/>
      <c r="M41" s="285">
        <f t="shared" si="0"/>
        <v>250.6478021916613</v>
      </c>
      <c r="N41" s="285">
        <f t="shared" si="0"/>
        <v>265.8336902312648</v>
      </c>
      <c r="O41" s="285">
        <f t="shared" si="0"/>
        <v>326.27620654291087</v>
      </c>
      <c r="P41" s="285">
        <f t="shared" si="0"/>
        <v>373.9176869421058</v>
      </c>
    </row>
    <row r="42" spans="10:16" ht="12.75">
      <c r="J42" s="509" t="s">
        <v>296</v>
      </c>
      <c r="K42" s="510"/>
      <c r="L42" s="284"/>
      <c r="M42" s="285">
        <f t="shared" si="0"/>
        <v>213.52612432962928</v>
      </c>
      <c r="N42" s="285">
        <f t="shared" si="0"/>
        <v>198.41240149554986</v>
      </c>
      <c r="O42" s="285">
        <f t="shared" si="0"/>
        <v>192.4466644364454</v>
      </c>
      <c r="P42" s="285">
        <f t="shared" si="0"/>
        <v>184.4692501288627</v>
      </c>
    </row>
    <row r="43" spans="10:16" ht="12.75">
      <c r="J43" s="509" t="s">
        <v>297</v>
      </c>
      <c r="K43" s="510"/>
      <c r="L43" s="284"/>
      <c r="M43" s="285">
        <f t="shared" si="0"/>
        <v>178.61428100127603</v>
      </c>
      <c r="N43" s="285">
        <f t="shared" si="0"/>
        <v>198.27313206607857</v>
      </c>
      <c r="O43" s="285">
        <f t="shared" si="0"/>
        <v>224.77112953121735</v>
      </c>
      <c r="P43" s="285">
        <f t="shared" si="0"/>
        <v>263.0806059284239</v>
      </c>
    </row>
    <row r="44" spans="10:16" ht="12.75">
      <c r="J44" s="509" t="s">
        <v>298</v>
      </c>
      <c r="K44" s="510"/>
      <c r="L44" s="284"/>
      <c r="M44" s="285">
        <f t="shared" si="0"/>
        <v>254.4724266065286</v>
      </c>
      <c r="N44" s="285">
        <f t="shared" si="0"/>
        <v>286.9978490213489</v>
      </c>
      <c r="O44" s="285">
        <f t="shared" si="0"/>
        <v>296.69636578528224</v>
      </c>
      <c r="P44" s="285">
        <f t="shared" si="0"/>
        <v>316.93747346956707</v>
      </c>
    </row>
    <row r="45" spans="10:16" ht="12.75">
      <c r="J45" s="509" t="s">
        <v>2</v>
      </c>
      <c r="K45" s="510"/>
      <c r="L45" s="284"/>
      <c r="M45" s="285">
        <f t="shared" si="0"/>
        <v>131.19902774591984</v>
      </c>
      <c r="N45" s="285">
        <f t="shared" si="0"/>
        <v>197.4619827989581</v>
      </c>
      <c r="O45" s="285">
        <f t="shared" si="0"/>
        <v>190.18559736524142</v>
      </c>
      <c r="P45" s="285">
        <f t="shared" si="0"/>
        <v>195.07710252908058</v>
      </c>
    </row>
    <row r="46" spans="10:16" ht="12.75">
      <c r="J46" s="509" t="s">
        <v>299</v>
      </c>
      <c r="K46" s="510"/>
      <c r="L46" s="284"/>
      <c r="M46" s="285">
        <f aca="true" t="shared" si="1" ref="M46:P50">M21/M$28</f>
        <v>249.84921749196764</v>
      </c>
      <c r="N46" s="285">
        <f t="shared" si="1"/>
        <v>223.57836287509494</v>
      </c>
      <c r="O46" s="285">
        <f t="shared" si="1"/>
        <v>214.84560696091842</v>
      </c>
      <c r="P46" s="285">
        <f t="shared" si="1"/>
        <v>215.5634051155415</v>
      </c>
    </row>
    <row r="47" spans="10:16" ht="12.75">
      <c r="J47" s="509" t="s">
        <v>300</v>
      </c>
      <c r="K47" s="510"/>
      <c r="L47" s="284"/>
      <c r="M47" s="285">
        <f t="shared" si="1"/>
        <v>166.66153174207938</v>
      </c>
      <c r="N47" s="285">
        <f t="shared" si="1"/>
        <v>216.54695288912444</v>
      </c>
      <c r="O47" s="285">
        <f t="shared" si="1"/>
        <v>208.9999989978574</v>
      </c>
      <c r="P47" s="285">
        <f t="shared" si="1"/>
        <v>211.3851816556345</v>
      </c>
    </row>
    <row r="48" spans="10:16" ht="12.75">
      <c r="J48" s="509" t="s">
        <v>301</v>
      </c>
      <c r="K48" s="510"/>
      <c r="L48" s="284"/>
      <c r="M48" s="285">
        <f t="shared" si="1"/>
        <v>297.9171394203448</v>
      </c>
      <c r="N48" s="285">
        <f t="shared" si="1"/>
        <v>267.06217822256843</v>
      </c>
      <c r="O48" s="285">
        <f t="shared" si="1"/>
        <v>285.31442633404896</v>
      </c>
      <c r="P48" s="285">
        <f t="shared" si="1"/>
        <v>305.41728479165994</v>
      </c>
    </row>
    <row r="49" spans="10:16" ht="12.75">
      <c r="J49" s="509" t="s">
        <v>302</v>
      </c>
      <c r="K49" s="510"/>
      <c r="L49" s="284"/>
      <c r="M49" s="285">
        <f t="shared" si="1"/>
        <v>218.4529436038197</v>
      </c>
      <c r="N49" s="285">
        <f t="shared" si="1"/>
        <v>306.0664170945544</v>
      </c>
      <c r="O49" s="285">
        <f t="shared" si="1"/>
        <v>303.81832486417954</v>
      </c>
      <c r="P49" s="285">
        <f t="shared" si="1"/>
        <v>318.2671153849426</v>
      </c>
    </row>
    <row r="50" spans="10:16" ht="12.75">
      <c r="J50" s="509" t="s">
        <v>303</v>
      </c>
      <c r="K50" s="510"/>
      <c r="L50" s="284"/>
      <c r="M50" s="285">
        <f t="shared" si="1"/>
        <v>275.48456964942596</v>
      </c>
      <c r="N50" s="285">
        <f t="shared" si="1"/>
        <v>248.7615625197688</v>
      </c>
      <c r="O50" s="285">
        <f t="shared" si="1"/>
        <v>289.29256729813784</v>
      </c>
      <c r="P50" s="285">
        <f t="shared" si="1"/>
        <v>340.28789230016486</v>
      </c>
    </row>
    <row r="51" spans="10:16" ht="12.75">
      <c r="J51" s="287" t="s">
        <v>304</v>
      </c>
      <c r="K51" s="286"/>
      <c r="L51" s="284"/>
      <c r="M51" s="285">
        <f>M26/M$28</f>
        <v>267.9949206632109</v>
      </c>
      <c r="N51" s="285">
        <f>N26/N$28</f>
        <v>276.01274696781326</v>
      </c>
      <c r="O51" s="285">
        <f>O26/O$28</f>
        <v>294.96023306019316</v>
      </c>
      <c r="P51" s="285">
        <f>P26/P$28</f>
        <v>319.6845667661204</v>
      </c>
    </row>
    <row r="53" spans="10:16" ht="12.75">
      <c r="J53" s="509" t="s">
        <v>286</v>
      </c>
      <c r="K53" s="510"/>
      <c r="L53" s="284"/>
      <c r="M53" s="284"/>
      <c r="N53" s="284">
        <f aca="true" t="shared" si="2" ref="N53:P68">(N30-M30)/M30</f>
        <v>-0.012924170821079333</v>
      </c>
      <c r="O53" s="284">
        <f t="shared" si="2"/>
        <v>0.009132668258797655</v>
      </c>
      <c r="P53" s="284">
        <f t="shared" si="2"/>
        <v>0.056665876487725406</v>
      </c>
    </row>
    <row r="54" spans="10:16" ht="12.75">
      <c r="J54" s="509" t="s">
        <v>0</v>
      </c>
      <c r="K54" s="510"/>
      <c r="L54" s="284"/>
      <c r="M54" s="284"/>
      <c r="N54" s="284">
        <f t="shared" si="2"/>
        <v>-0.10123138016072332</v>
      </c>
      <c r="O54" s="284">
        <f t="shared" si="2"/>
        <v>0.1606075763911342</v>
      </c>
      <c r="P54" s="284">
        <f t="shared" si="2"/>
        <v>0.11995471731408255</v>
      </c>
    </row>
    <row r="55" spans="10:16" ht="12.75">
      <c r="J55" s="509" t="s">
        <v>4</v>
      </c>
      <c r="K55" s="510"/>
      <c r="L55" s="284"/>
      <c r="M55" s="284"/>
      <c r="N55" s="284">
        <f t="shared" si="2"/>
        <v>0.11780534591527342</v>
      </c>
      <c r="O55" s="284">
        <f t="shared" si="2"/>
        <v>0.17439560082345323</v>
      </c>
      <c r="P55" s="284">
        <f t="shared" si="2"/>
        <v>0.1390968554079436</v>
      </c>
    </row>
    <row r="56" spans="10:16" ht="12.75">
      <c r="J56" s="509" t="s">
        <v>287</v>
      </c>
      <c r="K56" s="510"/>
      <c r="L56" s="284"/>
      <c r="M56" s="284"/>
      <c r="N56" s="284">
        <f t="shared" si="2"/>
        <v>0.0077087945739586</v>
      </c>
      <c r="O56" s="284">
        <f t="shared" si="2"/>
        <v>0.35135860896849047</v>
      </c>
      <c r="P56" s="284">
        <f t="shared" si="2"/>
        <v>0.18775138360648191</v>
      </c>
    </row>
    <row r="57" spans="10:16" ht="12.75">
      <c r="J57" s="509" t="s">
        <v>288</v>
      </c>
      <c r="K57" s="510"/>
      <c r="L57" s="284"/>
      <c r="M57" s="284"/>
      <c r="N57" s="284">
        <f t="shared" si="2"/>
        <v>-0.029968381294905092</v>
      </c>
      <c r="O57" s="284">
        <f t="shared" si="2"/>
        <v>0.3160397047382356</v>
      </c>
      <c r="P57" s="284">
        <f t="shared" si="2"/>
        <v>0.07075545665375771</v>
      </c>
    </row>
    <row r="58" spans="10:16" ht="12.75">
      <c r="J58" s="509" t="s">
        <v>289</v>
      </c>
      <c r="K58" s="510"/>
      <c r="L58" s="284"/>
      <c r="M58" s="284"/>
      <c r="N58" s="284">
        <f t="shared" si="2"/>
        <v>0.1927453401443649</v>
      </c>
      <c r="O58" s="284">
        <f t="shared" si="2"/>
        <v>-0.032437626583786315</v>
      </c>
      <c r="P58" s="284">
        <f t="shared" si="2"/>
        <v>0.01927195290460285</v>
      </c>
    </row>
    <row r="59" spans="10:16" ht="12.75">
      <c r="J59" s="265" t="s">
        <v>290</v>
      </c>
      <c r="K59" s="286"/>
      <c r="L59" s="284"/>
      <c r="M59" s="284"/>
      <c r="N59" s="284">
        <f t="shared" si="2"/>
        <v>-0.027362670752813303</v>
      </c>
      <c r="O59" s="284">
        <f t="shared" si="2"/>
        <v>-0.013899042976979855</v>
      </c>
      <c r="P59" s="284">
        <f t="shared" si="2"/>
        <v>0.06067111496473007</v>
      </c>
    </row>
    <row r="60" spans="10:16" ht="12.75">
      <c r="J60" s="509" t="s">
        <v>291</v>
      </c>
      <c r="K60" s="510"/>
      <c r="L60" s="284"/>
      <c r="M60" s="284"/>
      <c r="N60" s="284">
        <f t="shared" si="2"/>
        <v>0.18827440067096166</v>
      </c>
      <c r="O60" s="284">
        <f t="shared" si="2"/>
        <v>-0.021637100769177034</v>
      </c>
      <c r="P60" s="284">
        <f t="shared" si="2"/>
        <v>0.030505980165813292</v>
      </c>
    </row>
    <row r="61" spans="10:16" ht="12.75">
      <c r="J61" s="509" t="s">
        <v>292</v>
      </c>
      <c r="K61" s="510"/>
      <c r="L61" s="284"/>
      <c r="M61" s="284"/>
      <c r="N61" s="284">
        <f t="shared" si="2"/>
        <v>-0.19441685149952967</v>
      </c>
      <c r="O61" s="284">
        <f t="shared" si="2"/>
        <v>-0.024355940094994345</v>
      </c>
      <c r="P61" s="284">
        <f t="shared" si="2"/>
        <v>0.024458250313075813</v>
      </c>
    </row>
    <row r="62" spans="10:16" ht="12.75">
      <c r="J62" s="509" t="s">
        <v>293</v>
      </c>
      <c r="K62" s="510"/>
      <c r="L62" s="284"/>
      <c r="M62" s="284"/>
      <c r="N62" s="284">
        <f t="shared" si="2"/>
        <v>0.2568897584898412</v>
      </c>
      <c r="O62" s="284">
        <f t="shared" si="2"/>
        <v>0.07596053089552997</v>
      </c>
      <c r="P62" s="284">
        <f t="shared" si="2"/>
        <v>0.15532625206954462</v>
      </c>
    </row>
    <row r="63" spans="10:16" ht="12.75">
      <c r="J63" s="509" t="s">
        <v>294</v>
      </c>
      <c r="K63" s="510"/>
      <c r="L63" s="284"/>
      <c r="M63" s="284"/>
      <c r="N63" s="284">
        <f t="shared" si="2"/>
        <v>0.028542435416263324</v>
      </c>
      <c r="O63" s="284">
        <f t="shared" si="2"/>
        <v>0.05096932377670769</v>
      </c>
      <c r="P63" s="284">
        <f t="shared" si="2"/>
        <v>0.11341004723825779</v>
      </c>
    </row>
    <row r="64" spans="10:16" ht="12.75">
      <c r="J64" s="509" t="s">
        <v>295</v>
      </c>
      <c r="K64" s="510"/>
      <c r="L64" s="284"/>
      <c r="M64" s="284"/>
      <c r="N64" s="284">
        <f t="shared" si="2"/>
        <v>0.06058655973369129</v>
      </c>
      <c r="O64" s="284">
        <f t="shared" si="2"/>
        <v>0.2273696620584977</v>
      </c>
      <c r="P64" s="284">
        <f t="shared" si="2"/>
        <v>0.14601579717989407</v>
      </c>
    </row>
    <row r="65" spans="10:16" ht="12.75">
      <c r="J65" s="509" t="s">
        <v>296</v>
      </c>
      <c r="K65" s="510"/>
      <c r="L65" s="284"/>
      <c r="M65" s="284"/>
      <c r="N65" s="284">
        <f t="shared" si="2"/>
        <v>-0.07078160989213542</v>
      </c>
      <c r="O65" s="284">
        <f t="shared" si="2"/>
        <v>-0.030067359772560757</v>
      </c>
      <c r="P65" s="284">
        <f t="shared" si="2"/>
        <v>-0.041452598469001685</v>
      </c>
    </row>
    <row r="66" spans="10:16" ht="12.75">
      <c r="J66" s="509" t="s">
        <v>297</v>
      </c>
      <c r="K66" s="510"/>
      <c r="L66" s="284"/>
      <c r="M66" s="284"/>
      <c r="N66" s="284">
        <f t="shared" si="2"/>
        <v>0.11006315371088443</v>
      </c>
      <c r="O66" s="284">
        <f t="shared" si="2"/>
        <v>0.1336439142763316</v>
      </c>
      <c r="P66" s="284">
        <f t="shared" si="2"/>
        <v>0.17043770913597658</v>
      </c>
    </row>
    <row r="67" spans="10:16" ht="12.75">
      <c r="J67" s="509" t="s">
        <v>298</v>
      </c>
      <c r="K67" s="510"/>
      <c r="L67" s="284"/>
      <c r="M67" s="284"/>
      <c r="N67" s="284">
        <f t="shared" si="2"/>
        <v>0.12781511477906363</v>
      </c>
      <c r="O67" s="284">
        <f t="shared" si="2"/>
        <v>0.03379299460607425</v>
      </c>
      <c r="P67" s="284">
        <f t="shared" si="2"/>
        <v>0.06822162324338418</v>
      </c>
    </row>
    <row r="68" spans="10:16" ht="12.75">
      <c r="J68" s="509" t="s">
        <v>2</v>
      </c>
      <c r="K68" s="510"/>
      <c r="L68" s="284"/>
      <c r="M68" s="284"/>
      <c r="N68" s="284">
        <f t="shared" si="2"/>
        <v>0.5050567537845111</v>
      </c>
      <c r="O68" s="284">
        <f t="shared" si="2"/>
        <v>-0.03684955114182656</v>
      </c>
      <c r="P68" s="284">
        <f t="shared" si="2"/>
        <v>0.025719640349238845</v>
      </c>
    </row>
    <row r="69" spans="10:16" ht="12.75">
      <c r="J69" s="509" t="s">
        <v>299</v>
      </c>
      <c r="K69" s="510"/>
      <c r="L69" s="284"/>
      <c r="M69" s="284"/>
      <c r="N69" s="284">
        <f aca="true" t="shared" si="3" ref="N69:P73">(N46-M46)/M46</f>
        <v>-0.10514683568187391</v>
      </c>
      <c r="O69" s="284">
        <f t="shared" si="3"/>
        <v>-0.039059038638077845</v>
      </c>
      <c r="P69" s="284">
        <f t="shared" si="3"/>
        <v>0.003340995260627638</v>
      </c>
    </row>
    <row r="70" spans="10:16" ht="12.75">
      <c r="J70" s="509" t="s">
        <v>300</v>
      </c>
      <c r="K70" s="510"/>
      <c r="L70" s="284"/>
      <c r="M70" s="284"/>
      <c r="N70" s="284">
        <f t="shared" si="3"/>
        <v>0.29932174884991647</v>
      </c>
      <c r="O70" s="284">
        <f t="shared" si="3"/>
        <v>-0.03485135112998427</v>
      </c>
      <c r="P70" s="284">
        <f t="shared" si="3"/>
        <v>0.011412357268966111</v>
      </c>
    </row>
    <row r="71" spans="10:16" ht="12.75">
      <c r="J71" s="509" t="s">
        <v>301</v>
      </c>
      <c r="K71" s="510"/>
      <c r="L71" s="284"/>
      <c r="M71" s="284"/>
      <c r="N71" s="284">
        <f t="shared" si="3"/>
        <v>-0.10356893617403369</v>
      </c>
      <c r="O71" s="284">
        <f t="shared" si="3"/>
        <v>0.06834456392499422</v>
      </c>
      <c r="P71" s="284">
        <f t="shared" si="3"/>
        <v>0.07045861198085494</v>
      </c>
    </row>
    <row r="72" spans="10:16" ht="12.75">
      <c r="J72" s="509" t="s">
        <v>302</v>
      </c>
      <c r="K72" s="510"/>
      <c r="L72" s="284"/>
      <c r="M72" s="284"/>
      <c r="N72" s="284">
        <f t="shared" si="3"/>
        <v>0.4010633688215624</v>
      </c>
      <c r="O72" s="284">
        <f t="shared" si="3"/>
        <v>-0.007345112383500627</v>
      </c>
      <c r="P72" s="284">
        <f t="shared" si="3"/>
        <v>0.047557337192291854</v>
      </c>
    </row>
    <row r="73" spans="10:16" ht="12.75">
      <c r="J73" s="509" t="s">
        <v>303</v>
      </c>
      <c r="K73" s="510"/>
      <c r="L73" s="284"/>
      <c r="M73" s="284"/>
      <c r="N73" s="284">
        <f t="shared" si="3"/>
        <v>-0.09700364402864423</v>
      </c>
      <c r="O73" s="284">
        <f t="shared" si="3"/>
        <v>0.1629311392315607</v>
      </c>
      <c r="P73" s="284">
        <f t="shared" si="3"/>
        <v>0.17627595993322734</v>
      </c>
    </row>
    <row r="74" spans="10:16" ht="12.75">
      <c r="J74" s="287" t="s">
        <v>304</v>
      </c>
      <c r="K74" s="286"/>
      <c r="L74" s="284"/>
      <c r="M74" s="284"/>
      <c r="N74" s="284">
        <f>(N51-M51)/M51</f>
        <v>0.029917829355722566</v>
      </c>
      <c r="O74" s="284">
        <f>(O51-N51)/N51</f>
        <v>0.0686471414836121</v>
      </c>
      <c r="P74" s="284">
        <f>(P51-O51)/O51</f>
        <v>0.08382260025161316</v>
      </c>
    </row>
    <row r="75" spans="11:16" ht="12.75">
      <c r="K75" s="283"/>
      <c r="L75" s="283"/>
      <c r="M75" s="283"/>
      <c r="N75" s="283"/>
      <c r="O75" s="283"/>
      <c r="P75" s="283"/>
    </row>
    <row r="76" spans="10:16" ht="12.75">
      <c r="J76" s="288" t="s">
        <v>327</v>
      </c>
      <c r="K76" s="283"/>
      <c r="L76" s="283"/>
      <c r="M76" s="283">
        <v>0.01</v>
      </c>
      <c r="N76" s="283">
        <v>0.035</v>
      </c>
      <c r="O76" s="283">
        <v>0.041</v>
      </c>
      <c r="P76" s="283">
        <v>0.043</v>
      </c>
    </row>
    <row r="77" spans="11:16" ht="12.75">
      <c r="K77" s="283"/>
      <c r="L77" s="283"/>
      <c r="M77" s="283"/>
      <c r="N77" s="283"/>
      <c r="O77" s="283"/>
      <c r="P77" s="283"/>
    </row>
    <row r="78" spans="10:17" ht="12.75">
      <c r="J78" s="509" t="s">
        <v>286</v>
      </c>
      <c r="K78" s="510"/>
      <c r="L78" s="284"/>
      <c r="M78" s="284"/>
      <c r="N78" s="284">
        <f aca="true" t="shared" si="4" ref="N78:P93">N53-N$76</f>
        <v>-0.04792417082107934</v>
      </c>
      <c r="O78" s="284">
        <f t="shared" si="4"/>
        <v>-0.03186733174120235</v>
      </c>
      <c r="P78" s="284">
        <f t="shared" si="4"/>
        <v>0.013665876487725409</v>
      </c>
      <c r="Q78" s="289">
        <f>AVERAGE(N78:P78)</f>
        <v>-0.022041875358185425</v>
      </c>
    </row>
    <row r="79" spans="10:17" ht="12.75">
      <c r="J79" s="509" t="s">
        <v>0</v>
      </c>
      <c r="K79" s="510"/>
      <c r="L79" s="284"/>
      <c r="M79" s="284"/>
      <c r="N79" s="284">
        <f t="shared" si="4"/>
        <v>-0.13623138016072334</v>
      </c>
      <c r="O79" s="284">
        <f t="shared" si="4"/>
        <v>0.1196075763911342</v>
      </c>
      <c r="P79" s="284">
        <f t="shared" si="4"/>
        <v>0.07695471731408256</v>
      </c>
      <c r="Q79" s="289">
        <f aca="true" t="shared" si="5" ref="Q79:Q99">AVERAGE(N79:P79)</f>
        <v>0.020110304514831142</v>
      </c>
    </row>
    <row r="80" spans="10:17" ht="12.75">
      <c r="J80" s="509" t="s">
        <v>4</v>
      </c>
      <c r="K80" s="510"/>
      <c r="L80" s="284"/>
      <c r="M80" s="284"/>
      <c r="N80" s="284">
        <f t="shared" si="4"/>
        <v>0.08280534591527342</v>
      </c>
      <c r="O80" s="284">
        <f t="shared" si="4"/>
        <v>0.13339560082345323</v>
      </c>
      <c r="P80" s="284">
        <f t="shared" si="4"/>
        <v>0.09609685540794359</v>
      </c>
      <c r="Q80" s="289">
        <f t="shared" si="5"/>
        <v>0.10409926738222341</v>
      </c>
    </row>
    <row r="81" spans="10:17" ht="12.75">
      <c r="J81" s="509" t="s">
        <v>287</v>
      </c>
      <c r="K81" s="510"/>
      <c r="L81" s="284"/>
      <c r="M81" s="284"/>
      <c r="N81" s="284">
        <f t="shared" si="4"/>
        <v>-0.027291205426041402</v>
      </c>
      <c r="O81" s="284">
        <f t="shared" si="4"/>
        <v>0.3103586089684905</v>
      </c>
      <c r="P81" s="284">
        <f t="shared" si="4"/>
        <v>0.14475138360648193</v>
      </c>
      <c r="Q81" s="289">
        <f t="shared" si="5"/>
        <v>0.142606262382977</v>
      </c>
    </row>
    <row r="82" spans="10:17" ht="12.75">
      <c r="J82" s="509" t="s">
        <v>288</v>
      </c>
      <c r="K82" s="510"/>
      <c r="L82" s="284"/>
      <c r="M82" s="284"/>
      <c r="N82" s="284">
        <f t="shared" si="4"/>
        <v>-0.06496838129490509</v>
      </c>
      <c r="O82" s="284">
        <f t="shared" si="4"/>
        <v>0.27503970473823564</v>
      </c>
      <c r="P82" s="284">
        <f t="shared" si="4"/>
        <v>0.027755456653757712</v>
      </c>
      <c r="Q82" s="289">
        <f t="shared" si="5"/>
        <v>0.07927559336569608</v>
      </c>
    </row>
    <row r="83" spans="10:17" ht="12.75">
      <c r="J83" s="509" t="s">
        <v>289</v>
      </c>
      <c r="K83" s="510"/>
      <c r="L83" s="284"/>
      <c r="M83" s="284"/>
      <c r="N83" s="284">
        <f t="shared" si="4"/>
        <v>0.1577453401443649</v>
      </c>
      <c r="O83" s="284">
        <f t="shared" si="4"/>
        <v>-0.07343762658378632</v>
      </c>
      <c r="P83" s="284">
        <f t="shared" si="4"/>
        <v>-0.023728047095397147</v>
      </c>
      <c r="Q83" s="289">
        <f t="shared" si="5"/>
        <v>0.020193222155060475</v>
      </c>
    </row>
    <row r="84" spans="10:17" ht="12.75">
      <c r="J84" s="265" t="s">
        <v>290</v>
      </c>
      <c r="K84" s="290"/>
      <c r="L84" s="284"/>
      <c r="M84" s="284"/>
      <c r="N84" s="284">
        <f t="shared" si="4"/>
        <v>-0.06236267075281331</v>
      </c>
      <c r="O84" s="284">
        <f t="shared" si="4"/>
        <v>-0.05489904297697985</v>
      </c>
      <c r="P84" s="284">
        <f t="shared" si="4"/>
        <v>0.017671114964730075</v>
      </c>
      <c r="Q84" s="289">
        <f t="shared" si="5"/>
        <v>-0.03319686625502103</v>
      </c>
    </row>
    <row r="85" spans="10:17" ht="12.75">
      <c r="J85" s="509" t="s">
        <v>291</v>
      </c>
      <c r="K85" s="510"/>
      <c r="L85" s="284"/>
      <c r="M85" s="284"/>
      <c r="N85" s="284">
        <f t="shared" si="4"/>
        <v>0.15327440067096165</v>
      </c>
      <c r="O85" s="284">
        <f t="shared" si="4"/>
        <v>-0.06263710076917703</v>
      </c>
      <c r="P85" s="284">
        <f t="shared" si="4"/>
        <v>-0.012494019834186704</v>
      </c>
      <c r="Q85" s="289">
        <f t="shared" si="5"/>
        <v>0.026047760022532642</v>
      </c>
    </row>
    <row r="86" spans="10:17" ht="12.75">
      <c r="J86" s="509" t="s">
        <v>292</v>
      </c>
      <c r="K86" s="510"/>
      <c r="L86" s="284"/>
      <c r="M86" s="284"/>
      <c r="N86" s="284">
        <f t="shared" si="4"/>
        <v>-0.22941685149952967</v>
      </c>
      <c r="O86" s="284">
        <f t="shared" si="4"/>
        <v>-0.06535594009499435</v>
      </c>
      <c r="P86" s="284">
        <f t="shared" si="4"/>
        <v>-0.018541749686924184</v>
      </c>
      <c r="Q86" s="289">
        <f t="shared" si="5"/>
        <v>-0.1044381804271494</v>
      </c>
    </row>
    <row r="87" spans="10:17" ht="12.75">
      <c r="J87" s="509" t="s">
        <v>293</v>
      </c>
      <c r="K87" s="510"/>
      <c r="L87" s="284"/>
      <c r="M87" s="284"/>
      <c r="N87" s="284">
        <f t="shared" si="4"/>
        <v>0.2218897584898412</v>
      </c>
      <c r="O87" s="284">
        <f t="shared" si="4"/>
        <v>0.034960530895529966</v>
      </c>
      <c r="P87" s="284">
        <f t="shared" si="4"/>
        <v>0.11232625206954462</v>
      </c>
      <c r="Q87" s="289">
        <f t="shared" si="5"/>
        <v>0.12305884715163858</v>
      </c>
    </row>
    <row r="88" spans="10:17" ht="12.75">
      <c r="J88" s="509" t="s">
        <v>294</v>
      </c>
      <c r="K88" s="510"/>
      <c r="L88" s="284"/>
      <c r="M88" s="284"/>
      <c r="N88" s="284">
        <f t="shared" si="4"/>
        <v>-0.0064575645837366795</v>
      </c>
      <c r="O88" s="284">
        <f t="shared" si="4"/>
        <v>0.009969323776707686</v>
      </c>
      <c r="P88" s="284">
        <f t="shared" si="4"/>
        <v>0.07041004723825779</v>
      </c>
      <c r="Q88" s="289">
        <f t="shared" si="5"/>
        <v>0.024640602143742932</v>
      </c>
    </row>
    <row r="89" spans="10:17" ht="12.75">
      <c r="J89" s="509" t="s">
        <v>295</v>
      </c>
      <c r="K89" s="510"/>
      <c r="L89" s="284"/>
      <c r="M89" s="284"/>
      <c r="N89" s="284">
        <f t="shared" si="4"/>
        <v>0.02558655973369129</v>
      </c>
      <c r="O89" s="284">
        <f t="shared" si="4"/>
        <v>0.1863696620584977</v>
      </c>
      <c r="P89" s="284">
        <f t="shared" si="4"/>
        <v>0.10301579717989408</v>
      </c>
      <c r="Q89" s="289">
        <f t="shared" si="5"/>
        <v>0.10499067299069435</v>
      </c>
    </row>
    <row r="90" spans="10:17" ht="12.75">
      <c r="J90" s="509" t="s">
        <v>296</v>
      </c>
      <c r="K90" s="510"/>
      <c r="L90" s="284"/>
      <c r="M90" s="284"/>
      <c r="N90" s="284">
        <f t="shared" si="4"/>
        <v>-0.10578160989213542</v>
      </c>
      <c r="O90" s="284">
        <f t="shared" si="4"/>
        <v>-0.07106735977256076</v>
      </c>
      <c r="P90" s="284">
        <f t="shared" si="4"/>
        <v>-0.08445259846900169</v>
      </c>
      <c r="Q90" s="289">
        <f t="shared" si="5"/>
        <v>-0.08710052271123263</v>
      </c>
    </row>
    <row r="91" spans="10:17" ht="12.75">
      <c r="J91" s="509" t="s">
        <v>297</v>
      </c>
      <c r="K91" s="510"/>
      <c r="L91" s="284"/>
      <c r="M91" s="284"/>
      <c r="N91" s="284">
        <f t="shared" si="4"/>
        <v>0.07506315371088443</v>
      </c>
      <c r="O91" s="284">
        <f t="shared" si="4"/>
        <v>0.09264391427633159</v>
      </c>
      <c r="P91" s="284">
        <f t="shared" si="4"/>
        <v>0.12743770913597657</v>
      </c>
      <c r="Q91" s="289">
        <f t="shared" si="5"/>
        <v>0.09838159237439753</v>
      </c>
    </row>
    <row r="92" spans="10:17" ht="12.75">
      <c r="J92" s="509" t="s">
        <v>298</v>
      </c>
      <c r="K92" s="510"/>
      <c r="L92" s="284"/>
      <c r="M92" s="284"/>
      <c r="N92" s="284">
        <f t="shared" si="4"/>
        <v>0.09281511477906362</v>
      </c>
      <c r="O92" s="284">
        <f t="shared" si="4"/>
        <v>-0.007207005393925749</v>
      </c>
      <c r="P92" s="284">
        <f t="shared" si="4"/>
        <v>0.025221623243384186</v>
      </c>
      <c r="Q92" s="289">
        <f t="shared" si="5"/>
        <v>0.036943244209507356</v>
      </c>
    </row>
    <row r="93" spans="10:17" ht="12.75">
      <c r="J93" s="509" t="s">
        <v>2</v>
      </c>
      <c r="K93" s="510"/>
      <c r="L93" s="284"/>
      <c r="M93" s="284"/>
      <c r="N93" s="284">
        <f t="shared" si="4"/>
        <v>0.47005675378451106</v>
      </c>
      <c r="O93" s="284">
        <f t="shared" si="4"/>
        <v>-0.07784955114182657</v>
      </c>
      <c r="P93" s="284">
        <f t="shared" si="4"/>
        <v>-0.017280359650761152</v>
      </c>
      <c r="Q93" s="289">
        <f t="shared" si="5"/>
        <v>0.12497561433064112</v>
      </c>
    </row>
    <row r="94" spans="10:17" ht="12.75">
      <c r="J94" s="509" t="s">
        <v>299</v>
      </c>
      <c r="K94" s="510"/>
      <c r="L94" s="284"/>
      <c r="M94" s="284"/>
      <c r="N94" s="284">
        <f aca="true" t="shared" si="6" ref="N94:P99">N69-N$76</f>
        <v>-0.14014683568187392</v>
      </c>
      <c r="O94" s="284">
        <f t="shared" si="6"/>
        <v>-0.08005903863807784</v>
      </c>
      <c r="P94" s="284">
        <f t="shared" si="6"/>
        <v>-0.03965900473937236</v>
      </c>
      <c r="Q94" s="289">
        <f t="shared" si="5"/>
        <v>-0.08662162635310804</v>
      </c>
    </row>
    <row r="95" spans="10:17" ht="12.75">
      <c r="J95" s="509" t="s">
        <v>300</v>
      </c>
      <c r="K95" s="510"/>
      <c r="L95" s="284"/>
      <c r="M95" s="284"/>
      <c r="N95" s="284">
        <f t="shared" si="6"/>
        <v>0.26432174884991644</v>
      </c>
      <c r="O95" s="284">
        <f t="shared" si="6"/>
        <v>-0.07585135112998427</v>
      </c>
      <c r="P95" s="284">
        <f t="shared" si="6"/>
        <v>-0.031587642731033885</v>
      </c>
      <c r="Q95" s="289">
        <f t="shared" si="5"/>
        <v>0.052294251662966106</v>
      </c>
    </row>
    <row r="96" spans="10:17" ht="12.75">
      <c r="J96" s="509" t="s">
        <v>301</v>
      </c>
      <c r="K96" s="510"/>
      <c r="L96" s="284"/>
      <c r="M96" s="284"/>
      <c r="N96" s="284">
        <f t="shared" si="6"/>
        <v>-0.1385689361740337</v>
      </c>
      <c r="O96" s="284">
        <f t="shared" si="6"/>
        <v>0.027344563924994215</v>
      </c>
      <c r="P96" s="284">
        <f t="shared" si="6"/>
        <v>0.027458611980854947</v>
      </c>
      <c r="Q96" s="289">
        <f t="shared" si="5"/>
        <v>-0.027921920089394852</v>
      </c>
    </row>
    <row r="97" spans="10:17" ht="12.75">
      <c r="J97" s="509" t="s">
        <v>302</v>
      </c>
      <c r="K97" s="510"/>
      <c r="L97" s="284"/>
      <c r="M97" s="284"/>
      <c r="N97" s="284">
        <f t="shared" si="6"/>
        <v>0.36606336882156243</v>
      </c>
      <c r="O97" s="284">
        <f t="shared" si="6"/>
        <v>-0.04834511238350063</v>
      </c>
      <c r="P97" s="284">
        <f t="shared" si="6"/>
        <v>0.004557337192291858</v>
      </c>
      <c r="Q97" s="289">
        <f t="shared" si="5"/>
        <v>0.10742519787678455</v>
      </c>
    </row>
    <row r="98" spans="10:17" ht="12.75">
      <c r="J98" s="509" t="s">
        <v>303</v>
      </c>
      <c r="K98" s="510"/>
      <c r="L98" s="284"/>
      <c r="M98" s="284"/>
      <c r="N98" s="284">
        <f t="shared" si="6"/>
        <v>-0.13200364402864423</v>
      </c>
      <c r="O98" s="284">
        <f t="shared" si="6"/>
        <v>0.12193113923156068</v>
      </c>
      <c r="P98" s="284">
        <f t="shared" si="6"/>
        <v>0.13327595993322733</v>
      </c>
      <c r="Q98" s="289">
        <f t="shared" si="5"/>
        <v>0.04106781837871459</v>
      </c>
    </row>
    <row r="99" spans="10:17" ht="12.75">
      <c r="J99" s="287" t="s">
        <v>304</v>
      </c>
      <c r="K99" s="290"/>
      <c r="L99" s="284"/>
      <c r="M99" s="284"/>
      <c r="N99" s="284">
        <f t="shared" si="6"/>
        <v>-0.005082170644277437</v>
      </c>
      <c r="O99" s="284">
        <f t="shared" si="6"/>
        <v>0.027647141483612102</v>
      </c>
      <c r="P99" s="284">
        <f t="shared" si="6"/>
        <v>0.04082260025161316</v>
      </c>
      <c r="Q99" s="289">
        <f t="shared" si="5"/>
        <v>0.021129190363649273</v>
      </c>
    </row>
  </sheetData>
  <mergeCells count="61">
    <mergeCell ref="J95:K95"/>
    <mergeCell ref="J96:K96"/>
    <mergeCell ref="J97:K97"/>
    <mergeCell ref="J98:K98"/>
    <mergeCell ref="J91:K91"/>
    <mergeCell ref="J92:K92"/>
    <mergeCell ref="J93:K93"/>
    <mergeCell ref="J94:K94"/>
    <mergeCell ref="J87:K87"/>
    <mergeCell ref="J88:K88"/>
    <mergeCell ref="J89:K89"/>
    <mergeCell ref="J90:K90"/>
    <mergeCell ref="J82:K82"/>
    <mergeCell ref="J83:K83"/>
    <mergeCell ref="J85:K85"/>
    <mergeCell ref="J86:K86"/>
    <mergeCell ref="J78:K78"/>
    <mergeCell ref="J79:K79"/>
    <mergeCell ref="J80:K80"/>
    <mergeCell ref="J81:K81"/>
    <mergeCell ref="J70:K70"/>
    <mergeCell ref="J71:K71"/>
    <mergeCell ref="J72:K72"/>
    <mergeCell ref="J73:K73"/>
    <mergeCell ref="J66:K66"/>
    <mergeCell ref="J67:K67"/>
    <mergeCell ref="J68:K68"/>
    <mergeCell ref="J69:K69"/>
    <mergeCell ref="J62:K62"/>
    <mergeCell ref="J63:K63"/>
    <mergeCell ref="J64:K64"/>
    <mergeCell ref="J65:K65"/>
    <mergeCell ref="J57:K57"/>
    <mergeCell ref="J58:K58"/>
    <mergeCell ref="J60:K60"/>
    <mergeCell ref="J61:K61"/>
    <mergeCell ref="J53:K53"/>
    <mergeCell ref="J54:K54"/>
    <mergeCell ref="J55:K55"/>
    <mergeCell ref="J56:K56"/>
    <mergeCell ref="J47:K47"/>
    <mergeCell ref="J48:K48"/>
    <mergeCell ref="J49:K49"/>
    <mergeCell ref="J50:K50"/>
    <mergeCell ref="J38:K38"/>
    <mergeCell ref="J39:K39"/>
    <mergeCell ref="J46:K46"/>
    <mergeCell ref="J45:K45"/>
    <mergeCell ref="J44:K44"/>
    <mergeCell ref="J43:K43"/>
    <mergeCell ref="J42:K42"/>
    <mergeCell ref="J41:K41"/>
    <mergeCell ref="J40:K40"/>
    <mergeCell ref="J34:K34"/>
    <mergeCell ref="J35:K35"/>
    <mergeCell ref="J36:K36"/>
    <mergeCell ref="J37:K37"/>
    <mergeCell ref="J30:K30"/>
    <mergeCell ref="J31:K31"/>
    <mergeCell ref="J32:K32"/>
    <mergeCell ref="J33:K3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K92"/>
  <sheetViews>
    <sheetView workbookViewId="0" topLeftCell="A1">
      <selection activeCell="A1" sqref="A1"/>
    </sheetView>
  </sheetViews>
  <sheetFormatPr defaultColWidth="9.140625" defaultRowHeight="12.75"/>
  <cols>
    <col min="1" max="1" width="9.140625" style="1" customWidth="1"/>
    <col min="2" max="2" width="34.140625" style="1" customWidth="1"/>
    <col min="3" max="3" width="10.28125" style="1" customWidth="1"/>
    <col min="4" max="4" width="9.140625" style="1" customWidth="1"/>
    <col min="5" max="5" width="10.57421875" style="1" customWidth="1"/>
    <col min="6" max="8" width="9.140625" style="1" customWidth="1"/>
    <col min="9" max="10" width="10.140625" style="1" bestFit="1" customWidth="1"/>
    <col min="11" max="11" width="11.00390625" style="1" customWidth="1"/>
    <col min="12" max="16384" width="9.140625" style="1" customWidth="1"/>
  </cols>
  <sheetData>
    <row r="2" ht="12.75">
      <c r="B2" s="2" t="s">
        <v>261</v>
      </c>
    </row>
    <row r="4" spans="2:11" ht="12.75">
      <c r="B4" s="194"/>
      <c r="C4" s="41">
        <v>1995</v>
      </c>
      <c r="D4" s="41">
        <v>1996</v>
      </c>
      <c r="E4" s="41">
        <v>1997</v>
      </c>
      <c r="F4" s="41">
        <v>1998</v>
      </c>
      <c r="G4" s="41">
        <v>1999</v>
      </c>
      <c r="H4" s="41">
        <v>2000</v>
      </c>
      <c r="I4" s="41">
        <v>2001</v>
      </c>
      <c r="J4" s="41">
        <v>2002</v>
      </c>
      <c r="K4" s="99">
        <v>2003</v>
      </c>
    </row>
    <row r="5" spans="2:11" ht="12.75">
      <c r="B5" s="47"/>
      <c r="C5" s="43"/>
      <c r="D5" s="43"/>
      <c r="E5" s="43"/>
      <c r="F5" s="43"/>
      <c r="G5" s="43"/>
      <c r="H5" s="43"/>
      <c r="I5" s="43"/>
      <c r="J5" s="43"/>
      <c r="K5" s="50"/>
    </row>
    <row r="6" spans="2:11" ht="28.5" customHeight="1">
      <c r="B6" s="195" t="s">
        <v>25</v>
      </c>
      <c r="C6" s="169">
        <v>295312</v>
      </c>
      <c r="D6" s="169">
        <v>326188</v>
      </c>
      <c r="E6" s="169">
        <v>360000</v>
      </c>
      <c r="F6" s="169">
        <v>482331</v>
      </c>
      <c r="G6" s="169">
        <v>627325</v>
      </c>
      <c r="H6" s="169">
        <v>501669</v>
      </c>
      <c r="I6" s="169">
        <v>525122</v>
      </c>
      <c r="J6" s="169">
        <v>575296</v>
      </c>
      <c r="K6" s="196">
        <v>576198</v>
      </c>
    </row>
    <row r="7" spans="2:11" ht="16.5" customHeight="1">
      <c r="B7" s="195" t="s">
        <v>26</v>
      </c>
      <c r="C7" s="169">
        <v>268152</v>
      </c>
      <c r="D7" s="169">
        <v>296193</v>
      </c>
      <c r="E7" s="169">
        <v>345000</v>
      </c>
      <c r="F7" s="169">
        <v>457331</v>
      </c>
      <c r="G7" s="169">
        <v>564593</v>
      </c>
      <c r="H7" s="169">
        <v>479652</v>
      </c>
      <c r="I7" s="169">
        <v>501081</v>
      </c>
      <c r="J7" s="169">
        <v>550000</v>
      </c>
      <c r="K7" s="196">
        <v>552000</v>
      </c>
    </row>
    <row r="8" spans="2:11" ht="16.5" customHeight="1">
      <c r="B8" s="195" t="s">
        <v>27</v>
      </c>
      <c r="C8" s="43">
        <v>259.44</v>
      </c>
      <c r="D8" s="43">
        <v>322.37</v>
      </c>
      <c r="E8" s="43">
        <v>392.41</v>
      </c>
      <c r="F8" s="197">
        <v>570</v>
      </c>
      <c r="G8" s="43">
        <v>733.28</v>
      </c>
      <c r="H8" s="43">
        <v>739.06</v>
      </c>
      <c r="I8" s="197">
        <v>725</v>
      </c>
      <c r="J8" s="197">
        <v>730</v>
      </c>
      <c r="K8" s="198">
        <v>731</v>
      </c>
    </row>
    <row r="9" spans="2:11" ht="16.5" customHeight="1">
      <c r="B9" s="417" t="s">
        <v>28</v>
      </c>
      <c r="C9" s="418">
        <v>7.2</v>
      </c>
      <c r="D9" s="418">
        <v>7.3</v>
      </c>
      <c r="E9" s="418">
        <v>7.5</v>
      </c>
      <c r="F9" s="418">
        <v>7.6</v>
      </c>
      <c r="G9" s="418">
        <v>7.7</v>
      </c>
      <c r="H9" s="418">
        <v>8</v>
      </c>
      <c r="I9" s="418">
        <v>8</v>
      </c>
      <c r="J9" s="418">
        <v>11</v>
      </c>
      <c r="K9" s="419">
        <v>11</v>
      </c>
    </row>
    <row r="10" spans="2:11" ht="33" customHeight="1">
      <c r="B10" s="417" t="s">
        <v>29</v>
      </c>
      <c r="C10" s="418">
        <v>122</v>
      </c>
      <c r="D10" s="418">
        <v>135</v>
      </c>
      <c r="E10" s="418">
        <v>145</v>
      </c>
      <c r="F10" s="418">
        <v>155.5</v>
      </c>
      <c r="G10" s="418">
        <v>152</v>
      </c>
      <c r="H10" s="418">
        <v>162.8</v>
      </c>
      <c r="I10" s="418">
        <v>172.58</v>
      </c>
      <c r="J10" s="420"/>
      <c r="K10" s="421"/>
    </row>
    <row r="11" spans="2:11" ht="30" customHeight="1">
      <c r="B11" s="417" t="s">
        <v>385</v>
      </c>
      <c r="C11" s="420"/>
      <c r="D11" s="420"/>
      <c r="E11" s="420"/>
      <c r="F11" s="420"/>
      <c r="G11" s="420"/>
      <c r="H11" s="420"/>
      <c r="I11" s="420"/>
      <c r="J11" s="420">
        <v>153</v>
      </c>
      <c r="K11" s="421">
        <v>153</v>
      </c>
    </row>
    <row r="12" spans="2:11" ht="30.75" customHeight="1">
      <c r="B12" s="417" t="s">
        <v>386</v>
      </c>
      <c r="C12" s="420"/>
      <c r="D12" s="420"/>
      <c r="E12" s="420"/>
      <c r="F12" s="420"/>
      <c r="G12" s="420"/>
      <c r="H12" s="420"/>
      <c r="I12" s="420"/>
      <c r="J12" s="420">
        <v>82</v>
      </c>
      <c r="K12" s="421">
        <v>82</v>
      </c>
    </row>
    <row r="13" spans="2:11" ht="30.75" customHeight="1">
      <c r="B13" s="417" t="s">
        <v>35</v>
      </c>
      <c r="C13" s="420"/>
      <c r="D13" s="420"/>
      <c r="E13" s="420"/>
      <c r="F13" s="420"/>
      <c r="G13" s="420"/>
      <c r="H13" s="420"/>
      <c r="I13" s="420"/>
      <c r="J13" s="422">
        <f>J11/J12</f>
        <v>1.8658536585365855</v>
      </c>
      <c r="K13" s="423">
        <f>K11/K12</f>
        <v>1.8658536585365855</v>
      </c>
    </row>
    <row r="14" spans="2:11" ht="12.75">
      <c r="B14" s="417" t="s">
        <v>30</v>
      </c>
      <c r="C14" s="420">
        <v>210</v>
      </c>
      <c r="D14" s="420">
        <v>212</v>
      </c>
      <c r="E14" s="420">
        <v>213</v>
      </c>
      <c r="F14" s="420">
        <v>215</v>
      </c>
      <c r="G14" s="420">
        <v>321</v>
      </c>
      <c r="H14" s="420">
        <v>326</v>
      </c>
      <c r="I14" s="420">
        <v>329</v>
      </c>
      <c r="J14" s="420"/>
      <c r="K14" s="421"/>
    </row>
    <row r="15" spans="2:11" ht="12.75">
      <c r="B15" s="417" t="s">
        <v>31</v>
      </c>
      <c r="C15" s="420">
        <v>6935</v>
      </c>
      <c r="D15" s="420">
        <v>6970</v>
      </c>
      <c r="E15" s="420">
        <v>7470</v>
      </c>
      <c r="F15" s="420">
        <v>7500</v>
      </c>
      <c r="G15" s="420">
        <v>9575</v>
      </c>
      <c r="H15" s="420">
        <v>10025</v>
      </c>
      <c r="I15" s="420">
        <v>10325</v>
      </c>
      <c r="J15" s="420"/>
      <c r="K15" s="421"/>
    </row>
    <row r="16" spans="2:11" ht="12.75">
      <c r="B16" s="417" t="s">
        <v>32</v>
      </c>
      <c r="C16" s="420">
        <v>12145</v>
      </c>
      <c r="D16" s="420">
        <v>12348</v>
      </c>
      <c r="E16" s="420">
        <v>13248</v>
      </c>
      <c r="F16" s="420">
        <v>13400</v>
      </c>
      <c r="G16" s="420">
        <v>17235</v>
      </c>
      <c r="H16" s="420">
        <v>17303</v>
      </c>
      <c r="I16" s="420">
        <v>18284</v>
      </c>
      <c r="J16" s="420"/>
      <c r="K16" s="421"/>
    </row>
    <row r="17" spans="2:11" ht="12.75">
      <c r="B17" s="417" t="s">
        <v>33</v>
      </c>
      <c r="C17" s="212">
        <v>417000</v>
      </c>
      <c r="D17" s="212">
        <v>880000</v>
      </c>
      <c r="E17" s="212">
        <v>1479000</v>
      </c>
      <c r="F17" s="212">
        <v>2534000</v>
      </c>
      <c r="G17" s="212">
        <v>1695000</v>
      </c>
      <c r="H17" s="212">
        <v>1888000</v>
      </c>
      <c r="I17" s="212">
        <v>1955000</v>
      </c>
      <c r="J17" s="420"/>
      <c r="K17" s="421"/>
    </row>
    <row r="18" spans="2:11" ht="27" customHeight="1">
      <c r="B18" s="424" t="s">
        <v>34</v>
      </c>
      <c r="C18" s="425">
        <v>0.571</v>
      </c>
      <c r="D18" s="425">
        <v>0.564</v>
      </c>
      <c r="E18" s="425">
        <v>0.563</v>
      </c>
      <c r="F18" s="425">
        <v>0.599</v>
      </c>
      <c r="G18" s="425">
        <v>0.637</v>
      </c>
      <c r="H18" s="425">
        <v>0.5402</v>
      </c>
      <c r="I18" s="425">
        <v>0.586</v>
      </c>
      <c r="J18" s="425">
        <v>0.51</v>
      </c>
      <c r="K18" s="426">
        <v>0.47</v>
      </c>
    </row>
    <row r="22" spans="2:5" ht="12.75">
      <c r="B22" s="35" t="s">
        <v>36</v>
      </c>
      <c r="C22" s="4"/>
      <c r="D22" s="4"/>
      <c r="E22" s="199"/>
    </row>
    <row r="23" spans="2:5" ht="38.25">
      <c r="B23" s="5"/>
      <c r="C23" s="204" t="s">
        <v>40</v>
      </c>
      <c r="D23" s="8"/>
      <c r="E23" s="205" t="s">
        <v>41</v>
      </c>
    </row>
    <row r="24" spans="2:5" ht="12.75">
      <c r="B24" s="5"/>
      <c r="C24" s="200"/>
      <c r="D24" s="6"/>
      <c r="E24" s="201"/>
    </row>
    <row r="25" spans="2:5" ht="12.75">
      <c r="B25" s="427" t="s">
        <v>0</v>
      </c>
      <c r="C25" s="428">
        <v>0.378</v>
      </c>
      <c r="D25" s="429"/>
      <c r="E25" s="430">
        <v>0.302</v>
      </c>
    </row>
    <row r="26" spans="2:5" ht="12.75">
      <c r="B26" s="427" t="s">
        <v>37</v>
      </c>
      <c r="C26" s="428">
        <v>0.554</v>
      </c>
      <c r="D26" s="429"/>
      <c r="E26" s="430">
        <v>0.469</v>
      </c>
    </row>
    <row r="27" spans="2:5" ht="12.75">
      <c r="B27" s="427" t="s">
        <v>4</v>
      </c>
      <c r="C27" s="428">
        <v>0.242</v>
      </c>
      <c r="D27" s="429"/>
      <c r="E27" s="430">
        <v>0.218</v>
      </c>
    </row>
    <row r="28" spans="2:5" ht="12.75">
      <c r="B28" s="427" t="s">
        <v>38</v>
      </c>
      <c r="C28" s="428">
        <v>0.31</v>
      </c>
      <c r="D28" s="429"/>
      <c r="E28" s="430">
        <v>0.308</v>
      </c>
    </row>
    <row r="29" spans="2:5" ht="12.75">
      <c r="B29" s="427" t="s">
        <v>3</v>
      </c>
      <c r="C29" s="428">
        <v>0.438</v>
      </c>
      <c r="D29" s="429"/>
      <c r="E29" s="430">
        <v>0.402</v>
      </c>
    </row>
    <row r="30" spans="2:5" ht="12.75">
      <c r="B30" s="427" t="s">
        <v>39</v>
      </c>
      <c r="C30" s="428">
        <v>0.428</v>
      </c>
      <c r="D30" s="429"/>
      <c r="E30" s="430">
        <v>0.356</v>
      </c>
    </row>
    <row r="31" spans="2:5" ht="12.75">
      <c r="B31" s="5"/>
      <c r="C31" s="6"/>
      <c r="D31" s="6"/>
      <c r="E31" s="7"/>
    </row>
    <row r="32" spans="2:5" ht="12.75">
      <c r="B32" s="9" t="s">
        <v>42</v>
      </c>
      <c r="C32" s="6"/>
      <c r="D32" s="6"/>
      <c r="E32" s="7"/>
    </row>
    <row r="33" spans="2:5" ht="63.75">
      <c r="B33" s="5"/>
      <c r="C33" s="204" t="s">
        <v>43</v>
      </c>
      <c r="D33" s="8"/>
      <c r="E33" s="205" t="s">
        <v>44</v>
      </c>
    </row>
    <row r="34" spans="2:5" ht="12.75">
      <c r="B34" s="5"/>
      <c r="C34" s="200"/>
      <c r="D34" s="6"/>
      <c r="E34" s="201"/>
    </row>
    <row r="35" spans="2:5" ht="12.75">
      <c r="B35" s="5" t="s">
        <v>0</v>
      </c>
      <c r="C35" s="202">
        <v>406581</v>
      </c>
      <c r="D35" s="6"/>
      <c r="E35" s="203">
        <v>776534</v>
      </c>
    </row>
    <row r="36" spans="2:5" ht="12.75">
      <c r="B36" s="5" t="s">
        <v>37</v>
      </c>
      <c r="C36" s="202">
        <v>369911</v>
      </c>
      <c r="D36" s="6"/>
      <c r="E36" s="203">
        <v>620706</v>
      </c>
    </row>
    <row r="37" spans="2:5" ht="12.75">
      <c r="B37" s="5" t="s">
        <v>4</v>
      </c>
      <c r="C37" s="202">
        <v>62163</v>
      </c>
      <c r="D37" s="6"/>
      <c r="E37" s="203">
        <v>102260</v>
      </c>
    </row>
    <row r="38" spans="2:5" ht="12.75">
      <c r="B38" s="5" t="s">
        <v>38</v>
      </c>
      <c r="C38" s="202">
        <v>25830</v>
      </c>
      <c r="D38" s="6"/>
      <c r="E38" s="203">
        <v>53310</v>
      </c>
    </row>
    <row r="39" spans="2:5" ht="12.75">
      <c r="B39" s="5" t="s">
        <v>3</v>
      </c>
      <c r="C39" s="202">
        <v>67887</v>
      </c>
      <c r="D39" s="6"/>
      <c r="E39" s="203">
        <v>108104</v>
      </c>
    </row>
    <row r="40" spans="1:6" ht="12.75">
      <c r="A40" s="435"/>
      <c r="B40" s="461" t="s">
        <v>1</v>
      </c>
      <c r="C40" s="462">
        <f>SUM(C35:C39)</f>
        <v>932372</v>
      </c>
      <c r="D40" s="463"/>
      <c r="E40" s="464">
        <f>SUM(E35:E39)</f>
        <v>1660914</v>
      </c>
      <c r="F40" s="435"/>
    </row>
    <row r="43" ht="12.75">
      <c r="B43" s="1" t="s">
        <v>45</v>
      </c>
    </row>
    <row r="45" spans="2:10" ht="12.75">
      <c r="B45" s="109" t="s">
        <v>46</v>
      </c>
      <c r="C45" s="58"/>
      <c r="D45" s="58"/>
      <c r="E45" s="58"/>
      <c r="F45" s="58"/>
      <c r="G45" s="58"/>
      <c r="H45" s="58"/>
      <c r="I45" s="58"/>
      <c r="J45" s="59"/>
    </row>
    <row r="46" spans="2:10" ht="12.75">
      <c r="B46" s="63"/>
      <c r="C46" s="61"/>
      <c r="D46" s="61"/>
      <c r="E46" s="61"/>
      <c r="F46" s="61"/>
      <c r="G46" s="61"/>
      <c r="H46" s="61"/>
      <c r="I46" s="61"/>
      <c r="J46" s="62"/>
    </row>
    <row r="47" spans="2:10" ht="12.75">
      <c r="B47" s="63"/>
      <c r="C47" s="511" t="s">
        <v>47</v>
      </c>
      <c r="D47" s="512"/>
      <c r="E47" s="512"/>
      <c r="F47" s="513"/>
      <c r="G47" s="511" t="s">
        <v>53</v>
      </c>
      <c r="H47" s="512"/>
      <c r="I47" s="512"/>
      <c r="J47" s="513"/>
    </row>
    <row r="48" spans="2:10" ht="12.75">
      <c r="B48" s="63"/>
      <c r="C48" s="291" t="s">
        <v>48</v>
      </c>
      <c r="D48" s="292" t="s">
        <v>49</v>
      </c>
      <c r="E48" s="292" t="s">
        <v>50</v>
      </c>
      <c r="F48" s="293" t="s">
        <v>51</v>
      </c>
      <c r="G48" s="291" t="s">
        <v>48</v>
      </c>
      <c r="H48" s="292" t="s">
        <v>49</v>
      </c>
      <c r="I48" s="292" t="s">
        <v>50</v>
      </c>
      <c r="J48" s="293" t="s">
        <v>51</v>
      </c>
    </row>
    <row r="49" spans="2:10" ht="12.75">
      <c r="B49" s="63" t="s">
        <v>0</v>
      </c>
      <c r="C49" s="206">
        <v>0.371</v>
      </c>
      <c r="D49" s="207">
        <v>0.375</v>
      </c>
      <c r="E49" s="207">
        <v>0.416</v>
      </c>
      <c r="F49" s="208">
        <v>0.357</v>
      </c>
      <c r="G49" s="206">
        <v>0.305</v>
      </c>
      <c r="H49" s="207">
        <v>0.277</v>
      </c>
      <c r="I49" s="207">
        <v>0.355</v>
      </c>
      <c r="J49" s="208">
        <v>0.281</v>
      </c>
    </row>
    <row r="50" spans="2:10" ht="12.75">
      <c r="B50" s="63" t="s">
        <v>37</v>
      </c>
      <c r="C50" s="209">
        <v>0.519</v>
      </c>
      <c r="D50" s="210">
        <v>0.552</v>
      </c>
      <c r="E50" s="210">
        <v>0.588</v>
      </c>
      <c r="F50" s="211">
        <v>0.567</v>
      </c>
      <c r="G50" s="209">
        <v>0.44</v>
      </c>
      <c r="H50" s="210">
        <v>0.46</v>
      </c>
      <c r="I50" s="210">
        <v>0.5</v>
      </c>
      <c r="J50" s="211">
        <v>0.487</v>
      </c>
    </row>
    <row r="51" spans="2:10" ht="12.75">
      <c r="B51" s="63" t="s">
        <v>4</v>
      </c>
      <c r="C51" s="209">
        <v>0.166</v>
      </c>
      <c r="D51" s="210">
        <v>0.366</v>
      </c>
      <c r="E51" s="210">
        <v>0.26</v>
      </c>
      <c r="F51" s="211">
        <v>0.254</v>
      </c>
      <c r="G51" s="209">
        <v>0.149</v>
      </c>
      <c r="H51" s="210">
        <v>0.19</v>
      </c>
      <c r="I51" s="210">
        <v>0.259</v>
      </c>
      <c r="J51" s="211">
        <v>0.253</v>
      </c>
    </row>
    <row r="52" spans="2:10" ht="12.75">
      <c r="B52" s="63" t="s">
        <v>38</v>
      </c>
      <c r="C52" s="209">
        <v>0.32</v>
      </c>
      <c r="D52" s="210">
        <v>0.334</v>
      </c>
      <c r="E52" s="210">
        <v>0.354</v>
      </c>
      <c r="F52" s="211">
        <v>0.235</v>
      </c>
      <c r="G52" s="209">
        <v>0.31</v>
      </c>
      <c r="H52" s="210">
        <v>0.327</v>
      </c>
      <c r="I52" s="210">
        <v>0.388</v>
      </c>
      <c r="J52" s="211">
        <v>0.201</v>
      </c>
    </row>
    <row r="53" spans="2:10" ht="12.75">
      <c r="B53" s="63" t="s">
        <v>3</v>
      </c>
      <c r="C53" s="209">
        <v>0.402</v>
      </c>
      <c r="D53" s="210">
        <v>0.415</v>
      </c>
      <c r="E53" s="210">
        <v>0.356</v>
      </c>
      <c r="F53" s="211">
        <v>0.441</v>
      </c>
      <c r="G53" s="209">
        <v>0.34</v>
      </c>
      <c r="H53" s="210">
        <v>0.379</v>
      </c>
      <c r="I53" s="210">
        <v>0.335</v>
      </c>
      <c r="J53" s="211">
        <v>0.415</v>
      </c>
    </row>
    <row r="54" spans="2:11" ht="12.75">
      <c r="B54" s="431" t="s">
        <v>52</v>
      </c>
      <c r="C54" s="432">
        <v>0.411</v>
      </c>
      <c r="D54" s="433">
        <v>0.441</v>
      </c>
      <c r="E54" s="433">
        <v>0.466</v>
      </c>
      <c r="F54" s="434">
        <v>0.402</v>
      </c>
      <c r="G54" s="432">
        <v>0.346</v>
      </c>
      <c r="H54" s="433">
        <v>0.342</v>
      </c>
      <c r="I54" s="433">
        <v>0.405</v>
      </c>
      <c r="J54" s="434">
        <v>0.334</v>
      </c>
      <c r="K54" s="435"/>
    </row>
    <row r="55" spans="2:11" ht="12.75">
      <c r="B55" s="435"/>
      <c r="C55" s="435"/>
      <c r="D55" s="435"/>
      <c r="E55" s="435"/>
      <c r="F55" s="435"/>
      <c r="G55" s="435"/>
      <c r="H55" s="435"/>
      <c r="I55" s="435"/>
      <c r="J55" s="435"/>
      <c r="K55" s="435"/>
    </row>
    <row r="56" spans="2:11" ht="12.75">
      <c r="B56" s="435"/>
      <c r="C56" s="435"/>
      <c r="D56" s="435"/>
      <c r="E56" s="435"/>
      <c r="F56" s="435"/>
      <c r="G56" s="435"/>
      <c r="H56" s="435"/>
      <c r="I56" s="435"/>
      <c r="J56" s="435"/>
      <c r="K56" s="435"/>
    </row>
    <row r="57" spans="2:11" ht="12.75">
      <c r="B57" s="436" t="s">
        <v>54</v>
      </c>
      <c r="C57" s="437"/>
      <c r="D57" s="438"/>
      <c r="E57" s="439"/>
      <c r="F57" s="439"/>
      <c r="G57" s="439"/>
      <c r="H57" s="439"/>
      <c r="I57" s="439"/>
      <c r="J57" s="439"/>
      <c r="K57" s="439"/>
    </row>
    <row r="58" spans="2:11" ht="12.75">
      <c r="B58" s="440"/>
      <c r="C58" s="441"/>
      <c r="D58" s="442"/>
      <c r="E58" s="439"/>
      <c r="F58" s="439"/>
      <c r="G58" s="439"/>
      <c r="H58" s="439"/>
      <c r="I58" s="439"/>
      <c r="J58" s="439"/>
      <c r="K58" s="439"/>
    </row>
    <row r="59" spans="2:11" ht="12.75">
      <c r="B59" s="440" t="s">
        <v>55</v>
      </c>
      <c r="C59" s="443">
        <v>13339</v>
      </c>
      <c r="D59" s="442"/>
      <c r="E59" s="439"/>
      <c r="F59" s="439"/>
      <c r="G59" s="439"/>
      <c r="H59" s="439"/>
      <c r="I59" s="439"/>
      <c r="J59" s="439"/>
      <c r="K59" s="439"/>
    </row>
    <row r="60" spans="2:11" ht="12.75">
      <c r="B60" s="440" t="s">
        <v>56</v>
      </c>
      <c r="C60" s="443">
        <v>3121</v>
      </c>
      <c r="D60" s="442"/>
      <c r="E60" s="439"/>
      <c r="F60" s="439"/>
      <c r="G60" s="439"/>
      <c r="H60" s="439"/>
      <c r="I60" s="439"/>
      <c r="J60" s="439"/>
      <c r="K60" s="439"/>
    </row>
    <row r="61" spans="2:11" ht="12.75">
      <c r="B61" s="440" t="s">
        <v>57</v>
      </c>
      <c r="C61" s="443">
        <v>6499</v>
      </c>
      <c r="D61" s="442"/>
      <c r="E61" s="439"/>
      <c r="F61" s="439"/>
      <c r="G61" s="439"/>
      <c r="H61" s="439"/>
      <c r="I61" s="439"/>
      <c r="J61" s="439"/>
      <c r="K61" s="439"/>
    </row>
    <row r="62" spans="2:11" ht="12.75">
      <c r="B62" s="440" t="s">
        <v>58</v>
      </c>
      <c r="C62" s="443">
        <v>2841</v>
      </c>
      <c r="D62" s="442"/>
      <c r="E62" s="439"/>
      <c r="F62" s="439"/>
      <c r="G62" s="439"/>
      <c r="H62" s="439"/>
      <c r="I62" s="439"/>
      <c r="J62" s="439"/>
      <c r="K62" s="439"/>
    </row>
    <row r="63" spans="2:11" ht="12.75">
      <c r="B63" s="440" t="s">
        <v>59</v>
      </c>
      <c r="C63" s="443">
        <v>213</v>
      </c>
      <c r="D63" s="442"/>
      <c r="E63" s="439"/>
      <c r="F63" s="439"/>
      <c r="G63" s="439"/>
      <c r="H63" s="439"/>
      <c r="I63" s="439"/>
      <c r="J63" s="439"/>
      <c r="K63" s="439"/>
    </row>
    <row r="64" spans="2:11" ht="12.75">
      <c r="B64" s="440" t="s">
        <v>60</v>
      </c>
      <c r="C64" s="443">
        <v>420</v>
      </c>
      <c r="D64" s="442"/>
      <c r="E64" s="439"/>
      <c r="F64" s="439"/>
      <c r="G64" s="439"/>
      <c r="H64" s="439"/>
      <c r="I64" s="439"/>
      <c r="J64" s="439"/>
      <c r="K64" s="439"/>
    </row>
    <row r="65" spans="2:11" ht="12.75">
      <c r="B65" s="440" t="s">
        <v>61</v>
      </c>
      <c r="C65" s="443">
        <v>1235</v>
      </c>
      <c r="D65" s="442"/>
      <c r="E65" s="439"/>
      <c r="F65" s="439"/>
      <c r="G65" s="439"/>
      <c r="H65" s="439"/>
      <c r="I65" s="439"/>
      <c r="J65" s="439"/>
      <c r="K65" s="439"/>
    </row>
    <row r="66" spans="2:11" ht="12.75">
      <c r="B66" s="440" t="s">
        <v>62</v>
      </c>
      <c r="C66" s="443">
        <v>766</v>
      </c>
      <c r="D66" s="442"/>
      <c r="E66" s="439"/>
      <c r="F66" s="439"/>
      <c r="G66" s="439"/>
      <c r="H66" s="439"/>
      <c r="I66" s="439"/>
      <c r="J66" s="439"/>
      <c r="K66" s="439"/>
    </row>
    <row r="67" spans="2:11" ht="12.75">
      <c r="B67" s="440" t="s">
        <v>63</v>
      </c>
      <c r="C67" s="443">
        <v>21290</v>
      </c>
      <c r="D67" s="442"/>
      <c r="E67" s="439"/>
      <c r="F67" s="439"/>
      <c r="G67" s="439"/>
      <c r="H67" s="439"/>
      <c r="I67" s="439"/>
      <c r="J67" s="439"/>
      <c r="K67" s="439"/>
    </row>
    <row r="68" spans="2:11" ht="12.75">
      <c r="B68" s="440" t="s">
        <v>64</v>
      </c>
      <c r="C68" s="443">
        <v>10147</v>
      </c>
      <c r="D68" s="442"/>
      <c r="E68" s="439"/>
      <c r="F68" s="439"/>
      <c r="G68" s="439"/>
      <c r="H68" s="439"/>
      <c r="I68" s="439"/>
      <c r="J68" s="439"/>
      <c r="K68" s="439"/>
    </row>
    <row r="69" spans="2:11" ht="12.75">
      <c r="B69" s="440" t="s">
        <v>1</v>
      </c>
      <c r="C69" s="443">
        <v>31437</v>
      </c>
      <c r="D69" s="442"/>
      <c r="E69" s="439"/>
      <c r="F69" s="439"/>
      <c r="G69" s="439"/>
      <c r="H69" s="439"/>
      <c r="I69" s="439"/>
      <c r="J69" s="439"/>
      <c r="K69" s="439"/>
    </row>
    <row r="70" spans="2:11" ht="12.75">
      <c r="B70" s="440"/>
      <c r="C70" s="441"/>
      <c r="D70" s="442"/>
      <c r="E70" s="439"/>
      <c r="F70" s="439"/>
      <c r="G70" s="439"/>
      <c r="H70" s="439"/>
      <c r="I70" s="439"/>
      <c r="J70" s="439"/>
      <c r="K70" s="439"/>
    </row>
    <row r="71" spans="2:11" ht="12.75">
      <c r="B71" s="444" t="s">
        <v>65</v>
      </c>
      <c r="C71" s="441"/>
      <c r="D71" s="442"/>
      <c r="E71" s="439"/>
      <c r="F71" s="439"/>
      <c r="G71" s="439"/>
      <c r="H71" s="439"/>
      <c r="I71" s="439"/>
      <c r="J71" s="439"/>
      <c r="K71" s="439"/>
    </row>
    <row r="72" spans="2:11" ht="12.75">
      <c r="B72" s="440"/>
      <c r="C72" s="441"/>
      <c r="D72" s="442"/>
      <c r="E72" s="439"/>
      <c r="F72" s="439"/>
      <c r="G72" s="439"/>
      <c r="H72" s="439"/>
      <c r="I72" s="439"/>
      <c r="J72" s="439"/>
      <c r="K72" s="439"/>
    </row>
    <row r="73" spans="2:11" ht="12.75">
      <c r="B73" s="440" t="s">
        <v>66</v>
      </c>
      <c r="C73" s="441"/>
      <c r="D73" s="442"/>
      <c r="E73" s="439"/>
      <c r="F73" s="439"/>
      <c r="G73" s="439"/>
      <c r="H73" s="439"/>
      <c r="I73" s="439"/>
      <c r="J73" s="439"/>
      <c r="K73" s="439"/>
    </row>
    <row r="74" spans="2:11" ht="12.75">
      <c r="B74" s="440" t="s">
        <v>67</v>
      </c>
      <c r="C74" s="441"/>
      <c r="D74" s="442"/>
      <c r="E74" s="439"/>
      <c r="F74" s="439"/>
      <c r="G74" s="439"/>
      <c r="H74" s="439"/>
      <c r="I74" s="439"/>
      <c r="J74" s="439"/>
      <c r="K74" s="439"/>
    </row>
    <row r="75" spans="2:11" ht="12.75">
      <c r="B75" s="440" t="s">
        <v>68</v>
      </c>
      <c r="C75" s="441"/>
      <c r="D75" s="442"/>
      <c r="E75" s="439"/>
      <c r="F75" s="439"/>
      <c r="G75" s="439"/>
      <c r="H75" s="439"/>
      <c r="I75" s="439"/>
      <c r="J75" s="439"/>
      <c r="K75" s="439"/>
    </row>
    <row r="76" spans="2:11" ht="12.75">
      <c r="B76" s="440" t="s">
        <v>69</v>
      </c>
      <c r="C76" s="441"/>
      <c r="D76" s="442"/>
      <c r="E76" s="439"/>
      <c r="F76" s="439"/>
      <c r="G76" s="439"/>
      <c r="H76" s="439"/>
      <c r="I76" s="439"/>
      <c r="J76" s="439"/>
      <c r="K76" s="439"/>
    </row>
    <row r="77" spans="2:11" ht="12.75">
      <c r="B77" s="440" t="s">
        <v>70</v>
      </c>
      <c r="C77" s="441"/>
      <c r="D77" s="442"/>
      <c r="E77" s="439"/>
      <c r="F77" s="439"/>
      <c r="G77" s="439"/>
      <c r="H77" s="439"/>
      <c r="I77" s="439"/>
      <c r="J77" s="439"/>
      <c r="K77" s="439"/>
    </row>
    <row r="78" spans="2:11" ht="12.75">
      <c r="B78" s="440" t="s">
        <v>71</v>
      </c>
      <c r="C78" s="441"/>
      <c r="D78" s="442"/>
      <c r="E78" s="439"/>
      <c r="F78" s="439"/>
      <c r="G78" s="439"/>
      <c r="H78" s="439"/>
      <c r="I78" s="439"/>
      <c r="J78" s="439"/>
      <c r="K78" s="439"/>
    </row>
    <row r="79" spans="2:11" ht="12.75">
      <c r="B79" s="440"/>
      <c r="C79" s="441"/>
      <c r="D79" s="442"/>
      <c r="E79" s="439"/>
      <c r="F79" s="439"/>
      <c r="G79" s="439"/>
      <c r="H79" s="439"/>
      <c r="I79" s="439"/>
      <c r="J79" s="439"/>
      <c r="K79" s="439"/>
    </row>
    <row r="80" spans="2:11" ht="12.75">
      <c r="B80" s="444" t="s">
        <v>72</v>
      </c>
      <c r="C80" s="441"/>
      <c r="D80" s="442"/>
      <c r="E80" s="439"/>
      <c r="F80" s="439"/>
      <c r="G80" s="439"/>
      <c r="H80" s="439"/>
      <c r="I80" s="439"/>
      <c r="J80" s="439"/>
      <c r="K80" s="439"/>
    </row>
    <row r="81" spans="2:11" ht="12.75">
      <c r="B81" s="440"/>
      <c r="C81" s="441" t="s">
        <v>76</v>
      </c>
      <c r="D81" s="442" t="s">
        <v>77</v>
      </c>
      <c r="E81" s="439"/>
      <c r="F81" s="439"/>
      <c r="G81" s="439"/>
      <c r="H81" s="439"/>
      <c r="I81" s="439"/>
      <c r="J81" s="439"/>
      <c r="K81" s="439"/>
    </row>
    <row r="82" spans="2:11" ht="12.75">
      <c r="B82" s="440" t="s">
        <v>73</v>
      </c>
      <c r="C82" s="443">
        <v>196</v>
      </c>
      <c r="D82" s="445">
        <f>C82/C$86</f>
        <v>0.022611905860636824</v>
      </c>
      <c r="E82" s="439"/>
      <c r="F82" s="439"/>
      <c r="G82" s="439"/>
      <c r="H82" s="439"/>
      <c r="I82" s="439"/>
      <c r="J82" s="439"/>
      <c r="K82" s="439"/>
    </row>
    <row r="83" spans="2:11" ht="12.75">
      <c r="B83" s="440" t="s">
        <v>74</v>
      </c>
      <c r="C83" s="443">
        <v>8214</v>
      </c>
      <c r="D83" s="445">
        <f>C83/C$86</f>
        <v>0.9476234425473005</v>
      </c>
      <c r="E83" s="439"/>
      <c r="F83" s="439"/>
      <c r="G83" s="439"/>
      <c r="H83" s="439"/>
      <c r="I83" s="439"/>
      <c r="J83" s="439"/>
      <c r="K83" s="439"/>
    </row>
    <row r="84" spans="2:11" ht="12.75">
      <c r="B84" s="440" t="s">
        <v>75</v>
      </c>
      <c r="C84" s="443">
        <v>175</v>
      </c>
      <c r="D84" s="445">
        <f>C84/C$86</f>
        <v>0.02018920166128288</v>
      </c>
      <c r="E84" s="439"/>
      <c r="F84" s="439"/>
      <c r="G84" s="439"/>
      <c r="H84" s="439"/>
      <c r="I84" s="439"/>
      <c r="J84" s="439"/>
      <c r="K84" s="439"/>
    </row>
    <row r="85" spans="2:11" ht="12.75">
      <c r="B85" s="440" t="s">
        <v>3</v>
      </c>
      <c r="C85" s="443">
        <v>83</v>
      </c>
      <c r="D85" s="445">
        <f>C85/C$86</f>
        <v>0.00957544993077988</v>
      </c>
      <c r="E85" s="439"/>
      <c r="F85" s="439"/>
      <c r="G85" s="439"/>
      <c r="H85" s="439"/>
      <c r="I85" s="439"/>
      <c r="J85" s="439"/>
      <c r="K85" s="439"/>
    </row>
    <row r="86" spans="2:11" ht="12.75">
      <c r="B86" s="446" t="s">
        <v>1</v>
      </c>
      <c r="C86" s="447">
        <f>SUM(C82:C85)</f>
        <v>8668</v>
      </c>
      <c r="D86" s="448">
        <f>C86/C$86</f>
        <v>1</v>
      </c>
      <c r="E86" s="439"/>
      <c r="F86" s="439"/>
      <c r="G86" s="439"/>
      <c r="H86" s="439"/>
      <c r="I86" s="439"/>
      <c r="J86" s="439"/>
      <c r="K86" s="439"/>
    </row>
    <row r="87" spans="2:11" ht="12.75">
      <c r="B87" s="439"/>
      <c r="C87" s="439"/>
      <c r="D87" s="439"/>
      <c r="E87" s="439"/>
      <c r="F87" s="439"/>
      <c r="G87" s="439"/>
      <c r="H87" s="439"/>
      <c r="I87" s="439"/>
      <c r="J87" s="439"/>
      <c r="K87" s="439"/>
    </row>
    <row r="88" spans="2:11" ht="12.75">
      <c r="B88" s="439" t="s">
        <v>38</v>
      </c>
      <c r="C88" s="439"/>
      <c r="D88" s="439"/>
      <c r="E88" s="439"/>
      <c r="F88" s="439"/>
      <c r="G88" s="439"/>
      <c r="H88" s="439"/>
      <c r="I88" s="439"/>
      <c r="J88" s="439"/>
      <c r="K88" s="439"/>
    </row>
    <row r="89" spans="2:11" ht="40.5" customHeight="1">
      <c r="B89" s="449"/>
      <c r="C89" s="450"/>
      <c r="D89" s="450"/>
      <c r="E89" s="450"/>
      <c r="F89" s="450"/>
      <c r="G89" s="514" t="s">
        <v>82</v>
      </c>
      <c r="H89" s="514"/>
      <c r="I89" s="515" t="s">
        <v>85</v>
      </c>
      <c r="J89" s="515"/>
      <c r="K89" s="451"/>
    </row>
    <row r="90" spans="2:11" ht="38.25">
      <c r="B90" s="452"/>
      <c r="C90" s="453" t="s">
        <v>78</v>
      </c>
      <c r="D90" s="453" t="s">
        <v>79</v>
      </c>
      <c r="E90" s="453" t="s">
        <v>80</v>
      </c>
      <c r="F90" s="453" t="s">
        <v>81</v>
      </c>
      <c r="G90" s="453" t="s">
        <v>83</v>
      </c>
      <c r="H90" s="453" t="s">
        <v>84</v>
      </c>
      <c r="I90" s="453" t="s">
        <v>83</v>
      </c>
      <c r="J90" s="453" t="s">
        <v>84</v>
      </c>
      <c r="K90" s="454" t="s">
        <v>86</v>
      </c>
    </row>
    <row r="91" spans="2:11" ht="12.75">
      <c r="B91" s="452"/>
      <c r="C91" s="455"/>
      <c r="D91" s="455"/>
      <c r="E91" s="455"/>
      <c r="F91" s="455"/>
      <c r="G91" s="455"/>
      <c r="H91" s="455"/>
      <c r="I91" s="455"/>
      <c r="J91" s="455"/>
      <c r="K91" s="456"/>
    </row>
    <row r="92" spans="2:11" ht="12.75">
      <c r="B92" s="457"/>
      <c r="C92" s="458">
        <v>76331</v>
      </c>
      <c r="D92" s="458">
        <v>36601</v>
      </c>
      <c r="E92" s="458">
        <f>C92-D92</f>
        <v>39730</v>
      </c>
      <c r="F92" s="458"/>
      <c r="G92" s="458">
        <v>115</v>
      </c>
      <c r="H92" s="458">
        <v>91</v>
      </c>
      <c r="I92" s="459">
        <v>40008793</v>
      </c>
      <c r="J92" s="459">
        <v>30152606</v>
      </c>
      <c r="K92" s="460">
        <v>70161399</v>
      </c>
    </row>
  </sheetData>
  <mergeCells count="4">
    <mergeCell ref="C47:F47"/>
    <mergeCell ref="G47:J47"/>
    <mergeCell ref="G89:H89"/>
    <mergeCell ref="I89:J8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B24"/>
  <sheetViews>
    <sheetView showGridLines="0" tabSelected="1" workbookViewId="0" topLeftCell="A1">
      <selection activeCell="B2" sqref="B2"/>
    </sheetView>
  </sheetViews>
  <sheetFormatPr defaultColWidth="9.140625" defaultRowHeight="12.75"/>
  <cols>
    <col min="1" max="1" width="5.7109375" style="469" customWidth="1"/>
    <col min="2" max="2" width="106.421875" style="469" customWidth="1"/>
    <col min="3" max="16384" width="9.140625" style="469" customWidth="1"/>
  </cols>
  <sheetData>
    <row r="1" ht="12.75">
      <c r="B1" s="468" t="s">
        <v>413</v>
      </c>
    </row>
    <row r="2" ht="20.25">
      <c r="B2" s="470" t="s">
        <v>367</v>
      </c>
    </row>
    <row r="4" ht="18">
      <c r="B4" s="471" t="s">
        <v>340</v>
      </c>
    </row>
    <row r="6" ht="12.75">
      <c r="B6" s="472" t="s">
        <v>346</v>
      </c>
    </row>
    <row r="7" ht="6.75" customHeight="1"/>
    <row r="8" ht="38.25">
      <c r="B8" s="467" t="s">
        <v>370</v>
      </c>
    </row>
    <row r="10" ht="12.75">
      <c r="B10" s="472" t="s">
        <v>394</v>
      </c>
    </row>
    <row r="11" ht="6.75" customHeight="1"/>
    <row r="12" ht="12.75">
      <c r="B12" s="469" t="s">
        <v>395</v>
      </c>
    </row>
    <row r="13" ht="47.25" customHeight="1">
      <c r="B13" s="469" t="s">
        <v>397</v>
      </c>
    </row>
    <row r="14" ht="18" customHeight="1">
      <c r="B14" s="469" t="s">
        <v>396</v>
      </c>
    </row>
    <row r="15" ht="31.5" customHeight="1">
      <c r="B15" s="469" t="s">
        <v>398</v>
      </c>
    </row>
    <row r="16" ht="31.5" customHeight="1">
      <c r="B16" s="469" t="s">
        <v>400</v>
      </c>
    </row>
    <row r="18" ht="12.75">
      <c r="B18" s="472" t="s">
        <v>399</v>
      </c>
    </row>
    <row r="19" ht="6.75" customHeight="1"/>
    <row r="20" ht="114.75">
      <c r="B20" s="469" t="s">
        <v>410</v>
      </c>
    </row>
    <row r="21" ht="38.25">
      <c r="B21" s="469" t="s">
        <v>401</v>
      </c>
    </row>
    <row r="24" ht="12.75">
      <c r="B24" s="322" t="s">
        <v>413</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I74"/>
  <sheetViews>
    <sheetView showGridLines="0" workbookViewId="0" topLeftCell="A1">
      <selection activeCell="G5" sqref="G5"/>
    </sheetView>
  </sheetViews>
  <sheetFormatPr defaultColWidth="9.140625" defaultRowHeight="12.75"/>
  <cols>
    <col min="1" max="1" width="5.7109375" style="316" customWidth="1"/>
    <col min="2" max="2" width="18.8515625" style="316" customWidth="1"/>
    <col min="3" max="3" width="55.57421875" style="316" customWidth="1"/>
    <col min="4" max="4" width="15.7109375" style="316" customWidth="1"/>
    <col min="5" max="5" width="15.7109375" style="319" customWidth="1"/>
    <col min="6" max="7" width="15.7109375" style="316" customWidth="1"/>
    <col min="8" max="8" width="5.7109375" style="316" customWidth="1"/>
    <col min="9" max="9" width="20.140625" style="316" customWidth="1"/>
    <col min="10" max="16384" width="9.140625" style="316" customWidth="1"/>
  </cols>
  <sheetData>
    <row r="2" spans="2:4" ht="23.25">
      <c r="B2" s="317" t="s">
        <v>367</v>
      </c>
      <c r="D2" s="318"/>
    </row>
    <row r="3" ht="12.75">
      <c r="F3" s="320"/>
    </row>
    <row r="4" spans="2:7" ht="18">
      <c r="B4" s="321" t="s">
        <v>347</v>
      </c>
      <c r="G4" s="322" t="s">
        <v>413</v>
      </c>
    </row>
    <row r="6" spans="2:7" ht="39" customHeight="1">
      <c r="B6" s="487" t="s">
        <v>364</v>
      </c>
      <c r="C6" s="487"/>
      <c r="D6" s="487"/>
      <c r="E6" s="487"/>
      <c r="F6" s="487"/>
      <c r="G6" s="487"/>
    </row>
    <row r="7" spans="3:6" ht="12.75">
      <c r="C7" s="323"/>
      <c r="D7" s="323"/>
      <c r="E7" s="323"/>
      <c r="F7" s="323"/>
    </row>
    <row r="8" spans="2:7" ht="15.75">
      <c r="B8" s="488" t="s">
        <v>359</v>
      </c>
      <c r="C8" s="488" t="s">
        <v>348</v>
      </c>
      <c r="D8" s="491" t="s">
        <v>349</v>
      </c>
      <c r="E8" s="492"/>
      <c r="F8" s="492"/>
      <c r="G8" s="493"/>
    </row>
    <row r="9" spans="2:9" ht="39" thickBot="1">
      <c r="B9" s="489"/>
      <c r="C9" s="490"/>
      <c r="D9" s="324" t="s">
        <v>353</v>
      </c>
      <c r="E9" s="325" t="s">
        <v>352</v>
      </c>
      <c r="F9" s="325" t="s">
        <v>361</v>
      </c>
      <c r="G9" s="325" t="s">
        <v>350</v>
      </c>
      <c r="I9" s="326" t="s">
        <v>358</v>
      </c>
    </row>
    <row r="10" spans="2:9" ht="33" customHeight="1">
      <c r="B10" s="327" t="s">
        <v>346</v>
      </c>
      <c r="C10" s="328" t="s">
        <v>354</v>
      </c>
      <c r="D10" s="329">
        <v>1</v>
      </c>
      <c r="E10" s="330">
        <v>1</v>
      </c>
      <c r="F10" s="331" t="s">
        <v>357</v>
      </c>
      <c r="G10" s="332">
        <f>D10</f>
        <v>1</v>
      </c>
      <c r="I10" s="333" t="str">
        <f>IF(D10=E10,IF(D11=E11,"Y","N"),"N")</f>
        <v>Y</v>
      </c>
    </row>
    <row r="11" spans="2:9" ht="33" customHeight="1">
      <c r="B11" s="334" t="s">
        <v>346</v>
      </c>
      <c r="C11" s="328" t="s">
        <v>355</v>
      </c>
      <c r="D11" s="329">
        <v>1</v>
      </c>
      <c r="E11" s="330">
        <v>1</v>
      </c>
      <c r="F11" s="331" t="s">
        <v>357</v>
      </c>
      <c r="G11" s="332">
        <f>D11</f>
        <v>1</v>
      </c>
      <c r="I11" s="335" t="str">
        <f>IF(D13=E13,IF(D14=E14,IF(D15=E15,IF(D16=E16,IF(D17=E17,"Y","N"),"N"),"N"),"N"),"N")</f>
        <v>Y</v>
      </c>
    </row>
    <row r="12" spans="2:7" ht="12.75">
      <c r="B12" s="336"/>
      <c r="C12" s="337"/>
      <c r="D12" s="338"/>
      <c r="E12" s="338"/>
      <c r="F12" s="338"/>
      <c r="G12" s="339"/>
    </row>
    <row r="13" spans="2:9" ht="33" customHeight="1">
      <c r="B13" s="340" t="s">
        <v>356</v>
      </c>
      <c r="C13" s="341" t="s">
        <v>379</v>
      </c>
      <c r="D13" s="404">
        <v>0.06</v>
      </c>
      <c r="E13" s="405">
        <v>0.06</v>
      </c>
      <c r="F13" s="400" t="s">
        <v>374</v>
      </c>
      <c r="G13" s="408">
        <f>IF($I$10="Y",D13,E13)</f>
        <v>0.06</v>
      </c>
      <c r="I13" s="342" t="s">
        <v>360</v>
      </c>
    </row>
    <row r="14" spans="2:9" ht="33" customHeight="1">
      <c r="B14" s="327" t="s">
        <v>356</v>
      </c>
      <c r="C14" s="343" t="s">
        <v>376</v>
      </c>
      <c r="D14" s="412">
        <v>3</v>
      </c>
      <c r="E14" s="413">
        <v>3</v>
      </c>
      <c r="F14" s="401" t="s">
        <v>375</v>
      </c>
      <c r="G14" s="414">
        <f>IF($I$10="Y",D14,E14)</f>
        <v>3</v>
      </c>
      <c r="I14" s="345" t="s">
        <v>363</v>
      </c>
    </row>
    <row r="15" spans="2:9" ht="33" customHeight="1">
      <c r="B15" s="327" t="s">
        <v>356</v>
      </c>
      <c r="C15" s="343" t="s">
        <v>378</v>
      </c>
      <c r="D15" s="409">
        <v>96</v>
      </c>
      <c r="E15" s="410">
        <v>96</v>
      </c>
      <c r="F15" s="401" t="s">
        <v>377</v>
      </c>
      <c r="G15" s="411">
        <f>IF($I$10="Y",D15,E15)</f>
        <v>96</v>
      </c>
      <c r="I15" s="346" t="s">
        <v>365</v>
      </c>
    </row>
    <row r="16" spans="2:9" ht="33" customHeight="1">
      <c r="B16" s="347" t="s">
        <v>356</v>
      </c>
      <c r="C16" s="343" t="s">
        <v>373</v>
      </c>
      <c r="D16" s="406">
        <v>0.06</v>
      </c>
      <c r="E16" s="407">
        <v>0.06</v>
      </c>
      <c r="F16" s="402" t="s">
        <v>374</v>
      </c>
      <c r="G16" s="344">
        <f>IF($I$10="Y",D16,E16)</f>
        <v>0.06</v>
      </c>
      <c r="I16" s="348"/>
    </row>
    <row r="17" spans="2:9" ht="33" customHeight="1">
      <c r="B17" s="349" t="s">
        <v>356</v>
      </c>
      <c r="C17" s="350" t="s">
        <v>362</v>
      </c>
      <c r="D17" s="351">
        <v>1300</v>
      </c>
      <c r="E17" s="352">
        <v>1300</v>
      </c>
      <c r="F17" s="403" t="s">
        <v>345</v>
      </c>
      <c r="G17" s="353">
        <f>IF($I$10="Y",D17,E17)</f>
        <v>1300</v>
      </c>
      <c r="I17" s="348"/>
    </row>
    <row r="18" ht="12.75">
      <c r="E18" s="316"/>
    </row>
    <row r="19" spans="2:7" ht="27" customHeight="1">
      <c r="B19" s="485">
        <f>IF($I$10="N",IF($I$11="N","Reminder: Please reset all summary parameters to original values before changing specific parameters.  Specific parameters will only be used in ERR computation when all summary parameters are set to initial values",0),0)</f>
        <v>0</v>
      </c>
      <c r="C19" s="485"/>
      <c r="D19" s="485"/>
      <c r="E19" s="485"/>
      <c r="F19" s="485"/>
      <c r="G19" s="485"/>
    </row>
    <row r="20" spans="2:6" ht="12.75">
      <c r="B20" s="354"/>
      <c r="C20" s="355"/>
      <c r="D20" s="356"/>
      <c r="E20" s="357"/>
      <c r="F20" s="357"/>
    </row>
    <row r="21" spans="3:6" ht="12.75">
      <c r="C21" s="358" t="s">
        <v>351</v>
      </c>
      <c r="D21" s="359">
        <f>'Mafia Airport'!E5</f>
        <v>0.17474126034922016</v>
      </c>
      <c r="E21" s="360"/>
      <c r="F21" s="360"/>
    </row>
    <row r="22" spans="3:6" ht="12.75">
      <c r="C22" s="358"/>
      <c r="D22" s="361"/>
      <c r="E22" s="362"/>
      <c r="F22" s="363"/>
    </row>
    <row r="23" spans="3:6" ht="12.75">
      <c r="C23" s="358" t="s">
        <v>366</v>
      </c>
      <c r="D23" s="364">
        <v>0.175</v>
      </c>
      <c r="E23" s="365"/>
      <c r="F23" s="365"/>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spans="3:7" ht="12.75">
      <c r="C74" s="486"/>
      <c r="D74" s="486"/>
      <c r="E74" s="486"/>
      <c r="F74" s="486"/>
      <c r="G74" s="486"/>
    </row>
  </sheetData>
  <mergeCells count="6">
    <mergeCell ref="B19:G19"/>
    <mergeCell ref="C74:G74"/>
    <mergeCell ref="B6:G6"/>
    <mergeCell ref="B8:B9"/>
    <mergeCell ref="C8:C9"/>
    <mergeCell ref="D8:G8"/>
  </mergeCells>
  <conditionalFormatting sqref="B19">
    <cfRule type="cellIs" priority="1" dxfId="0" operator="equal" stopIfTrue="1">
      <formula>0</formula>
    </cfRule>
    <cfRule type="cellIs" priority="2" dxfId="1" operator="notEqual" stopIfTrue="1">
      <formula>0</formula>
    </cfRule>
  </conditionalFormatting>
  <hyperlinks>
    <hyperlink ref="I14" location="'Activity Description'!A1" display="   Activity Description"/>
    <hyperlink ref="I15" location="'User''s Guide'!A1" display="User's Guide"/>
  </hyperlinks>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dimension ref="B2:AB233"/>
  <sheetViews>
    <sheetView workbookViewId="0" topLeftCell="A1">
      <selection activeCell="E32" sqref="E32"/>
    </sheetView>
  </sheetViews>
  <sheetFormatPr defaultColWidth="9.140625" defaultRowHeight="12.75"/>
  <cols>
    <col min="1" max="1" width="5.7109375" style="1" customWidth="1"/>
    <col min="2" max="2" width="5.28125" style="1" customWidth="1"/>
    <col min="3" max="3" width="3.421875" style="1" customWidth="1"/>
    <col min="4" max="4" width="30.28125" style="1" customWidth="1"/>
    <col min="5" max="5" width="38.140625" style="1" customWidth="1"/>
    <col min="6" max="6" width="14.28125" style="1" customWidth="1"/>
    <col min="7" max="7" width="10.57421875" style="1" customWidth="1"/>
    <col min="8" max="8" width="11.140625" style="1" customWidth="1"/>
    <col min="9" max="16384" width="9.140625" style="1" customWidth="1"/>
  </cols>
  <sheetData>
    <row r="1" ht="12.75"/>
    <row r="2" ht="18">
      <c r="B2" s="33" t="s">
        <v>260</v>
      </c>
    </row>
    <row r="3" ht="13.5" thickBot="1"/>
    <row r="4" spans="3:5" ht="12.75">
      <c r="C4" s="494" t="s">
        <v>22</v>
      </c>
      <c r="D4" s="495"/>
      <c r="E4" s="367"/>
    </row>
    <row r="5" spans="3:7" ht="12.75">
      <c r="C5" s="496" t="s">
        <v>14</v>
      </c>
      <c r="D5" s="497"/>
      <c r="E5" s="368">
        <f>IRR(F166:Y166,-0.086)</f>
        <v>0.17474126034922016</v>
      </c>
      <c r="G5" s="57"/>
    </row>
    <row r="6" spans="3:7" ht="12.75">
      <c r="C6" s="371" t="s">
        <v>15</v>
      </c>
      <c r="D6" s="132"/>
      <c r="E6" s="368">
        <f>IRR(F192:Y192,-0.086)</f>
        <v>0.16246706243889167</v>
      </c>
      <c r="G6" s="57"/>
    </row>
    <row r="7" spans="3:7" ht="12.75">
      <c r="C7" s="371" t="s">
        <v>16</v>
      </c>
      <c r="D7" s="132"/>
      <c r="E7" s="368">
        <f>IRR(F199:Y199,-0.086)</f>
        <v>0.1537412183605243</v>
      </c>
      <c r="G7" s="57"/>
    </row>
    <row r="8" spans="3:7" ht="12.75">
      <c r="C8" s="371" t="s">
        <v>17</v>
      </c>
      <c r="D8" s="132"/>
      <c r="E8" s="368">
        <f>IRR(F205:Y205,-0.086)</f>
        <v>0.15086789952674384</v>
      </c>
      <c r="F8" s="57"/>
      <c r="G8" s="57"/>
    </row>
    <row r="9" spans="3:7" ht="12.75">
      <c r="C9" s="371" t="s">
        <v>18</v>
      </c>
      <c r="D9" s="132"/>
      <c r="E9" s="368">
        <f>IRR(F211:Y211,-0.086)</f>
        <v>0.18619412379044653</v>
      </c>
      <c r="G9" s="57"/>
    </row>
    <row r="10" spans="3:7" ht="12.75">
      <c r="C10" s="371" t="s">
        <v>19</v>
      </c>
      <c r="D10" s="132"/>
      <c r="E10" s="368">
        <f>IRR(F218:Y218,-0.086)</f>
        <v>0.20211953602314398</v>
      </c>
      <c r="G10" s="57"/>
    </row>
    <row r="11" spans="3:7" ht="12.75">
      <c r="C11" s="371" t="s">
        <v>20</v>
      </c>
      <c r="D11" s="132"/>
      <c r="E11" s="368">
        <f>IRR(F225:Y225,-0.086)</f>
        <v>0.21444810323806235</v>
      </c>
      <c r="G11" s="57"/>
    </row>
    <row r="12" spans="3:7" ht="12.75">
      <c r="C12" s="371" t="s">
        <v>21</v>
      </c>
      <c r="D12" s="132"/>
      <c r="E12" s="368">
        <f>IRR(F232:Y232,-0.086)</f>
        <v>0.12128425623161752</v>
      </c>
      <c r="G12" s="57"/>
    </row>
    <row r="13" spans="3:7" ht="12.75">
      <c r="C13" s="371"/>
      <c r="D13" s="132"/>
      <c r="E13" s="368"/>
      <c r="F13" s="3"/>
      <c r="G13" s="57"/>
    </row>
    <row r="14" spans="3:7" ht="12.75">
      <c r="C14" s="371" t="s">
        <v>272</v>
      </c>
      <c r="D14" s="132"/>
      <c r="E14" s="369">
        <f>NPV(0.1,F166:Y166)/1000000</f>
        <v>5.7820472613528535</v>
      </c>
      <c r="G14" s="57"/>
    </row>
    <row r="15" spans="3:7" ht="12.75">
      <c r="C15" s="371" t="s">
        <v>273</v>
      </c>
      <c r="D15" s="132"/>
      <c r="E15" s="368"/>
      <c r="G15" s="57"/>
    </row>
    <row r="16" spans="3:7" ht="12.75">
      <c r="C16" s="371"/>
      <c r="D16" s="132"/>
      <c r="E16" s="368"/>
      <c r="G16" s="57"/>
    </row>
    <row r="17" spans="3:7" ht="12.75">
      <c r="C17" s="371" t="s">
        <v>274</v>
      </c>
      <c r="D17" s="132"/>
      <c r="E17" s="369">
        <f>NPV(0.1,F165:Y165)/1000000</f>
        <v>11.540510573253933</v>
      </c>
      <c r="G17" s="57"/>
    </row>
    <row r="18" spans="3:7" ht="13.5" thickBot="1">
      <c r="C18" s="372" t="s">
        <v>273</v>
      </c>
      <c r="D18" s="373"/>
      <c r="E18" s="370"/>
      <c r="G18" s="57"/>
    </row>
    <row r="19" ht="13.5" thickBot="1"/>
    <row r="20" spans="3:10" ht="13.5" thickBot="1">
      <c r="C20" s="86" t="s">
        <v>11</v>
      </c>
      <c r="D20" s="41"/>
      <c r="E20" s="41"/>
      <c r="F20" s="475" t="s">
        <v>10</v>
      </c>
      <c r="G20" s="73"/>
      <c r="H20" s="374" t="s">
        <v>166</v>
      </c>
      <c r="I20" s="375"/>
      <c r="J20" s="376">
        <v>2</v>
      </c>
    </row>
    <row r="21" spans="3:28" ht="13.5" thickBot="1">
      <c r="C21" s="42"/>
      <c r="D21" s="43"/>
      <c r="E21" s="43"/>
      <c r="F21" s="476"/>
      <c r="G21" s="73"/>
      <c r="AB21" s="1">
        <v>1</v>
      </c>
    </row>
    <row r="22" spans="3:28" ht="12.75">
      <c r="C22" s="47"/>
      <c r="D22" s="48" t="s">
        <v>322</v>
      </c>
      <c r="E22" s="43"/>
      <c r="F22" s="477">
        <f>SUM(F30:J30)</f>
        <v>6870000</v>
      </c>
      <c r="G22" s="74"/>
      <c r="H22" s="377" t="s">
        <v>258</v>
      </c>
      <c r="I22" s="378"/>
      <c r="J22" s="378"/>
      <c r="K22" s="378"/>
      <c r="L22" s="379">
        <v>2</v>
      </c>
      <c r="AB22" s="1">
        <v>2</v>
      </c>
    </row>
    <row r="23" spans="3:28" ht="13.5" thickBot="1">
      <c r="C23" s="51"/>
      <c r="D23" s="52"/>
      <c r="E23" s="44"/>
      <c r="F23" s="478"/>
      <c r="G23" s="71"/>
      <c r="H23" s="380" t="s">
        <v>259</v>
      </c>
      <c r="I23" s="381"/>
      <c r="J23" s="381"/>
      <c r="K23" s="381"/>
      <c r="L23" s="382"/>
      <c r="AB23" s="1">
        <v>3</v>
      </c>
    </row>
    <row r="24" spans="4:26" ht="12.75">
      <c r="D24" s="46"/>
      <c r="Z24" s="46"/>
    </row>
    <row r="25" spans="3:26" ht="12.75">
      <c r="C25" s="87" t="s">
        <v>6</v>
      </c>
      <c r="D25" s="6"/>
      <c r="E25" s="4"/>
      <c r="F25" s="4"/>
      <c r="G25" s="4"/>
      <c r="H25" s="4"/>
      <c r="I25" s="4"/>
      <c r="J25" s="4"/>
      <c r="K25" s="4"/>
      <c r="L25" s="4"/>
      <c r="M25" s="4"/>
      <c r="N25" s="4"/>
      <c r="O25" s="4"/>
      <c r="P25" s="4"/>
      <c r="Q25" s="4"/>
      <c r="R25" s="4"/>
      <c r="S25" s="4"/>
      <c r="T25" s="4"/>
      <c r="U25" s="4"/>
      <c r="V25" s="4"/>
      <c r="W25" s="4"/>
      <c r="X25" s="4"/>
      <c r="Y25" s="4"/>
      <c r="Z25" s="7"/>
    </row>
    <row r="26" spans="3:26" ht="12.75">
      <c r="C26" s="5"/>
      <c r="D26" s="6"/>
      <c r="E26" s="8" t="s">
        <v>125</v>
      </c>
      <c r="F26" s="6"/>
      <c r="G26" s="6"/>
      <c r="H26" s="6"/>
      <c r="I26" s="6"/>
      <c r="J26" s="6"/>
      <c r="K26" s="6"/>
      <c r="L26" s="6"/>
      <c r="M26" s="6"/>
      <c r="N26" s="6"/>
      <c r="O26" s="6"/>
      <c r="P26" s="6"/>
      <c r="Q26" s="6"/>
      <c r="R26" s="6"/>
      <c r="S26" s="6"/>
      <c r="T26" s="6"/>
      <c r="U26" s="6"/>
      <c r="V26" s="6"/>
      <c r="W26" s="6"/>
      <c r="X26" s="6"/>
      <c r="Y26" s="6"/>
      <c r="Z26" s="7"/>
    </row>
    <row r="27" spans="3:26" ht="12.75">
      <c r="C27" s="5"/>
      <c r="D27" s="6"/>
      <c r="E27" s="6"/>
      <c r="F27" s="8">
        <f>Year1</f>
        <v>2008</v>
      </c>
      <c r="G27" s="8">
        <f aca="true" t="shared" si="0" ref="G27:Y27">F27+1</f>
        <v>2009</v>
      </c>
      <c r="H27" s="8">
        <f t="shared" si="0"/>
        <v>2010</v>
      </c>
      <c r="I27" s="8">
        <f t="shared" si="0"/>
        <v>2011</v>
      </c>
      <c r="J27" s="8">
        <f t="shared" si="0"/>
        <v>2012</v>
      </c>
      <c r="K27" s="8">
        <f t="shared" si="0"/>
        <v>2013</v>
      </c>
      <c r="L27" s="8">
        <f t="shared" si="0"/>
        <v>2014</v>
      </c>
      <c r="M27" s="8">
        <f t="shared" si="0"/>
        <v>2015</v>
      </c>
      <c r="N27" s="8">
        <f t="shared" si="0"/>
        <v>2016</v>
      </c>
      <c r="O27" s="8">
        <f t="shared" si="0"/>
        <v>2017</v>
      </c>
      <c r="P27" s="8">
        <f t="shared" si="0"/>
        <v>2018</v>
      </c>
      <c r="Q27" s="8">
        <f t="shared" si="0"/>
        <v>2019</v>
      </c>
      <c r="R27" s="8">
        <f t="shared" si="0"/>
        <v>2020</v>
      </c>
      <c r="S27" s="8">
        <f t="shared" si="0"/>
        <v>2021</v>
      </c>
      <c r="T27" s="8">
        <f t="shared" si="0"/>
        <v>2022</v>
      </c>
      <c r="U27" s="8">
        <f t="shared" si="0"/>
        <v>2023</v>
      </c>
      <c r="V27" s="8">
        <f t="shared" si="0"/>
        <v>2024</v>
      </c>
      <c r="W27" s="8">
        <f t="shared" si="0"/>
        <v>2025</v>
      </c>
      <c r="X27" s="8">
        <f t="shared" si="0"/>
        <v>2026</v>
      </c>
      <c r="Y27" s="8">
        <f t="shared" si="0"/>
        <v>2027</v>
      </c>
      <c r="Z27" s="7"/>
    </row>
    <row r="28" spans="3:26" ht="12.75">
      <c r="C28" s="55"/>
      <c r="D28" s="53"/>
      <c r="E28" s="6"/>
      <c r="F28" s="6">
        <v>0</v>
      </c>
      <c r="G28" s="6">
        <v>1</v>
      </c>
      <c r="H28" s="6">
        <v>2</v>
      </c>
      <c r="I28" s="6">
        <v>3</v>
      </c>
      <c r="J28" s="6">
        <v>4</v>
      </c>
      <c r="K28" s="6">
        <v>5</v>
      </c>
      <c r="L28" s="6">
        <v>6</v>
      </c>
      <c r="M28" s="6">
        <v>7</v>
      </c>
      <c r="N28" s="6">
        <v>8</v>
      </c>
      <c r="O28" s="6">
        <v>9</v>
      </c>
      <c r="P28" s="6">
        <v>10</v>
      </c>
      <c r="Q28" s="6">
        <v>11</v>
      </c>
      <c r="R28" s="6">
        <v>12</v>
      </c>
      <c r="S28" s="6">
        <v>13</v>
      </c>
      <c r="T28" s="6">
        <v>14</v>
      </c>
      <c r="U28" s="6">
        <v>15</v>
      </c>
      <c r="V28" s="6">
        <v>16</v>
      </c>
      <c r="W28" s="6">
        <v>17</v>
      </c>
      <c r="X28" s="6">
        <v>18</v>
      </c>
      <c r="Y28" s="6">
        <v>19</v>
      </c>
      <c r="Z28" s="7"/>
    </row>
    <row r="29" spans="3:26" ht="12.75" customHeight="1">
      <c r="C29" s="55"/>
      <c r="D29" s="88" t="s">
        <v>23</v>
      </c>
      <c r="E29" s="6"/>
      <c r="F29" s="6"/>
      <c r="G29" s="6"/>
      <c r="H29" s="6"/>
      <c r="I29" s="6"/>
      <c r="J29" s="6"/>
      <c r="K29" s="6"/>
      <c r="L29" s="6"/>
      <c r="M29" s="6"/>
      <c r="N29" s="6"/>
      <c r="O29" s="6"/>
      <c r="P29" s="6"/>
      <c r="Q29" s="6"/>
      <c r="R29" s="6"/>
      <c r="S29" s="6"/>
      <c r="T29" s="6"/>
      <c r="U29" s="6"/>
      <c r="V29" s="6"/>
      <c r="W29" s="6"/>
      <c r="X29" s="6"/>
      <c r="Y29" s="6"/>
      <c r="Z29" s="7"/>
    </row>
    <row r="30" spans="3:26" ht="12.75" customHeight="1">
      <c r="C30" s="5"/>
      <c r="D30" s="6"/>
      <c r="E30" s="479" t="s">
        <v>411</v>
      </c>
      <c r="F30" s="12">
        <v>1320000</v>
      </c>
      <c r="G30" s="12">
        <v>3250000</v>
      </c>
      <c r="H30" s="12">
        <v>2050000</v>
      </c>
      <c r="I30" s="12">
        <v>200000</v>
      </c>
      <c r="J30" s="12">
        <v>50000</v>
      </c>
      <c r="K30" s="12">
        <v>0</v>
      </c>
      <c r="L30" s="12">
        <v>39600</v>
      </c>
      <c r="M30" s="12">
        <v>39600</v>
      </c>
      <c r="N30" s="12">
        <v>39600</v>
      </c>
      <c r="O30" s="12">
        <v>39600</v>
      </c>
      <c r="P30" s="12">
        <v>39600</v>
      </c>
      <c r="Q30" s="12">
        <v>39600</v>
      </c>
      <c r="R30" s="12">
        <v>39600</v>
      </c>
      <c r="S30" s="12">
        <v>39600</v>
      </c>
      <c r="T30" s="12">
        <v>39600</v>
      </c>
      <c r="U30" s="12">
        <v>39600</v>
      </c>
      <c r="V30" s="12">
        <v>39600</v>
      </c>
      <c r="W30" s="12">
        <v>39600</v>
      </c>
      <c r="X30" s="12">
        <v>39600</v>
      </c>
      <c r="Y30" s="12">
        <v>39600</v>
      </c>
      <c r="Z30" s="7"/>
    </row>
    <row r="31" spans="3:26" ht="12.75" customHeight="1">
      <c r="C31" s="5"/>
      <c r="D31" s="6"/>
      <c r="E31" s="8" t="s">
        <v>412</v>
      </c>
      <c r="F31" s="12"/>
      <c r="G31" s="12"/>
      <c r="H31" s="12"/>
      <c r="I31" s="12"/>
      <c r="J31" s="12"/>
      <c r="K31" s="12"/>
      <c r="L31" s="12"/>
      <c r="M31" s="12"/>
      <c r="N31" s="12"/>
      <c r="O31" s="12"/>
      <c r="P31" s="12"/>
      <c r="Q31" s="12"/>
      <c r="R31" s="12"/>
      <c r="S31" s="12"/>
      <c r="T31" s="12"/>
      <c r="U31" s="12"/>
      <c r="V31" s="12"/>
      <c r="W31" s="12"/>
      <c r="X31" s="12"/>
      <c r="Y31" s="12"/>
      <c r="Z31" s="7"/>
    </row>
    <row r="32" spans="3:26" ht="12.75" customHeight="1">
      <c r="C32" s="5"/>
      <c r="D32" s="88" t="s">
        <v>5</v>
      </c>
      <c r="E32" s="8"/>
      <c r="F32" s="10"/>
      <c r="G32" s="13"/>
      <c r="H32" s="13"/>
      <c r="I32" s="13"/>
      <c r="J32" s="13"/>
      <c r="K32" s="13"/>
      <c r="L32" s="13"/>
      <c r="M32" s="13"/>
      <c r="N32" s="13"/>
      <c r="O32" s="13"/>
      <c r="P32" s="13"/>
      <c r="Q32" s="13"/>
      <c r="R32" s="13"/>
      <c r="S32" s="13"/>
      <c r="T32" s="13"/>
      <c r="U32" s="13"/>
      <c r="V32" s="13"/>
      <c r="W32" s="13"/>
      <c r="X32" s="13"/>
      <c r="Y32" s="13"/>
      <c r="Z32" s="7"/>
    </row>
    <row r="33" spans="3:26" ht="12.75" customHeight="1">
      <c r="C33" s="5"/>
      <c r="D33" s="53"/>
      <c r="E33" s="8"/>
      <c r="F33" s="10"/>
      <c r="G33" s="13"/>
      <c r="H33" s="13"/>
      <c r="I33" s="13"/>
      <c r="J33" s="13"/>
      <c r="K33" s="13"/>
      <c r="L33" s="13"/>
      <c r="M33" s="13"/>
      <c r="N33" s="13"/>
      <c r="O33" s="13"/>
      <c r="P33" s="13"/>
      <c r="Q33" s="13"/>
      <c r="R33" s="13"/>
      <c r="S33" s="13"/>
      <c r="T33" s="13"/>
      <c r="U33" s="13"/>
      <c r="V33" s="13"/>
      <c r="W33" s="13"/>
      <c r="X33" s="13"/>
      <c r="Y33" s="13"/>
      <c r="Z33" s="7"/>
    </row>
    <row r="34" spans="3:26" ht="12.75" customHeight="1">
      <c r="C34" s="5"/>
      <c r="D34" s="54" t="s">
        <v>8</v>
      </c>
      <c r="E34" s="14" t="s">
        <v>126</v>
      </c>
      <c r="F34" s="72" t="s">
        <v>7</v>
      </c>
      <c r="G34" s="72"/>
      <c r="H34" s="72"/>
      <c r="I34" s="72" t="s">
        <v>7</v>
      </c>
      <c r="J34" s="72" t="s">
        <v>7</v>
      </c>
      <c r="K34" s="72" t="s">
        <v>7</v>
      </c>
      <c r="L34" s="72" t="s">
        <v>7</v>
      </c>
      <c r="M34" s="72" t="s">
        <v>7</v>
      </c>
      <c r="N34" s="72" t="s">
        <v>7</v>
      </c>
      <c r="O34" s="72" t="s">
        <v>7</v>
      </c>
      <c r="P34" s="72" t="s">
        <v>7</v>
      </c>
      <c r="Q34" s="72" t="s">
        <v>7</v>
      </c>
      <c r="R34" s="72" t="s">
        <v>7</v>
      </c>
      <c r="S34" s="72" t="s">
        <v>7</v>
      </c>
      <c r="T34" s="72" t="s">
        <v>7</v>
      </c>
      <c r="U34" s="72" t="s">
        <v>7</v>
      </c>
      <c r="V34" s="72" t="s">
        <v>7</v>
      </c>
      <c r="W34" s="72" t="s">
        <v>7</v>
      </c>
      <c r="X34" s="72" t="s">
        <v>7</v>
      </c>
      <c r="Y34" s="72" t="s">
        <v>7</v>
      </c>
      <c r="Z34" s="7"/>
    </row>
    <row r="35" spans="3:26" ht="12.75" customHeight="1">
      <c r="C35" s="5"/>
      <c r="D35" s="54"/>
      <c r="E35" s="14" t="s">
        <v>149</v>
      </c>
      <c r="F35" s="383"/>
      <c r="G35" s="383"/>
      <c r="H35" s="383"/>
      <c r="I35" s="383"/>
      <c r="J35" s="383"/>
      <c r="K35" s="383"/>
      <c r="L35" s="383"/>
      <c r="M35" s="383"/>
      <c r="N35" s="383"/>
      <c r="O35" s="383"/>
      <c r="P35" s="383"/>
      <c r="Q35" s="383"/>
      <c r="R35" s="383"/>
      <c r="S35" s="383"/>
      <c r="T35" s="383"/>
      <c r="U35" s="383"/>
      <c r="V35" s="383"/>
      <c r="W35" s="383"/>
      <c r="X35" s="383"/>
      <c r="Y35" s="383"/>
      <c r="Z35" s="7"/>
    </row>
    <row r="36" spans="3:26" ht="12.75" customHeight="1">
      <c r="C36" s="5"/>
      <c r="D36" s="54"/>
      <c r="E36" s="138" t="s">
        <v>143</v>
      </c>
      <c r="F36" s="383">
        <f>'Airside-Passenger'!E8</f>
        <v>443.40000000000055</v>
      </c>
      <c r="G36" s="383">
        <f>IF($J$20=1,(1+'Benefit Profile'!$D14+'Benefit Profile'!$E14)*F36,IF($J$20=2,(1+'Benefit Profile'!$F14+'Benefit Profile'!$G14)*F36,(1+'Benefit Profile'!$H14+'Benefit Profile'!$I14)*F36))</f>
        <v>461.1360000000006</v>
      </c>
      <c r="H36" s="383">
        <f>IF($J$20=1,(1+'Benefit Profile'!$E14)*G36,IF($J$20=2,(1+'Benefit Profile'!$G14)*G36,(1+'Benefit Profile'!$I14)*G36))</f>
        <v>479.5814400000006</v>
      </c>
      <c r="I36" s="383">
        <f>IF($J$20=1,(1+'Benefit Profile'!$E14)*H36,IF($J$20=2,(1+'Benefit Profile'!$G14)*H36,(1+'Benefit Profile'!$I14)*H36))</f>
        <v>498.76469760000066</v>
      </c>
      <c r="J36" s="383">
        <f>IF($J$20=1,(1+'Benefit Profile'!$E14)*I36,IF($J$20=2,(1+'Benefit Profile'!$G14)*I36,(1+'Benefit Profile'!$I14)*I36))</f>
        <v>518.7152855040007</v>
      </c>
      <c r="K36" s="383">
        <f>IF($J$20=1,(1+'Benefit Profile'!$E14)*J36,IF($J$20=2,(1+'Benefit Profile'!$G14)*J36,(1+'Benefit Profile'!$I14)*J36))</f>
        <v>539.4638969241607</v>
      </c>
      <c r="L36" s="383">
        <f>IF($J$20=1,(1+'Benefit Profile'!$E14)*K36,IF($J$20=2,(1+'Benefit Profile'!$G14)*K36,(1+'Benefit Profile'!$I14)*K36))</f>
        <v>561.0424528011272</v>
      </c>
      <c r="M36" s="383">
        <f>IF($J$20=1,(1+'Benefit Profile'!$E14)*L36,IF($J$20=2,(1+'Benefit Profile'!$G14)*L36,(1+'Benefit Profile'!$I14)*L36))</f>
        <v>583.4841509131722</v>
      </c>
      <c r="N36" s="383">
        <f>IF($J$20=1,(1+'Benefit Profile'!$E14)*M36,IF($J$20=2,(1+'Benefit Profile'!$G14)*M36,(1+'Benefit Profile'!$I14)*M36))</f>
        <v>606.8235169496992</v>
      </c>
      <c r="O36" s="383">
        <f>IF($J$20=1,(1+'Benefit Profile'!$E14)*N36,IF($J$20=2,(1+'Benefit Profile'!$G14)*N36,(1+'Benefit Profile'!$I14)*N36))</f>
        <v>631.0964576276872</v>
      </c>
      <c r="P36" s="383">
        <f>IF($J$20=1,(1+'Benefit Profile'!$E14)*O36,IF($J$20=2,(1+'Benefit Profile'!$G14)*O36,(1+'Benefit Profile'!$I14)*O36))</f>
        <v>656.3403159327947</v>
      </c>
      <c r="Q36" s="383">
        <f>IF($J$20=1,(1+'Benefit Profile'!$E14)*P36,IF($J$20=2,(1+'Benefit Profile'!$G14)*P36,(1+'Benefit Profile'!$I14)*P36))</f>
        <v>682.5939285701065</v>
      </c>
      <c r="R36" s="383">
        <f>IF($J$20=1,(1+'Benefit Profile'!$E14)*Q36,IF($J$20=2,(1+'Benefit Profile'!$G14)*Q36,(1+'Benefit Profile'!$I14)*Q36))</f>
        <v>709.8976857129109</v>
      </c>
      <c r="S36" s="383">
        <f>IF($J$20=1,(1+'Benefit Profile'!$E14)*R36,IF($J$20=2,(1+'Benefit Profile'!$G14)*R36,(1+'Benefit Profile'!$I14)*R36))</f>
        <v>738.2935931414273</v>
      </c>
      <c r="T36" s="383">
        <f>IF($J$20=1,(1+'Benefit Profile'!$E14)*S36,IF($J$20=2,(1+'Benefit Profile'!$G14)*S36,(1+'Benefit Profile'!$I14)*S36))</f>
        <v>767.8253368670844</v>
      </c>
      <c r="U36" s="383">
        <f>IF($J$20=1,(1+'Benefit Profile'!$E14)*T36,IF($J$20=2,(1+'Benefit Profile'!$G14)*T36,(1+'Benefit Profile'!$I14)*T36))</f>
        <v>798.5383503417678</v>
      </c>
      <c r="V36" s="383">
        <f>IF($J$20=1,(1+'Benefit Profile'!$E14)*U36,IF($J$20=2,(1+'Benefit Profile'!$G14)*U36,(1+'Benefit Profile'!$I14)*U36))</f>
        <v>830.4798843554386</v>
      </c>
      <c r="W36" s="383">
        <f>IF($J$20=1,(1+'Benefit Profile'!$E14)*V36,IF($J$20=2,(1+'Benefit Profile'!$G14)*V36,(1+'Benefit Profile'!$I14)*V36))</f>
        <v>863.6990797296561</v>
      </c>
      <c r="X36" s="383">
        <f>IF($J$20=1,(1+'Benefit Profile'!$E14)*W36,IF($J$20=2,(1+'Benefit Profile'!$G14)*W36,(1+'Benefit Profile'!$I14)*W36))</f>
        <v>898.2470429188423</v>
      </c>
      <c r="Y36" s="383">
        <f>IF($J$20=1,(1+'Benefit Profile'!$E14)*X36,IF($J$20=2,(1+'Benefit Profile'!$G14)*X36,(1+'Benefit Profile'!$I14)*X36))</f>
        <v>934.176924635596</v>
      </c>
      <c r="Z36" s="7"/>
    </row>
    <row r="37" spans="3:26" ht="12.75" customHeight="1">
      <c r="C37" s="5"/>
      <c r="D37" s="54"/>
      <c r="E37" s="138" t="s">
        <v>142</v>
      </c>
      <c r="F37" s="383">
        <f>'Airside-Passenger'!E9</f>
        <v>7221.599999999999</v>
      </c>
      <c r="G37" s="383">
        <f>IF($J$20=1,(1+'Benefit Profile'!$D15+'Benefit Profile'!$E15)*F37,IF($J$20=2,(1+'Benefit Profile'!$F15+'Benefit Profile'!$G15)*F37,(1+'Benefit Profile'!$H15+'Benefit Profile'!$I15)*F37))</f>
        <v>7510.464</v>
      </c>
      <c r="H37" s="383">
        <f>IF($J$20=1,(1+'Benefit Profile'!$E15)*G37,IF($J$20=2,(1+'Benefit Profile'!$G15)*G37,(1+'Benefit Profile'!$I15)*G37))</f>
        <v>7810.88256</v>
      </c>
      <c r="I37" s="383">
        <f>IF($J$20=1,(1+'Benefit Profile'!$E15)*H37,IF($J$20=2,(1+'Benefit Profile'!$G15)*H37,(1+'Benefit Profile'!$I15)*H37))</f>
        <v>8123.3178624</v>
      </c>
      <c r="J37" s="383">
        <f>IF($J$20=1,(1+'Benefit Profile'!$E15)*I37,IF($J$20=2,(1+'Benefit Profile'!$G15)*I37,(1+'Benefit Profile'!$I15)*I37))</f>
        <v>8448.250576896</v>
      </c>
      <c r="K37" s="383">
        <f>IF($J$20=1,(1+'Benefit Profile'!$E15)*J37,IF($J$20=2,(1+'Benefit Profile'!$G15)*J37,(1+'Benefit Profile'!$I15)*J37))</f>
        <v>8786.18059997184</v>
      </c>
      <c r="L37" s="383">
        <f>IF($J$20=1,(1+'Benefit Profile'!$E15)*K37,IF($J$20=2,(1+'Benefit Profile'!$G15)*K37,(1+'Benefit Profile'!$I15)*K37))</f>
        <v>9137.627823970714</v>
      </c>
      <c r="M37" s="383">
        <f>IF($J$20=1,(1+'Benefit Profile'!$E15)*L37,IF($J$20=2,(1+'Benefit Profile'!$G15)*L37,(1+'Benefit Profile'!$I15)*L37))</f>
        <v>9503.132936929542</v>
      </c>
      <c r="N37" s="383">
        <f>IF($J$20=1,(1+'Benefit Profile'!$E15)*M37,IF($J$20=2,(1+'Benefit Profile'!$G15)*M37,(1+'Benefit Profile'!$I15)*M37))</f>
        <v>9883.258254406725</v>
      </c>
      <c r="O37" s="383">
        <f>IF($J$20=1,(1+'Benefit Profile'!$E15)*N37,IF($J$20=2,(1+'Benefit Profile'!$G15)*N37,(1+'Benefit Profile'!$I15)*N37))</f>
        <v>10278.588584582994</v>
      </c>
      <c r="P37" s="383">
        <f>IF($J$20=1,(1+'Benefit Profile'!$E15)*O37,IF($J$20=2,(1+'Benefit Profile'!$G15)*O37,(1+'Benefit Profile'!$I15)*O37))</f>
        <v>10689.732127966314</v>
      </c>
      <c r="Q37" s="383">
        <f>IF($J$20=1,(1+'Benefit Profile'!$E15)*P37,IF($J$20=2,(1+'Benefit Profile'!$G15)*P37,(1+'Benefit Profile'!$I15)*P37))</f>
        <v>11117.321413084966</v>
      </c>
      <c r="R37" s="383">
        <f>IF($J$20=1,(1+'Benefit Profile'!$E15)*Q37,IF($J$20=2,(1+'Benefit Profile'!$G15)*Q37,(1+'Benefit Profile'!$I15)*Q37))</f>
        <v>11562.014269608366</v>
      </c>
      <c r="S37" s="383">
        <f>IF($J$20=1,(1+'Benefit Profile'!$E15)*R37,IF($J$20=2,(1+'Benefit Profile'!$G15)*R37,(1+'Benefit Profile'!$I15)*R37))</f>
        <v>12024.494840392701</v>
      </c>
      <c r="T37" s="383">
        <f>IF($J$20=1,(1+'Benefit Profile'!$E15)*S37,IF($J$20=2,(1+'Benefit Profile'!$G15)*S37,(1+'Benefit Profile'!$I15)*S37))</f>
        <v>12505.47463400841</v>
      </c>
      <c r="U37" s="383">
        <f>IF($J$20=1,(1+'Benefit Profile'!$E15)*T37,IF($J$20=2,(1+'Benefit Profile'!$G15)*T37,(1+'Benefit Profile'!$I15)*T37))</f>
        <v>13005.693619368747</v>
      </c>
      <c r="V37" s="383">
        <f>IF($J$20=1,(1+'Benefit Profile'!$E15)*U37,IF($J$20=2,(1+'Benefit Profile'!$G15)*U37,(1+'Benefit Profile'!$I15)*U37))</f>
        <v>13525.921364143498</v>
      </c>
      <c r="W37" s="383">
        <f>IF($J$20=1,(1+'Benefit Profile'!$E15)*V37,IF($J$20=2,(1+'Benefit Profile'!$G15)*V37,(1+'Benefit Profile'!$I15)*V37))</f>
        <v>14066.958218709238</v>
      </c>
      <c r="X37" s="383">
        <f>IF($J$20=1,(1+'Benefit Profile'!$E15)*W37,IF($J$20=2,(1+'Benefit Profile'!$G15)*W37,(1+'Benefit Profile'!$I15)*W37))</f>
        <v>14629.636547457609</v>
      </c>
      <c r="Y37" s="383">
        <f>IF($J$20=1,(1+'Benefit Profile'!$E15)*X37,IF($J$20=2,(1+'Benefit Profile'!$G15)*X37,(1+'Benefit Profile'!$I15)*X37))</f>
        <v>15214.822009355914</v>
      </c>
      <c r="Z37" s="7"/>
    </row>
    <row r="38" spans="3:26" ht="12.75" customHeight="1">
      <c r="C38" s="5"/>
      <c r="D38" s="54"/>
      <c r="E38" s="138" t="s">
        <v>144</v>
      </c>
      <c r="F38" s="383">
        <f>'Airside-Passenger'!E10</f>
        <v>0</v>
      </c>
      <c r="G38" s="383">
        <f>IF($J$20=1,(1+'Benefit Profile'!$D16+'Benefit Profile'!$E16)*F38,IF($J$20=2,(1+'Benefit Profile'!$F16+'Benefit Profile'!$G16)*F38,(1+'Benefit Profile'!$H16+'Benefit Profile'!$I16)*F38))</f>
        <v>0</v>
      </c>
      <c r="H38" s="383">
        <f>IF($J$20=1,(1+'Benefit Profile'!$E16)*G38,IF($J$20=2,(1+'Benefit Profile'!$G16)*G38,(1+'Benefit Profile'!$I16)*G38))</f>
        <v>0</v>
      </c>
      <c r="I38" s="383">
        <f>IF($J$20=1,(1+'Benefit Profile'!$E16)*H38,IF($J$20=2,(1+'Benefit Profile'!$G16)*H38,(1+'Benefit Profile'!$I16)*H38))</f>
        <v>0</v>
      </c>
      <c r="J38" s="383">
        <f>IF($J$20=1,(1+'Benefit Profile'!$E16)*I38,IF($J$20=2,(1+'Benefit Profile'!$G16)*I38,(1+'Benefit Profile'!$I16)*I38))</f>
        <v>0</v>
      </c>
      <c r="K38" s="383">
        <f>IF($J$20=1,(1+'Benefit Profile'!$E16)*J38,IF($J$20=2,(1+'Benefit Profile'!$G16)*J38,(1+'Benefit Profile'!$I16)*J38))</f>
        <v>0</v>
      </c>
      <c r="L38" s="383">
        <f>IF($J$20=1,(1+'Benefit Profile'!$E16)*K38,IF($J$20=2,(1+'Benefit Profile'!$G16)*K38,(1+'Benefit Profile'!$I16)*K38))</f>
        <v>0</v>
      </c>
      <c r="M38" s="383">
        <f>IF($J$20=1,(1+'Benefit Profile'!$E16)*L38,IF($J$20=2,(1+'Benefit Profile'!$G16)*L38,(1+'Benefit Profile'!$I16)*L38))</f>
        <v>0</v>
      </c>
      <c r="N38" s="383">
        <f>IF($J$20=1,(1+'Benefit Profile'!$E16)*M38,IF($J$20=2,(1+'Benefit Profile'!$G16)*M38,(1+'Benefit Profile'!$I16)*M38))</f>
        <v>0</v>
      </c>
      <c r="O38" s="383">
        <f>IF($J$20=1,(1+'Benefit Profile'!$E16)*N38,IF($J$20=2,(1+'Benefit Profile'!$G16)*N38,(1+'Benefit Profile'!$I16)*N38))</f>
        <v>0</v>
      </c>
      <c r="P38" s="383">
        <f>IF($J$20=1,(1+'Benefit Profile'!$E16)*O38,IF($J$20=2,(1+'Benefit Profile'!$G16)*O38,(1+'Benefit Profile'!$I16)*O38))</f>
        <v>0</v>
      </c>
      <c r="Q38" s="383">
        <f>IF($J$20=1,(1+'Benefit Profile'!$E16)*P38,IF($J$20=2,(1+'Benefit Profile'!$G16)*P38,(1+'Benefit Profile'!$I16)*P38))</f>
        <v>0</v>
      </c>
      <c r="R38" s="383">
        <f>IF($J$20=1,(1+'Benefit Profile'!$E16)*Q38,IF($J$20=2,(1+'Benefit Profile'!$G16)*Q38,(1+'Benefit Profile'!$I16)*Q38))</f>
        <v>0</v>
      </c>
      <c r="S38" s="383">
        <f>IF($J$20=1,(1+'Benefit Profile'!$E16)*R38,IF($J$20=2,(1+'Benefit Profile'!$G16)*R38,(1+'Benefit Profile'!$I16)*R38))</f>
        <v>0</v>
      </c>
      <c r="T38" s="383">
        <f>IF($J$20=1,(1+'Benefit Profile'!$E16)*S38,IF($J$20=2,(1+'Benefit Profile'!$G16)*S38,(1+'Benefit Profile'!$I16)*S38))</f>
        <v>0</v>
      </c>
      <c r="U38" s="383">
        <f>IF($J$20=1,(1+'Benefit Profile'!$E16)*T38,IF($J$20=2,(1+'Benefit Profile'!$G16)*T38,(1+'Benefit Profile'!$I16)*T38))</f>
        <v>0</v>
      </c>
      <c r="V38" s="383">
        <f>IF($J$20=1,(1+'Benefit Profile'!$E16)*U38,IF($J$20=2,(1+'Benefit Profile'!$G16)*U38,(1+'Benefit Profile'!$I16)*U38))</f>
        <v>0</v>
      </c>
      <c r="W38" s="383">
        <f>IF($J$20=1,(1+'Benefit Profile'!$E16)*V38,IF($J$20=2,(1+'Benefit Profile'!$G16)*V38,(1+'Benefit Profile'!$I16)*V38))</f>
        <v>0</v>
      </c>
      <c r="X38" s="383">
        <f>IF($J$20=1,(1+'Benefit Profile'!$E16)*W38,IF($J$20=2,(1+'Benefit Profile'!$G16)*W38,(1+'Benefit Profile'!$I16)*W38))</f>
        <v>0</v>
      </c>
      <c r="Y38" s="383">
        <f>IF($J$20=1,(1+'Benefit Profile'!$E16)*X38,IF($J$20=2,(1+'Benefit Profile'!$G16)*X38,(1+'Benefit Profile'!$I16)*X38))</f>
        <v>0</v>
      </c>
      <c r="Z38" s="7"/>
    </row>
    <row r="39" spans="3:26" ht="12.75" customHeight="1">
      <c r="C39" s="5"/>
      <c r="D39" s="54"/>
      <c r="E39" s="138" t="s">
        <v>145</v>
      </c>
      <c r="F39" s="383">
        <f>'Airside-Passenger'!E11</f>
        <v>7221.599999999999</v>
      </c>
      <c r="G39" s="383">
        <f>IF($J$20=1,(1+'Benefit Profile'!$D17+'Benefit Profile'!$E17)*F39,IF($J$20=2,(1+'Benefit Profile'!$F17+'Benefit Profile'!$G17)*F39,(1+'Benefit Profile'!$H17+'Benefit Profile'!$I17)*F39))</f>
        <v>7510.464</v>
      </c>
      <c r="H39" s="383">
        <f>IF($J$20=1,(1+'Benefit Profile'!$E17)*G39,IF($J$20=2,(1+'Benefit Profile'!$G17)*G39,(1+'Benefit Profile'!$I17)*G39))</f>
        <v>7810.88256</v>
      </c>
      <c r="I39" s="383">
        <f>IF($J$20=1,(1+'Benefit Profile'!$E17)*H39,IF($J$20=2,(1+'Benefit Profile'!$G17)*H39,(1+'Benefit Profile'!$I17)*H39))</f>
        <v>8123.3178624</v>
      </c>
      <c r="J39" s="383">
        <f>IF($J$20=1,(1+'Benefit Profile'!$E17)*I39,IF($J$20=2,(1+'Benefit Profile'!$G17)*I39,(1+'Benefit Profile'!$I17)*I39))</f>
        <v>8448.250576896</v>
      </c>
      <c r="K39" s="383">
        <f>IF($J$20=1,(1+'Benefit Profile'!$E17)*J39,IF($J$20=2,(1+'Benefit Profile'!$G17)*J39,(1+'Benefit Profile'!$I17)*J39))</f>
        <v>8786.18059997184</v>
      </c>
      <c r="L39" s="383">
        <f>IF($J$20=1,(1+'Benefit Profile'!$E17)*K39,IF($J$20=2,(1+'Benefit Profile'!$G17)*K39,(1+'Benefit Profile'!$I17)*K39))</f>
        <v>9137.627823970714</v>
      </c>
      <c r="M39" s="383">
        <f>IF($J$20=1,(1+'Benefit Profile'!$E17)*L39,IF($J$20=2,(1+'Benefit Profile'!$G17)*L39,(1+'Benefit Profile'!$I17)*L39))</f>
        <v>9503.132936929542</v>
      </c>
      <c r="N39" s="383">
        <f>IF($J$20=1,(1+'Benefit Profile'!$E17)*M39,IF($J$20=2,(1+'Benefit Profile'!$G17)*M39,(1+'Benefit Profile'!$I17)*M39))</f>
        <v>9883.258254406725</v>
      </c>
      <c r="O39" s="383">
        <f>IF($J$20=1,(1+'Benefit Profile'!$E17)*N39,IF($J$20=2,(1+'Benefit Profile'!$G17)*N39,(1+'Benefit Profile'!$I17)*N39))</f>
        <v>10278.588584582994</v>
      </c>
      <c r="P39" s="383">
        <f>IF($J$20=1,(1+'Benefit Profile'!$E17)*O39,IF($J$20=2,(1+'Benefit Profile'!$G17)*O39,(1+'Benefit Profile'!$I17)*O39))</f>
        <v>10689.732127966314</v>
      </c>
      <c r="Q39" s="383">
        <f>IF($J$20=1,(1+'Benefit Profile'!$E17)*P39,IF($J$20=2,(1+'Benefit Profile'!$G17)*P39,(1+'Benefit Profile'!$I17)*P39))</f>
        <v>11117.321413084966</v>
      </c>
      <c r="R39" s="383">
        <f>IF($J$20=1,(1+'Benefit Profile'!$E17)*Q39,IF($J$20=2,(1+'Benefit Profile'!$G17)*Q39,(1+'Benefit Profile'!$I17)*Q39))</f>
        <v>11562.014269608366</v>
      </c>
      <c r="S39" s="383">
        <f>IF($J$20=1,(1+'Benefit Profile'!$E17)*R39,IF($J$20=2,(1+'Benefit Profile'!$G17)*R39,(1+'Benefit Profile'!$I17)*R39))</f>
        <v>12024.494840392701</v>
      </c>
      <c r="T39" s="383">
        <f>IF($J$20=1,(1+'Benefit Profile'!$E17)*S39,IF($J$20=2,(1+'Benefit Profile'!$G17)*S39,(1+'Benefit Profile'!$I17)*S39))</f>
        <v>12505.47463400841</v>
      </c>
      <c r="U39" s="383">
        <f>IF($J$20=1,(1+'Benefit Profile'!$E17)*T39,IF($J$20=2,(1+'Benefit Profile'!$G17)*T39,(1+'Benefit Profile'!$I17)*T39))</f>
        <v>13005.693619368747</v>
      </c>
      <c r="V39" s="383">
        <f>IF($J$20=1,(1+'Benefit Profile'!$E17)*U39,IF($J$20=2,(1+'Benefit Profile'!$G17)*U39,(1+'Benefit Profile'!$I17)*U39))</f>
        <v>13525.921364143498</v>
      </c>
      <c r="W39" s="383">
        <f>IF($J$20=1,(1+'Benefit Profile'!$E17)*V39,IF($J$20=2,(1+'Benefit Profile'!$G17)*V39,(1+'Benefit Profile'!$I17)*V39))</f>
        <v>14066.958218709238</v>
      </c>
      <c r="X39" s="383">
        <f>IF($J$20=1,(1+'Benefit Profile'!$E17)*W39,IF($J$20=2,(1+'Benefit Profile'!$G17)*W39,(1+'Benefit Profile'!$I17)*W39))</f>
        <v>14629.636547457609</v>
      </c>
      <c r="Y39" s="383">
        <f>IF($J$20=1,(1+'Benefit Profile'!$E17)*X39,IF($J$20=2,(1+'Benefit Profile'!$G17)*X39,(1+'Benefit Profile'!$I17)*X39))</f>
        <v>15214.822009355914</v>
      </c>
      <c r="Z39" s="7"/>
    </row>
    <row r="40" spans="3:26" ht="12.75" customHeight="1">
      <c r="C40" s="5"/>
      <c r="D40" s="54"/>
      <c r="E40" s="138" t="s">
        <v>146</v>
      </c>
      <c r="F40" s="383">
        <f>'Airside-Passenger'!E12</f>
        <v>0</v>
      </c>
      <c r="G40" s="383">
        <f>IF($J$20=1,(1+'Benefit Profile'!$D18+'Benefit Profile'!$E18)*F40,IF($J$20=2,(1+'Benefit Profile'!$F18+'Benefit Profile'!$G18)*F40,(1+'Benefit Profile'!$H18+'Benefit Profile'!$I18)*F40))</f>
        <v>0</v>
      </c>
      <c r="H40" s="383">
        <f>IF($J$20=1,(1+'Benefit Profile'!$E18)*G40,IF($J$20=2,(1+'Benefit Profile'!$G18)*G40,(1+'Benefit Profile'!$I18)*G40))</f>
        <v>0</v>
      </c>
      <c r="I40" s="383">
        <f>IF($J$20=1,(1+'Benefit Profile'!$E18)*H40,IF($J$20=2,(1+'Benefit Profile'!$G18)*H40,(1+'Benefit Profile'!$I18)*H40))</f>
        <v>0</v>
      </c>
      <c r="J40" s="383">
        <f>IF($J$20=1,(1+'Benefit Profile'!$E18)*I40,IF($J$20=2,(1+'Benefit Profile'!$G18)*I40,(1+'Benefit Profile'!$I18)*I40))</f>
        <v>0</v>
      </c>
      <c r="K40" s="383">
        <f>IF($J$20=1,(1+'Benefit Profile'!$E18)*J40,IF($J$20=2,(1+'Benefit Profile'!$G18)*J40,(1+'Benefit Profile'!$I18)*J40))</f>
        <v>0</v>
      </c>
      <c r="L40" s="383">
        <f>IF($J$20=1,(1+'Benefit Profile'!$E18)*K40,IF($J$20=2,(1+'Benefit Profile'!$G18)*K40,(1+'Benefit Profile'!$I18)*K40))</f>
        <v>0</v>
      </c>
      <c r="M40" s="383">
        <f>IF($J$20=1,(1+'Benefit Profile'!$E18)*L40,IF($J$20=2,(1+'Benefit Profile'!$G18)*L40,(1+'Benefit Profile'!$I18)*L40))</f>
        <v>0</v>
      </c>
      <c r="N40" s="383">
        <f>IF($J$20=1,(1+'Benefit Profile'!$E18)*M40,IF($J$20=2,(1+'Benefit Profile'!$G18)*M40,(1+'Benefit Profile'!$I18)*M40))</f>
        <v>0</v>
      </c>
      <c r="O40" s="383">
        <f>IF($J$20=1,(1+'Benefit Profile'!$E18)*N40,IF($J$20=2,(1+'Benefit Profile'!$G18)*N40,(1+'Benefit Profile'!$I18)*N40))</f>
        <v>0</v>
      </c>
      <c r="P40" s="383">
        <f>IF($J$20=1,(1+'Benefit Profile'!$E18)*O40,IF($J$20=2,(1+'Benefit Profile'!$G18)*O40,(1+'Benefit Profile'!$I18)*O40))</f>
        <v>0</v>
      </c>
      <c r="Q40" s="383">
        <f>IF($J$20=1,(1+'Benefit Profile'!$E18)*P40,IF($J$20=2,(1+'Benefit Profile'!$G18)*P40,(1+'Benefit Profile'!$I18)*P40))</f>
        <v>0</v>
      </c>
      <c r="R40" s="383">
        <f>IF($J$20=1,(1+'Benefit Profile'!$E18)*Q40,IF($J$20=2,(1+'Benefit Profile'!$G18)*Q40,(1+'Benefit Profile'!$I18)*Q40))</f>
        <v>0</v>
      </c>
      <c r="S40" s="383">
        <f>IF($J$20=1,(1+'Benefit Profile'!$E18)*R40,IF($J$20=2,(1+'Benefit Profile'!$G18)*R40,(1+'Benefit Profile'!$I18)*R40))</f>
        <v>0</v>
      </c>
      <c r="T40" s="383">
        <f>IF($J$20=1,(1+'Benefit Profile'!$E18)*S40,IF($J$20=2,(1+'Benefit Profile'!$G18)*S40,(1+'Benefit Profile'!$I18)*S40))</f>
        <v>0</v>
      </c>
      <c r="U40" s="383">
        <f>IF($J$20=1,(1+'Benefit Profile'!$E18)*T40,IF($J$20=2,(1+'Benefit Profile'!$G18)*T40,(1+'Benefit Profile'!$I18)*T40))</f>
        <v>0</v>
      </c>
      <c r="V40" s="383">
        <f>IF($J$20=1,(1+'Benefit Profile'!$E18)*U40,IF($J$20=2,(1+'Benefit Profile'!$G18)*U40,(1+'Benefit Profile'!$I18)*U40))</f>
        <v>0</v>
      </c>
      <c r="W40" s="383">
        <f>IF($J$20=1,(1+'Benefit Profile'!$E18)*V40,IF($J$20=2,(1+'Benefit Profile'!$G18)*V40,(1+'Benefit Profile'!$I18)*V40))</f>
        <v>0</v>
      </c>
      <c r="X40" s="383">
        <f>IF($J$20=1,(1+'Benefit Profile'!$E18)*W40,IF($J$20=2,(1+'Benefit Profile'!$G18)*W40,(1+'Benefit Profile'!$I18)*W40))</f>
        <v>0</v>
      </c>
      <c r="Y40" s="383">
        <f>IF($J$20=1,(1+'Benefit Profile'!$E18)*X40,IF($J$20=2,(1+'Benefit Profile'!$G18)*X40,(1+'Benefit Profile'!$I18)*X40))</f>
        <v>0</v>
      </c>
      <c r="Z40" s="7"/>
    </row>
    <row r="41" spans="3:26" ht="12.75" customHeight="1">
      <c r="C41" s="5"/>
      <c r="D41" s="54"/>
      <c r="E41" s="138" t="s">
        <v>147</v>
      </c>
      <c r="F41" s="383">
        <f>'Airside-Passenger'!E13</f>
        <v>3610.7999999999997</v>
      </c>
      <c r="G41" s="383">
        <f>IF($J$20=1,(1+'Benefit Profile'!$D19+'Benefit Profile'!$E19)*F41,IF($J$20=2,(1+'Benefit Profile'!$F19+'Benefit Profile'!$G19)*F41,(1+'Benefit Profile'!$H19+'Benefit Profile'!$I19)*F41))</f>
        <v>3755.232</v>
      </c>
      <c r="H41" s="383">
        <f>IF($J$20=1,(1+'Benefit Profile'!$E19)*G41,IF($J$20=2,(1+'Benefit Profile'!$G19)*G41,(1+'Benefit Profile'!$I19)*G41))</f>
        <v>3905.44128</v>
      </c>
      <c r="I41" s="383">
        <f>IF($J$20=1,(1+'Benefit Profile'!$E19)*H41,IF($J$20=2,(1+'Benefit Profile'!$G19)*H41,(1+'Benefit Profile'!$I19)*H41))</f>
        <v>4061.6589312</v>
      </c>
      <c r="J41" s="383">
        <f>IF($J$20=1,(1+'Benefit Profile'!$E19)*I41,IF($J$20=2,(1+'Benefit Profile'!$G19)*I41,(1+'Benefit Profile'!$I19)*I41))</f>
        <v>4224.125288448</v>
      </c>
      <c r="K41" s="383">
        <f>IF($J$20=1,(1+'Benefit Profile'!$E19)*J41,IF($J$20=2,(1+'Benefit Profile'!$G19)*J41,(1+'Benefit Profile'!$I19)*J41))</f>
        <v>4393.09029998592</v>
      </c>
      <c r="L41" s="383">
        <f>IF($J$20=1,(1+'Benefit Profile'!$E19)*K41,IF($J$20=2,(1+'Benefit Profile'!$G19)*K41,(1+'Benefit Profile'!$I19)*K41))</f>
        <v>4568.813911985357</v>
      </c>
      <c r="M41" s="383">
        <f>IF($J$20=1,(1+'Benefit Profile'!$E19)*L41,IF($J$20=2,(1+'Benefit Profile'!$G19)*L41,(1+'Benefit Profile'!$I19)*L41))</f>
        <v>4751.566468464771</v>
      </c>
      <c r="N41" s="383">
        <f>IF($J$20=1,(1+'Benefit Profile'!$E19)*M41,IF($J$20=2,(1+'Benefit Profile'!$G19)*M41,(1+'Benefit Profile'!$I19)*M41))</f>
        <v>4941.629127203362</v>
      </c>
      <c r="O41" s="383">
        <f>IF($J$20=1,(1+'Benefit Profile'!$E19)*N41,IF($J$20=2,(1+'Benefit Profile'!$G19)*N41,(1+'Benefit Profile'!$I19)*N41))</f>
        <v>5139.294292291497</v>
      </c>
      <c r="P41" s="383">
        <f>IF($J$20=1,(1+'Benefit Profile'!$E19)*O41,IF($J$20=2,(1+'Benefit Profile'!$G19)*O41,(1+'Benefit Profile'!$I19)*O41))</f>
        <v>5344.866063983157</v>
      </c>
      <c r="Q41" s="383">
        <f>IF($J$20=1,(1+'Benefit Profile'!$E19)*P41,IF($J$20=2,(1+'Benefit Profile'!$G19)*P41,(1+'Benefit Profile'!$I19)*P41))</f>
        <v>5558.660706542483</v>
      </c>
      <c r="R41" s="383">
        <f>IF($J$20=1,(1+'Benefit Profile'!$E19)*Q41,IF($J$20=2,(1+'Benefit Profile'!$G19)*Q41,(1+'Benefit Profile'!$I19)*Q41))</f>
        <v>5781.007134804183</v>
      </c>
      <c r="S41" s="383">
        <f>IF($J$20=1,(1+'Benefit Profile'!$E19)*R41,IF($J$20=2,(1+'Benefit Profile'!$G19)*R41,(1+'Benefit Profile'!$I19)*R41))</f>
        <v>6012.2474201963505</v>
      </c>
      <c r="T41" s="383">
        <f>IF($J$20=1,(1+'Benefit Profile'!$E19)*S41,IF($J$20=2,(1+'Benefit Profile'!$G19)*S41,(1+'Benefit Profile'!$I19)*S41))</f>
        <v>6252.737317004205</v>
      </c>
      <c r="U41" s="383">
        <f>IF($J$20=1,(1+'Benefit Profile'!$E19)*T41,IF($J$20=2,(1+'Benefit Profile'!$G19)*T41,(1+'Benefit Profile'!$I19)*T41))</f>
        <v>6502.8468096843735</v>
      </c>
      <c r="V41" s="383">
        <f>IF($J$20=1,(1+'Benefit Profile'!$E19)*U41,IF($J$20=2,(1+'Benefit Profile'!$G19)*U41,(1+'Benefit Profile'!$I19)*U41))</f>
        <v>6762.960682071749</v>
      </c>
      <c r="W41" s="383">
        <f>IF($J$20=1,(1+'Benefit Profile'!$E19)*V41,IF($J$20=2,(1+'Benefit Profile'!$G19)*V41,(1+'Benefit Profile'!$I19)*V41))</f>
        <v>7033.479109354619</v>
      </c>
      <c r="X41" s="383">
        <f>IF($J$20=1,(1+'Benefit Profile'!$E19)*W41,IF($J$20=2,(1+'Benefit Profile'!$G19)*W41,(1+'Benefit Profile'!$I19)*W41))</f>
        <v>7314.818273728804</v>
      </c>
      <c r="Y41" s="383">
        <f>IF($J$20=1,(1+'Benefit Profile'!$E19)*X41,IF($J$20=2,(1+'Benefit Profile'!$G19)*X41,(1+'Benefit Profile'!$I19)*X41))</f>
        <v>7607.411004677957</v>
      </c>
      <c r="Z41" s="7"/>
    </row>
    <row r="42" spans="3:26" ht="12.75" customHeight="1">
      <c r="C42" s="5"/>
      <c r="D42" s="54"/>
      <c r="E42" s="138" t="s">
        <v>148</v>
      </c>
      <c r="F42" s="383">
        <f>'Airside-Passenger'!E14</f>
        <v>760.1999999999994</v>
      </c>
      <c r="G42" s="383">
        <f>IF($J$20=1,(1+'Benefit Profile'!$D20+'Benefit Profile'!$E20)*F42,IF($J$20=2,(1+'Benefit Profile'!$F20+'Benefit Profile'!$G20)*F42,(1+'Benefit Profile'!$H20+'Benefit Profile'!$I20)*F42))</f>
        <v>790.6079999999994</v>
      </c>
      <c r="H42" s="383">
        <f>IF($J$20=1,(1+'Benefit Profile'!$E20)*G42,IF($J$20=2,(1+'Benefit Profile'!$G20)*G42,(1+'Benefit Profile'!$I20)*G42))</f>
        <v>822.2323199999994</v>
      </c>
      <c r="I42" s="383">
        <f>IF($J$20=1,(1+'Benefit Profile'!$E20)*H42,IF($J$20=2,(1+'Benefit Profile'!$G20)*H42,(1+'Benefit Profile'!$I20)*H42))</f>
        <v>855.1216127999994</v>
      </c>
      <c r="J42" s="383">
        <f>IF($J$20=1,(1+'Benefit Profile'!$E20)*I42,IF($J$20=2,(1+'Benefit Profile'!$G20)*I42,(1+'Benefit Profile'!$I20)*I42))</f>
        <v>889.3264773119994</v>
      </c>
      <c r="K42" s="383">
        <f>IF($J$20=1,(1+'Benefit Profile'!$E20)*J42,IF($J$20=2,(1+'Benefit Profile'!$G20)*J42,(1+'Benefit Profile'!$I20)*J42))</f>
        <v>924.8995364044794</v>
      </c>
      <c r="L42" s="383">
        <f>IF($J$20=1,(1+'Benefit Profile'!$E20)*K42,IF($J$20=2,(1+'Benefit Profile'!$G20)*K42,(1+'Benefit Profile'!$I20)*K42))</f>
        <v>961.8955178606585</v>
      </c>
      <c r="M42" s="383">
        <f>IF($J$20=1,(1+'Benefit Profile'!$E20)*L42,IF($J$20=2,(1+'Benefit Profile'!$G20)*L42,(1+'Benefit Profile'!$I20)*L42))</f>
        <v>1000.3713385750849</v>
      </c>
      <c r="N42" s="383">
        <f>IF($J$20=1,(1+'Benefit Profile'!$E20)*M42,IF($J$20=2,(1+'Benefit Profile'!$G20)*M42,(1+'Benefit Profile'!$I20)*M42))</f>
        <v>1040.3861921180883</v>
      </c>
      <c r="O42" s="383">
        <f>IF($J$20=1,(1+'Benefit Profile'!$E20)*N42,IF($J$20=2,(1+'Benefit Profile'!$G20)*N42,(1+'Benefit Profile'!$I20)*N42))</f>
        <v>1082.001639802812</v>
      </c>
      <c r="P42" s="383">
        <f>IF($J$20=1,(1+'Benefit Profile'!$E20)*O42,IF($J$20=2,(1+'Benefit Profile'!$G20)*O42,(1+'Benefit Profile'!$I20)*O42))</f>
        <v>1125.2817053949245</v>
      </c>
      <c r="Q42" s="383">
        <f>IF($J$20=1,(1+'Benefit Profile'!$E20)*P42,IF($J$20=2,(1+'Benefit Profile'!$G20)*P42,(1+'Benefit Profile'!$I20)*P42))</f>
        <v>1170.2929736107214</v>
      </c>
      <c r="R42" s="383">
        <f>IF($J$20=1,(1+'Benefit Profile'!$E20)*Q42,IF($J$20=2,(1+'Benefit Profile'!$G20)*Q42,(1+'Benefit Profile'!$I20)*Q42))</f>
        <v>1217.1046925551505</v>
      </c>
      <c r="S42" s="383">
        <f>IF($J$20=1,(1+'Benefit Profile'!$E20)*R42,IF($J$20=2,(1+'Benefit Profile'!$G20)*R42,(1+'Benefit Profile'!$I20)*R42))</f>
        <v>1265.7888802573566</v>
      </c>
      <c r="T42" s="383">
        <f>IF($J$20=1,(1+'Benefit Profile'!$E20)*S42,IF($J$20=2,(1+'Benefit Profile'!$G20)*S42,(1+'Benefit Profile'!$I20)*S42))</f>
        <v>1316.4204354676508</v>
      </c>
      <c r="U42" s="383">
        <f>IF($J$20=1,(1+'Benefit Profile'!$E20)*T42,IF($J$20=2,(1+'Benefit Profile'!$G20)*T42,(1+'Benefit Profile'!$I20)*T42))</f>
        <v>1369.077252886357</v>
      </c>
      <c r="V42" s="383">
        <f>IF($J$20=1,(1+'Benefit Profile'!$E20)*U42,IF($J$20=2,(1+'Benefit Profile'!$G20)*U42,(1+'Benefit Profile'!$I20)*U42))</f>
        <v>1423.8403430018113</v>
      </c>
      <c r="W42" s="383">
        <f>IF($J$20=1,(1+'Benefit Profile'!$E20)*V42,IF($J$20=2,(1+'Benefit Profile'!$G20)*V42,(1+'Benefit Profile'!$I20)*V42))</f>
        <v>1480.793956721884</v>
      </c>
      <c r="X42" s="383">
        <f>IF($J$20=1,(1+'Benefit Profile'!$E20)*W42,IF($J$20=2,(1+'Benefit Profile'!$G20)*W42,(1+'Benefit Profile'!$I20)*W42))</f>
        <v>1540.0257149907593</v>
      </c>
      <c r="Y42" s="383">
        <f>IF($J$20=1,(1+'Benefit Profile'!$E20)*X42,IF($J$20=2,(1+'Benefit Profile'!$G20)*X42,(1+'Benefit Profile'!$I20)*X42))</f>
        <v>1601.6267435903897</v>
      </c>
      <c r="Z42" s="7"/>
    </row>
    <row r="43" spans="3:26" ht="12.75" customHeight="1">
      <c r="C43" s="5"/>
      <c r="D43" s="54"/>
      <c r="E43" s="138" t="s">
        <v>217</v>
      </c>
      <c r="F43" s="383">
        <f>SUM(F36:F42)-F37</f>
        <v>12036</v>
      </c>
      <c r="G43" s="383">
        <f aca="true" t="shared" si="1" ref="G43:Y43">SUM(G36:G42)-G37</f>
        <v>12517.440000000002</v>
      </c>
      <c r="H43" s="383">
        <f t="shared" si="1"/>
        <v>13018.1376</v>
      </c>
      <c r="I43" s="383">
        <f t="shared" si="1"/>
        <v>13538.863104</v>
      </c>
      <c r="J43" s="383">
        <f t="shared" si="1"/>
        <v>14080.417628160001</v>
      </c>
      <c r="K43" s="383">
        <f t="shared" si="1"/>
        <v>14643.6343332864</v>
      </c>
      <c r="L43" s="383">
        <f t="shared" si="1"/>
        <v>15229.37970661786</v>
      </c>
      <c r="M43" s="383">
        <f t="shared" si="1"/>
        <v>15838.55489488257</v>
      </c>
      <c r="N43" s="383">
        <f t="shared" si="1"/>
        <v>16472.097090677875</v>
      </c>
      <c r="O43" s="383">
        <f t="shared" si="1"/>
        <v>17130.980974304992</v>
      </c>
      <c r="P43" s="383">
        <f t="shared" si="1"/>
        <v>17816.220213277193</v>
      </c>
      <c r="Q43" s="383">
        <f t="shared" si="1"/>
        <v>18528.869021808277</v>
      </c>
      <c r="R43" s="383">
        <f t="shared" si="1"/>
        <v>19270.02378268061</v>
      </c>
      <c r="S43" s="383">
        <f t="shared" si="1"/>
        <v>20040.824733987833</v>
      </c>
      <c r="T43" s="383">
        <f t="shared" si="1"/>
        <v>20842.457723347346</v>
      </c>
      <c r="U43" s="383">
        <f t="shared" si="1"/>
        <v>21676.156032281247</v>
      </c>
      <c r="V43" s="383">
        <f t="shared" si="1"/>
        <v>22543.202273572497</v>
      </c>
      <c r="W43" s="383">
        <f t="shared" si="1"/>
        <v>23444.9303645154</v>
      </c>
      <c r="X43" s="383">
        <f t="shared" si="1"/>
        <v>24382.727579096005</v>
      </c>
      <c r="Y43" s="383">
        <f t="shared" si="1"/>
        <v>25358.03668225985</v>
      </c>
      <c r="Z43" s="7"/>
    </row>
    <row r="44" spans="3:26" ht="12.75" customHeight="1">
      <c r="C44" s="5"/>
      <c r="D44" s="54"/>
      <c r="E44" s="138"/>
      <c r="F44" s="383"/>
      <c r="G44" s="383"/>
      <c r="H44" s="383"/>
      <c r="I44" s="383"/>
      <c r="J44" s="383"/>
      <c r="K44" s="383"/>
      <c r="L44" s="383"/>
      <c r="M44" s="383"/>
      <c r="N44" s="383"/>
      <c r="O44" s="383"/>
      <c r="P44" s="383"/>
      <c r="Q44" s="383"/>
      <c r="R44" s="383"/>
      <c r="S44" s="383"/>
      <c r="T44" s="383"/>
      <c r="U44" s="383"/>
      <c r="V44" s="383"/>
      <c r="W44" s="383"/>
      <c r="X44" s="383"/>
      <c r="Y44" s="383"/>
      <c r="Z44" s="7"/>
    </row>
    <row r="45" spans="3:26" ht="12.75" customHeight="1">
      <c r="C45" s="5"/>
      <c r="D45" s="54"/>
      <c r="E45" s="14" t="s">
        <v>150</v>
      </c>
      <c r="F45" s="383"/>
      <c r="G45" s="383"/>
      <c r="H45" s="383"/>
      <c r="I45" s="383"/>
      <c r="J45" s="383"/>
      <c r="K45" s="383"/>
      <c r="L45" s="383"/>
      <c r="M45" s="383"/>
      <c r="N45" s="383"/>
      <c r="O45" s="383"/>
      <c r="P45" s="383"/>
      <c r="Q45" s="383"/>
      <c r="R45" s="383"/>
      <c r="S45" s="383"/>
      <c r="T45" s="383"/>
      <c r="U45" s="383"/>
      <c r="V45" s="383"/>
      <c r="W45" s="383"/>
      <c r="X45" s="383"/>
      <c r="Y45" s="383"/>
      <c r="Z45" s="7"/>
    </row>
    <row r="46" spans="3:26" ht="12.75" customHeight="1">
      <c r="C46" s="5"/>
      <c r="D46" s="54"/>
      <c r="E46" s="138" t="s">
        <v>143</v>
      </c>
      <c r="F46" s="383">
        <f>F36</f>
        <v>443.40000000000055</v>
      </c>
      <c r="G46" s="383">
        <f>G36</f>
        <v>461.1360000000006</v>
      </c>
      <c r="H46" s="383">
        <f>H36</f>
        <v>479.5814400000006</v>
      </c>
      <c r="I46" s="383">
        <f>IF($J$20=1,(1+'Benefit Profile'!D23+'Benefit Profile'!$E23)*H46,IF($J$20=2,(1+'Benefit Profile'!F23+'Benefit Profile'!$G23)*H46,(1+'Benefit Profile'!H23+'Benefit Profile'!$I23)*H46))</f>
        <v>556.3144704000008</v>
      </c>
      <c r="J46" s="383">
        <f>IF($J$20=1,(1+'Benefit Profile'!$E23)*I46,IF($J$20=2,(1+'Benefit Profile'!$G23)*I46,(1+'Benefit Profile'!$I23)*I46))</f>
        <v>589.6933386240008</v>
      </c>
      <c r="K46" s="383">
        <f>IF($J$20=1,(1+'Benefit Profile'!$E23)*J46,IF($J$20=2,(1+'Benefit Profile'!$G23)*J46,(1+'Benefit Profile'!$I23)*J46))</f>
        <v>625.0749389414409</v>
      </c>
      <c r="L46" s="383">
        <f>IF($J$20=1,(1+'Benefit Profile'!$E23)*K46,IF($J$20=2,(1+'Benefit Profile'!$G23)*K46,(1+'Benefit Profile'!$I23)*K46))</f>
        <v>662.5794352779274</v>
      </c>
      <c r="M46" s="383">
        <f>IF($J$20=1,(1+'Benefit Profile'!$E23)*L46,IF($J$20=2,(1+'Benefit Profile'!$G23)*L46,(1+'Benefit Profile'!$I23)*L46))</f>
        <v>702.334201394603</v>
      </c>
      <c r="N46" s="383">
        <f>IF($J$20=1,(1+'Benefit Profile'!$E23)*M46,IF($J$20=2,(1+'Benefit Profile'!$G23)*M46,(1+'Benefit Profile'!$I23)*M46))</f>
        <v>744.4742534782793</v>
      </c>
      <c r="O46" s="383">
        <f>IF($J$20=1,(1+'Benefit Profile'!$E23)*N46,IF($J$20=2,(1+'Benefit Profile'!$G23)*N46,(1+'Benefit Profile'!$I23)*N46))</f>
        <v>789.142708686976</v>
      </c>
      <c r="P46" s="383">
        <f>IF($J$20=1,(1+'Benefit Profile'!$E23)*O46,IF($J$20=2,(1+'Benefit Profile'!$G23)*O46,(1+'Benefit Profile'!$I23)*O46))</f>
        <v>836.4912712081946</v>
      </c>
      <c r="Q46" s="383">
        <f>IF($J$20=1,(1+'Benefit Profile'!$E23)*P46,IF($J$20=2,(1+'Benefit Profile'!$G23)*P46,(1+'Benefit Profile'!$I23)*P46))</f>
        <v>886.6807474806863</v>
      </c>
      <c r="R46" s="383">
        <f>IF($J$20=1,(1+'Benefit Profile'!$E23)*Q46,IF($J$20=2,(1+'Benefit Profile'!$G23)*Q46,(1+'Benefit Profile'!$I23)*Q46))</f>
        <v>939.8815923295275</v>
      </c>
      <c r="S46" s="383">
        <f>IF($J$20=1,(1+'Benefit Profile'!$E23)*R46,IF($J$20=2,(1+'Benefit Profile'!$G23)*R46,(1+'Benefit Profile'!$I23)*R46))</f>
        <v>996.2744878692993</v>
      </c>
      <c r="T46" s="383">
        <f>IF($J$20=1,(1+'Benefit Profile'!$E23)*S46,IF($J$20=2,(1+'Benefit Profile'!$G23)*S46,(1+'Benefit Profile'!$I23)*S46))</f>
        <v>1056.0509571414573</v>
      </c>
      <c r="U46" s="383">
        <f>IF($J$20=1,(1+'Benefit Profile'!$E23)*T46,IF($J$20=2,(1+'Benefit Profile'!$G23)*T46,(1+'Benefit Profile'!$I23)*T46))</f>
        <v>1119.4140145699448</v>
      </c>
      <c r="V46" s="383">
        <f>IF($J$20=1,(1+'Benefit Profile'!$E23)*U46,IF($J$20=2,(1+'Benefit Profile'!$G23)*U46,(1+'Benefit Profile'!$I23)*U46))</f>
        <v>1186.5788554441415</v>
      </c>
      <c r="W46" s="383">
        <f>IF($J$20=1,(1+'Benefit Profile'!$E23)*V46,IF($J$20=2,(1+'Benefit Profile'!$G23)*V46,(1+'Benefit Profile'!$I23)*V46))</f>
        <v>1257.77358677079</v>
      </c>
      <c r="X46" s="383">
        <f>IF($J$20=1,(1+'Benefit Profile'!$E23)*W46,IF($J$20=2,(1+'Benefit Profile'!$G23)*W46,(1+'Benefit Profile'!$I23)*W46))</f>
        <v>1333.2400019770375</v>
      </c>
      <c r="Y46" s="383">
        <f>IF($J$20=1,(1+'Benefit Profile'!$E23)*X46,IF($J$20=2,(1+'Benefit Profile'!$G23)*X46,(1+'Benefit Profile'!$I23)*X46))</f>
        <v>1413.2344020956598</v>
      </c>
      <c r="Z46" s="7"/>
    </row>
    <row r="47" spans="3:26" ht="12.75" customHeight="1">
      <c r="C47" s="5"/>
      <c r="D47" s="54"/>
      <c r="E47" s="138" t="s">
        <v>142</v>
      </c>
      <c r="F47" s="383">
        <f aca="true" t="shared" si="2" ref="F47:G52">F37</f>
        <v>7221.599999999999</v>
      </c>
      <c r="G47" s="383">
        <f t="shared" si="2"/>
        <v>7510.464</v>
      </c>
      <c r="H47" s="383">
        <f aca="true" t="shared" si="3" ref="H47:H53">H37</f>
        <v>7810.88256</v>
      </c>
      <c r="I47" s="383">
        <f>IF($J$20=1,(1+'Benefit Profile'!D24+'Benefit Profile'!$E24)*H47,IF($J$20=2,(1+'Benefit Profile'!F24+'Benefit Profile'!$G24)*H47,(1+'Benefit Profile'!H24+'Benefit Profile'!$I24)*H47))</f>
        <v>9060.6237696</v>
      </c>
      <c r="J47" s="383">
        <f>IF($J$20=1,(1+'Benefit Profile'!$E24)*I47,IF($J$20=2,(1+'Benefit Profile'!$G24)*I47,(1+'Benefit Profile'!$I24)*I47))</f>
        <v>9604.261195776002</v>
      </c>
      <c r="K47" s="383">
        <f>IF($J$20=1,(1+'Benefit Profile'!$E24)*J47,IF($J$20=2,(1+'Benefit Profile'!$G24)*J47,(1+'Benefit Profile'!$I24)*J47))</f>
        <v>10180.516867522563</v>
      </c>
      <c r="L47" s="383">
        <f>IF($J$20=1,(1+'Benefit Profile'!$E24)*K47,IF($J$20=2,(1+'Benefit Profile'!$G24)*K47,(1+'Benefit Profile'!$I24)*K47))</f>
        <v>10791.347879573917</v>
      </c>
      <c r="M47" s="383">
        <f>IF($J$20=1,(1+'Benefit Profile'!$E24)*L47,IF($J$20=2,(1+'Benefit Profile'!$G24)*L47,(1+'Benefit Profile'!$I24)*L47))</f>
        <v>11438.828752348352</v>
      </c>
      <c r="N47" s="383">
        <f>IF($J$20=1,(1+'Benefit Profile'!$E24)*M47,IF($J$20=2,(1+'Benefit Profile'!$G24)*M47,(1+'Benefit Profile'!$I24)*M47))</f>
        <v>12125.158477489254</v>
      </c>
      <c r="O47" s="383">
        <f>IF($J$20=1,(1+'Benefit Profile'!$E24)*N47,IF($J$20=2,(1+'Benefit Profile'!$G24)*N47,(1+'Benefit Profile'!$I24)*N47))</f>
        <v>12852.667986138611</v>
      </c>
      <c r="P47" s="383">
        <f>IF($J$20=1,(1+'Benefit Profile'!$E24)*O47,IF($J$20=2,(1+'Benefit Profile'!$G24)*O47,(1+'Benefit Profile'!$I24)*O47))</f>
        <v>13623.828065306929</v>
      </c>
      <c r="Q47" s="383">
        <f>IF($J$20=1,(1+'Benefit Profile'!$E24)*P47,IF($J$20=2,(1+'Benefit Profile'!$G24)*P47,(1+'Benefit Profile'!$I24)*P47))</f>
        <v>14441.257749225346</v>
      </c>
      <c r="R47" s="383">
        <f>IF($J$20=1,(1+'Benefit Profile'!$E24)*Q47,IF($J$20=2,(1+'Benefit Profile'!$G24)*Q47,(1+'Benefit Profile'!$I24)*Q47))</f>
        <v>15307.733214178867</v>
      </c>
      <c r="S47" s="383">
        <f>IF($J$20=1,(1+'Benefit Profile'!$E24)*R47,IF($J$20=2,(1+'Benefit Profile'!$G24)*R47,(1+'Benefit Profile'!$I24)*R47))</f>
        <v>16226.1972070296</v>
      </c>
      <c r="T47" s="383">
        <f>IF($J$20=1,(1+'Benefit Profile'!$E24)*S47,IF($J$20=2,(1+'Benefit Profile'!$G24)*S47,(1+'Benefit Profile'!$I24)*S47))</f>
        <v>17199.769039451377</v>
      </c>
      <c r="U47" s="383">
        <f>IF($J$20=1,(1+'Benefit Profile'!$E24)*T47,IF($J$20=2,(1+'Benefit Profile'!$G24)*T47,(1+'Benefit Profile'!$I24)*T47))</f>
        <v>18231.755181818462</v>
      </c>
      <c r="V47" s="383">
        <f>IF($J$20=1,(1+'Benefit Profile'!$E24)*U47,IF($J$20=2,(1+'Benefit Profile'!$G24)*U47,(1+'Benefit Profile'!$I24)*U47))</f>
        <v>19325.66049272757</v>
      </c>
      <c r="W47" s="383">
        <f>IF($J$20=1,(1+'Benefit Profile'!$E24)*V47,IF($J$20=2,(1+'Benefit Profile'!$G24)*V47,(1+'Benefit Profile'!$I24)*V47))</f>
        <v>20485.200122291226</v>
      </c>
      <c r="X47" s="383">
        <f>IF($J$20=1,(1+'Benefit Profile'!$E24)*W47,IF($J$20=2,(1+'Benefit Profile'!$G24)*W47,(1+'Benefit Profile'!$I24)*W47))</f>
        <v>21714.3121296287</v>
      </c>
      <c r="Y47" s="383">
        <f>IF($J$20=1,(1+'Benefit Profile'!$E24)*X47,IF($J$20=2,(1+'Benefit Profile'!$G24)*X47,(1+'Benefit Profile'!$I24)*X47))</f>
        <v>23017.17085740642</v>
      </c>
      <c r="Z47" s="7"/>
    </row>
    <row r="48" spans="3:26" ht="12.75" customHeight="1">
      <c r="C48" s="5"/>
      <c r="D48" s="54"/>
      <c r="E48" s="138" t="s">
        <v>144</v>
      </c>
      <c r="F48" s="383">
        <f t="shared" si="2"/>
        <v>0</v>
      </c>
      <c r="G48" s="383">
        <f t="shared" si="2"/>
        <v>0</v>
      </c>
      <c r="H48" s="383">
        <f t="shared" si="3"/>
        <v>0</v>
      </c>
      <c r="I48" s="383">
        <f>IF($J$20=1,(1+'Benefit Profile'!D25+'Benefit Profile'!$E25)*H48,IF($J$20=2,(1+'Benefit Profile'!F25+'Benefit Profile'!$G25)*H48,(1+'Benefit Profile'!H25+'Benefit Profile'!$I25)*H48))</f>
        <v>0</v>
      </c>
      <c r="J48" s="383">
        <f>IF($J$20=1,(1+'Benefit Profile'!$E25)*I48,IF($J$20=2,(1+'Benefit Profile'!$G25)*I48,(1+'Benefit Profile'!$I25)*I48))</f>
        <v>0</v>
      </c>
      <c r="K48" s="383">
        <f>IF($J$20=1,(1+'Benefit Profile'!$E25)*J48,IF($J$20=2,(1+'Benefit Profile'!$G25)*J48,(1+'Benefit Profile'!$I25)*J48))</f>
        <v>0</v>
      </c>
      <c r="L48" s="383">
        <f>IF($J$20=1,(1+'Benefit Profile'!$E25)*K48,IF($J$20=2,(1+'Benefit Profile'!$G25)*K48,(1+'Benefit Profile'!$I25)*K48))</f>
        <v>0</v>
      </c>
      <c r="M48" s="383">
        <f>IF($J$20=1,(1+'Benefit Profile'!$E25)*L48,IF($J$20=2,(1+'Benefit Profile'!$G25)*L48,(1+'Benefit Profile'!$I25)*L48))</f>
        <v>0</v>
      </c>
      <c r="N48" s="383">
        <f>IF($J$20=1,(1+'Benefit Profile'!$E25)*M48,IF($J$20=2,(1+'Benefit Profile'!$G25)*M48,(1+'Benefit Profile'!$I25)*M48))</f>
        <v>0</v>
      </c>
      <c r="O48" s="383">
        <f>IF($J$20=1,(1+'Benefit Profile'!$E25)*N48,IF($J$20=2,(1+'Benefit Profile'!$G25)*N48,(1+'Benefit Profile'!$I25)*N48))</f>
        <v>0</v>
      </c>
      <c r="P48" s="383">
        <f>IF($J$20=1,(1+'Benefit Profile'!$E25)*O48,IF($J$20=2,(1+'Benefit Profile'!$G25)*O48,(1+'Benefit Profile'!$I25)*O48))</f>
        <v>0</v>
      </c>
      <c r="Q48" s="383">
        <f>IF($J$20=1,(1+'Benefit Profile'!$E25)*P48,IF($J$20=2,(1+'Benefit Profile'!$G25)*P48,(1+'Benefit Profile'!$I25)*P48))</f>
        <v>0</v>
      </c>
      <c r="R48" s="383">
        <f>IF($J$20=1,(1+'Benefit Profile'!$E25)*Q48,IF($J$20=2,(1+'Benefit Profile'!$G25)*Q48,(1+'Benefit Profile'!$I25)*Q48))</f>
        <v>0</v>
      </c>
      <c r="S48" s="383">
        <f>IF($J$20=1,(1+'Benefit Profile'!$E25)*R48,IF($J$20=2,(1+'Benefit Profile'!$G25)*R48,(1+'Benefit Profile'!$I25)*R48))</f>
        <v>0</v>
      </c>
      <c r="T48" s="383">
        <f>IF($J$20=1,(1+'Benefit Profile'!$E25)*S48,IF($J$20=2,(1+'Benefit Profile'!$G25)*S48,(1+'Benefit Profile'!$I25)*S48))</f>
        <v>0</v>
      </c>
      <c r="U48" s="383">
        <f>IF($J$20=1,(1+'Benefit Profile'!$E25)*T48,IF($J$20=2,(1+'Benefit Profile'!$G25)*T48,(1+'Benefit Profile'!$I25)*T48))</f>
        <v>0</v>
      </c>
      <c r="V48" s="383">
        <f>IF($J$20=1,(1+'Benefit Profile'!$E25)*U48,IF($J$20=2,(1+'Benefit Profile'!$G25)*U48,(1+'Benefit Profile'!$I25)*U48))</f>
        <v>0</v>
      </c>
      <c r="W48" s="383">
        <f>IF($J$20=1,(1+'Benefit Profile'!$E25)*V48,IF($J$20=2,(1+'Benefit Profile'!$G25)*V48,(1+'Benefit Profile'!$I25)*V48))</f>
        <v>0</v>
      </c>
      <c r="X48" s="383">
        <f>IF($J$20=1,(1+'Benefit Profile'!$E25)*W48,IF($J$20=2,(1+'Benefit Profile'!$G25)*W48,(1+'Benefit Profile'!$I25)*W48))</f>
        <v>0</v>
      </c>
      <c r="Y48" s="383">
        <f>IF($J$20=1,(1+'Benefit Profile'!$E25)*X48,IF($J$20=2,(1+'Benefit Profile'!$G25)*X48,(1+'Benefit Profile'!$I25)*X48))</f>
        <v>0</v>
      </c>
      <c r="Z48" s="7"/>
    </row>
    <row r="49" spans="3:26" ht="12.75" customHeight="1">
      <c r="C49" s="5"/>
      <c r="D49" s="54"/>
      <c r="E49" s="138" t="s">
        <v>145</v>
      </c>
      <c r="F49" s="383">
        <f t="shared" si="2"/>
        <v>7221.599999999999</v>
      </c>
      <c r="G49" s="383">
        <f t="shared" si="2"/>
        <v>7510.464</v>
      </c>
      <c r="H49" s="383">
        <f t="shared" si="3"/>
        <v>7810.88256</v>
      </c>
      <c r="I49" s="383">
        <f>IF($J$20=1,(1+'Benefit Profile'!D26+'Benefit Profile'!$E26)*H49,IF($J$20=2,(1+'Benefit Profile'!F26+'Benefit Profile'!$G26)*H49,(1+'Benefit Profile'!H26+'Benefit Profile'!$I26)*H49))</f>
        <v>9060.6237696</v>
      </c>
      <c r="J49" s="383">
        <f>IF($J$20=1,(1+'Benefit Profile'!$E26)*I49,IF($J$20=2,(1+'Benefit Profile'!$G26)*I49,(1+'Benefit Profile'!$I26)*I49))</f>
        <v>9604.261195776002</v>
      </c>
      <c r="K49" s="383">
        <f>IF($J$20=1,(1+'Benefit Profile'!$E26)*J49,IF($J$20=2,(1+'Benefit Profile'!$G26)*J49,(1+'Benefit Profile'!$I26)*J49))</f>
        <v>10180.516867522563</v>
      </c>
      <c r="L49" s="383">
        <f>IF($J$20=1,(1+'Benefit Profile'!$E26)*K49,IF($J$20=2,(1+'Benefit Profile'!$G26)*K49,(1+'Benefit Profile'!$I26)*K49))</f>
        <v>10791.347879573917</v>
      </c>
      <c r="M49" s="383">
        <f>IF($J$20=1,(1+'Benefit Profile'!$E26)*L49,IF($J$20=2,(1+'Benefit Profile'!$G26)*L49,(1+'Benefit Profile'!$I26)*L49))</f>
        <v>11438.828752348352</v>
      </c>
      <c r="N49" s="383">
        <f>IF($J$20=1,(1+'Benefit Profile'!$E26)*M49,IF($J$20=2,(1+'Benefit Profile'!$G26)*M49,(1+'Benefit Profile'!$I26)*M49))</f>
        <v>12125.158477489254</v>
      </c>
      <c r="O49" s="383">
        <f>IF($J$20=1,(1+'Benefit Profile'!$E26)*N49,IF($J$20=2,(1+'Benefit Profile'!$G26)*N49,(1+'Benefit Profile'!$I26)*N49))</f>
        <v>12852.667986138611</v>
      </c>
      <c r="P49" s="383">
        <f>IF($J$20=1,(1+'Benefit Profile'!$E26)*O49,IF($J$20=2,(1+'Benefit Profile'!$G26)*O49,(1+'Benefit Profile'!$I26)*O49))</f>
        <v>13623.828065306929</v>
      </c>
      <c r="Q49" s="383">
        <f>IF($J$20=1,(1+'Benefit Profile'!$E26)*P49,IF($J$20=2,(1+'Benefit Profile'!$G26)*P49,(1+'Benefit Profile'!$I26)*P49))</f>
        <v>14441.257749225346</v>
      </c>
      <c r="R49" s="383">
        <f>IF($J$20=1,(1+'Benefit Profile'!$E26)*Q49,IF($J$20=2,(1+'Benefit Profile'!$G26)*Q49,(1+'Benefit Profile'!$I26)*Q49))</f>
        <v>15307.733214178867</v>
      </c>
      <c r="S49" s="383">
        <f>IF($J$20=1,(1+'Benefit Profile'!$E26)*R49,IF($J$20=2,(1+'Benefit Profile'!$G26)*R49,(1+'Benefit Profile'!$I26)*R49))</f>
        <v>16226.1972070296</v>
      </c>
      <c r="T49" s="383">
        <f>IF($J$20=1,(1+'Benefit Profile'!$E26)*S49,IF($J$20=2,(1+'Benefit Profile'!$G26)*S49,(1+'Benefit Profile'!$I26)*S49))</f>
        <v>17199.769039451377</v>
      </c>
      <c r="U49" s="383">
        <f>IF($J$20=1,(1+'Benefit Profile'!$E26)*T49,IF($J$20=2,(1+'Benefit Profile'!$G26)*T49,(1+'Benefit Profile'!$I26)*T49))</f>
        <v>18231.755181818462</v>
      </c>
      <c r="V49" s="383">
        <f>IF($J$20=1,(1+'Benefit Profile'!$E26)*U49,IF($J$20=2,(1+'Benefit Profile'!$G26)*U49,(1+'Benefit Profile'!$I26)*U49))</f>
        <v>19325.66049272757</v>
      </c>
      <c r="W49" s="383">
        <f>IF($J$20=1,(1+'Benefit Profile'!$E26)*V49,IF($J$20=2,(1+'Benefit Profile'!$G26)*V49,(1+'Benefit Profile'!$I26)*V49))</f>
        <v>20485.200122291226</v>
      </c>
      <c r="X49" s="383">
        <f>IF($J$20=1,(1+'Benefit Profile'!$E26)*W49,IF($J$20=2,(1+'Benefit Profile'!$G26)*W49,(1+'Benefit Profile'!$I26)*W49))</f>
        <v>21714.3121296287</v>
      </c>
      <c r="Y49" s="383">
        <f>IF($J$20=1,(1+'Benefit Profile'!$E26)*X49,IF($J$20=2,(1+'Benefit Profile'!$G26)*X49,(1+'Benefit Profile'!$I26)*X49))</f>
        <v>23017.17085740642</v>
      </c>
      <c r="Z49" s="7"/>
    </row>
    <row r="50" spans="3:26" ht="12.75" customHeight="1">
      <c r="C50" s="5"/>
      <c r="D50" s="54"/>
      <c r="E50" s="138" t="s">
        <v>146</v>
      </c>
      <c r="F50" s="383">
        <f t="shared" si="2"/>
        <v>0</v>
      </c>
      <c r="G50" s="383">
        <f t="shared" si="2"/>
        <v>0</v>
      </c>
      <c r="H50" s="383">
        <f t="shared" si="3"/>
        <v>0</v>
      </c>
      <c r="I50" s="383">
        <f>IF($J$20=1,(1+'Benefit Profile'!D27+'Benefit Profile'!$E27)*H50,IF($J$20=2,(1+'Benefit Profile'!F27+'Benefit Profile'!$G27)*H50,(1+'Benefit Profile'!H27+'Benefit Profile'!$I27)*H50))</f>
        <v>0</v>
      </c>
      <c r="J50" s="383">
        <f>IF($J$20=1,(1+'Benefit Profile'!$E27)*I50,IF($J$20=2,(1+'Benefit Profile'!$G27)*I50,(1+'Benefit Profile'!$I27)*I50))</f>
        <v>0</v>
      </c>
      <c r="K50" s="383">
        <f>IF($J$20=1,(1+'Benefit Profile'!$E27)*J50,IF($J$20=2,(1+'Benefit Profile'!$G27)*J50,(1+'Benefit Profile'!$I27)*J50))</f>
        <v>0</v>
      </c>
      <c r="L50" s="383">
        <f>IF($J$20=1,(1+'Benefit Profile'!$E27)*K50,IF($J$20=2,(1+'Benefit Profile'!$G27)*K50,(1+'Benefit Profile'!$I27)*K50))</f>
        <v>0</v>
      </c>
      <c r="M50" s="383">
        <f>IF($J$20=1,(1+'Benefit Profile'!$E27)*L50,IF($J$20=2,(1+'Benefit Profile'!$G27)*L50,(1+'Benefit Profile'!$I27)*L50))</f>
        <v>0</v>
      </c>
      <c r="N50" s="383">
        <f>IF($J$20=1,(1+'Benefit Profile'!$E27)*M50,IF($J$20=2,(1+'Benefit Profile'!$G27)*M50,(1+'Benefit Profile'!$I27)*M50))</f>
        <v>0</v>
      </c>
      <c r="O50" s="383">
        <f>IF($J$20=1,(1+'Benefit Profile'!$E27)*N50,IF($J$20=2,(1+'Benefit Profile'!$G27)*N50,(1+'Benefit Profile'!$I27)*N50))</f>
        <v>0</v>
      </c>
      <c r="P50" s="383">
        <f>IF($J$20=1,(1+'Benefit Profile'!$E27)*O50,IF($J$20=2,(1+'Benefit Profile'!$G27)*O50,(1+'Benefit Profile'!$I27)*O50))</f>
        <v>0</v>
      </c>
      <c r="Q50" s="383">
        <f>IF($J$20=1,(1+'Benefit Profile'!$E27)*P50,IF($J$20=2,(1+'Benefit Profile'!$G27)*P50,(1+'Benefit Profile'!$I27)*P50))</f>
        <v>0</v>
      </c>
      <c r="R50" s="383">
        <f>IF($J$20=1,(1+'Benefit Profile'!$E27)*Q50,IF($J$20=2,(1+'Benefit Profile'!$G27)*Q50,(1+'Benefit Profile'!$I27)*Q50))</f>
        <v>0</v>
      </c>
      <c r="S50" s="383">
        <f>IF($J$20=1,(1+'Benefit Profile'!$E27)*R50,IF($J$20=2,(1+'Benefit Profile'!$G27)*R50,(1+'Benefit Profile'!$I27)*R50))</f>
        <v>0</v>
      </c>
      <c r="T50" s="383">
        <f>IF($J$20=1,(1+'Benefit Profile'!$E27)*S50,IF($J$20=2,(1+'Benefit Profile'!$G27)*S50,(1+'Benefit Profile'!$I27)*S50))</f>
        <v>0</v>
      </c>
      <c r="U50" s="383">
        <f>IF($J$20=1,(1+'Benefit Profile'!$E27)*T50,IF($J$20=2,(1+'Benefit Profile'!$G27)*T50,(1+'Benefit Profile'!$I27)*T50))</f>
        <v>0</v>
      </c>
      <c r="V50" s="383">
        <f>IF($J$20=1,(1+'Benefit Profile'!$E27)*U50,IF($J$20=2,(1+'Benefit Profile'!$G27)*U50,(1+'Benefit Profile'!$I27)*U50))</f>
        <v>0</v>
      </c>
      <c r="W50" s="383">
        <f>IF($J$20=1,(1+'Benefit Profile'!$E27)*V50,IF($J$20=2,(1+'Benefit Profile'!$G27)*V50,(1+'Benefit Profile'!$I27)*V50))</f>
        <v>0</v>
      </c>
      <c r="X50" s="383">
        <f>IF($J$20=1,(1+'Benefit Profile'!$E27)*W50,IF($J$20=2,(1+'Benefit Profile'!$G27)*W50,(1+'Benefit Profile'!$I27)*W50))</f>
        <v>0</v>
      </c>
      <c r="Y50" s="383">
        <f>IF($J$20=1,(1+'Benefit Profile'!$E27)*X50,IF($J$20=2,(1+'Benefit Profile'!$G27)*X50,(1+'Benefit Profile'!$I27)*X50))</f>
        <v>0</v>
      </c>
      <c r="Z50" s="7"/>
    </row>
    <row r="51" spans="3:26" ht="12.75" customHeight="1">
      <c r="C51" s="5"/>
      <c r="D51" s="54"/>
      <c r="E51" s="138" t="s">
        <v>147</v>
      </c>
      <c r="F51" s="383">
        <f t="shared" si="2"/>
        <v>3610.7999999999997</v>
      </c>
      <c r="G51" s="383">
        <f t="shared" si="2"/>
        <v>3755.232</v>
      </c>
      <c r="H51" s="383">
        <f t="shared" si="3"/>
        <v>3905.44128</v>
      </c>
      <c r="I51" s="383">
        <f>IF($J$20=1,(1+'Benefit Profile'!D28+'Benefit Profile'!$E28)*H51,IF($J$20=2,(1+'Benefit Profile'!F28+'Benefit Profile'!$G28)*H51,(1+'Benefit Profile'!H28+'Benefit Profile'!$I28)*H51))</f>
        <v>4530.3118848</v>
      </c>
      <c r="J51" s="383">
        <f>IF($J$20=1,(1+'Benefit Profile'!$E28)*I51,IF($J$20=2,(1+'Benefit Profile'!$G28)*I51,(1+'Benefit Profile'!$I28)*I51))</f>
        <v>4802.130597888001</v>
      </c>
      <c r="K51" s="383">
        <f>IF($J$20=1,(1+'Benefit Profile'!$E28)*J51,IF($J$20=2,(1+'Benefit Profile'!$G28)*J51,(1+'Benefit Profile'!$I28)*J51))</f>
        <v>5090.258433761282</v>
      </c>
      <c r="L51" s="383">
        <f>IF($J$20=1,(1+'Benefit Profile'!$E28)*K51,IF($J$20=2,(1+'Benefit Profile'!$G28)*K51,(1+'Benefit Profile'!$I28)*K51))</f>
        <v>5395.673939786959</v>
      </c>
      <c r="M51" s="383">
        <f>IF($J$20=1,(1+'Benefit Profile'!$E28)*L51,IF($J$20=2,(1+'Benefit Profile'!$G28)*L51,(1+'Benefit Profile'!$I28)*L51))</f>
        <v>5719.414376174176</v>
      </c>
      <c r="N51" s="383">
        <f>IF($J$20=1,(1+'Benefit Profile'!$E28)*M51,IF($J$20=2,(1+'Benefit Profile'!$G28)*M51,(1+'Benefit Profile'!$I28)*M51))</f>
        <v>6062.579238744627</v>
      </c>
      <c r="O51" s="383">
        <f>IF($J$20=1,(1+'Benefit Profile'!$E28)*N51,IF($J$20=2,(1+'Benefit Profile'!$G28)*N51,(1+'Benefit Profile'!$I28)*N51))</f>
        <v>6426.3339930693055</v>
      </c>
      <c r="P51" s="383">
        <f>IF($J$20=1,(1+'Benefit Profile'!$E28)*O51,IF($J$20=2,(1+'Benefit Profile'!$G28)*O51,(1+'Benefit Profile'!$I28)*O51))</f>
        <v>6811.914032653464</v>
      </c>
      <c r="Q51" s="383">
        <f>IF($J$20=1,(1+'Benefit Profile'!$E28)*P51,IF($J$20=2,(1+'Benefit Profile'!$G28)*P51,(1+'Benefit Profile'!$I28)*P51))</f>
        <v>7220.628874612673</v>
      </c>
      <c r="R51" s="383">
        <f>IF($J$20=1,(1+'Benefit Profile'!$E28)*Q51,IF($J$20=2,(1+'Benefit Profile'!$G28)*Q51,(1+'Benefit Profile'!$I28)*Q51))</f>
        <v>7653.866607089433</v>
      </c>
      <c r="S51" s="383">
        <f>IF($J$20=1,(1+'Benefit Profile'!$E28)*R51,IF($J$20=2,(1+'Benefit Profile'!$G28)*R51,(1+'Benefit Profile'!$I28)*R51))</f>
        <v>8113.0986035148</v>
      </c>
      <c r="T51" s="383">
        <f>IF($J$20=1,(1+'Benefit Profile'!$E28)*S51,IF($J$20=2,(1+'Benefit Profile'!$G28)*S51,(1+'Benefit Profile'!$I28)*S51))</f>
        <v>8599.884519725689</v>
      </c>
      <c r="U51" s="383">
        <f>IF($J$20=1,(1+'Benefit Profile'!$E28)*T51,IF($J$20=2,(1+'Benefit Profile'!$G28)*T51,(1+'Benefit Profile'!$I28)*T51))</f>
        <v>9115.877590909231</v>
      </c>
      <c r="V51" s="383">
        <f>IF($J$20=1,(1+'Benefit Profile'!$E28)*U51,IF($J$20=2,(1+'Benefit Profile'!$G28)*U51,(1+'Benefit Profile'!$I28)*U51))</f>
        <v>9662.830246363785</v>
      </c>
      <c r="W51" s="383">
        <f>IF($J$20=1,(1+'Benefit Profile'!$E28)*V51,IF($J$20=2,(1+'Benefit Profile'!$G28)*V51,(1+'Benefit Profile'!$I28)*V51))</f>
        <v>10242.600061145613</v>
      </c>
      <c r="X51" s="383">
        <f>IF($J$20=1,(1+'Benefit Profile'!$E28)*W51,IF($J$20=2,(1+'Benefit Profile'!$G28)*W51,(1+'Benefit Profile'!$I28)*W51))</f>
        <v>10857.15606481435</v>
      </c>
      <c r="Y51" s="383">
        <f>IF($J$20=1,(1+'Benefit Profile'!$E28)*X51,IF($J$20=2,(1+'Benefit Profile'!$G28)*X51,(1+'Benefit Profile'!$I28)*X51))</f>
        <v>11508.58542870321</v>
      </c>
      <c r="Z51" s="7"/>
    </row>
    <row r="52" spans="3:26" ht="12.75" customHeight="1">
      <c r="C52" s="5"/>
      <c r="D52" s="54"/>
      <c r="E52" s="138" t="s">
        <v>148</v>
      </c>
      <c r="F52" s="383">
        <f t="shared" si="2"/>
        <v>760.1999999999994</v>
      </c>
      <c r="G52" s="383">
        <f t="shared" si="2"/>
        <v>790.6079999999994</v>
      </c>
      <c r="H52" s="383">
        <f t="shared" si="3"/>
        <v>822.2323199999994</v>
      </c>
      <c r="I52" s="383">
        <f>IF($J$20=1,(1+'Benefit Profile'!D29+'Benefit Profile'!$E29)*H52,IF($J$20=2,(1+'Benefit Profile'!F29+'Benefit Profile'!$G29)*H52,(1+'Benefit Profile'!H29+'Benefit Profile'!$I29)*H52))</f>
        <v>953.7894911999994</v>
      </c>
      <c r="J52" s="383">
        <f>IF($J$20=1,(1+'Benefit Profile'!$E29)*I52,IF($J$20=2,(1+'Benefit Profile'!$G29)*I52,(1+'Benefit Profile'!$I29)*I52))</f>
        <v>1011.0168606719993</v>
      </c>
      <c r="K52" s="383">
        <f>IF($J$20=1,(1+'Benefit Profile'!$E29)*J52,IF($J$20=2,(1+'Benefit Profile'!$G29)*J52,(1+'Benefit Profile'!$I29)*J52))</f>
        <v>1071.6778723123193</v>
      </c>
      <c r="L52" s="383">
        <f>IF($J$20=1,(1+'Benefit Profile'!$E29)*K52,IF($J$20=2,(1+'Benefit Profile'!$G29)*K52,(1+'Benefit Profile'!$I29)*K52))</f>
        <v>1135.9785446510584</v>
      </c>
      <c r="M52" s="383">
        <f>IF($J$20=1,(1+'Benefit Profile'!$E29)*L52,IF($J$20=2,(1+'Benefit Profile'!$G29)*L52,(1+'Benefit Profile'!$I29)*L52))</f>
        <v>1204.1372573301219</v>
      </c>
      <c r="N52" s="383">
        <f>IF($J$20=1,(1+'Benefit Profile'!$E29)*M52,IF($J$20=2,(1+'Benefit Profile'!$G29)*M52,(1+'Benefit Profile'!$I29)*M52))</f>
        <v>1276.3854927699292</v>
      </c>
      <c r="O52" s="383">
        <f>IF($J$20=1,(1+'Benefit Profile'!$E29)*N52,IF($J$20=2,(1+'Benefit Profile'!$G29)*N52,(1+'Benefit Profile'!$I29)*N52))</f>
        <v>1352.968622336125</v>
      </c>
      <c r="P52" s="383">
        <f>IF($J$20=1,(1+'Benefit Profile'!$E29)*O52,IF($J$20=2,(1+'Benefit Profile'!$G29)*O52,(1+'Benefit Profile'!$I29)*O52))</f>
        <v>1434.1467396762926</v>
      </c>
      <c r="Q52" s="383">
        <f>IF($J$20=1,(1+'Benefit Profile'!$E29)*P52,IF($J$20=2,(1+'Benefit Profile'!$G29)*P52,(1+'Benefit Profile'!$I29)*P52))</f>
        <v>1520.1955440568702</v>
      </c>
      <c r="R52" s="383">
        <f>IF($J$20=1,(1+'Benefit Profile'!$E29)*Q52,IF($J$20=2,(1+'Benefit Profile'!$G29)*Q52,(1+'Benefit Profile'!$I29)*Q52))</f>
        <v>1611.4072767002824</v>
      </c>
      <c r="S52" s="383">
        <f>IF($J$20=1,(1+'Benefit Profile'!$E29)*R52,IF($J$20=2,(1+'Benefit Profile'!$G29)*R52,(1+'Benefit Profile'!$I29)*R52))</f>
        <v>1708.0917133022995</v>
      </c>
      <c r="T52" s="383">
        <f>IF($J$20=1,(1+'Benefit Profile'!$E29)*S52,IF($J$20=2,(1+'Benefit Profile'!$G29)*S52,(1+'Benefit Profile'!$I29)*S52))</f>
        <v>1810.5772161004375</v>
      </c>
      <c r="U52" s="383">
        <f>IF($J$20=1,(1+'Benefit Profile'!$E29)*T52,IF($J$20=2,(1+'Benefit Profile'!$G29)*T52,(1+'Benefit Profile'!$I29)*T52))</f>
        <v>1919.2118490664639</v>
      </c>
      <c r="V52" s="383">
        <f>IF($J$20=1,(1+'Benefit Profile'!$E29)*U52,IF($J$20=2,(1+'Benefit Profile'!$G29)*U52,(1+'Benefit Profile'!$I29)*U52))</f>
        <v>2034.364560010452</v>
      </c>
      <c r="W52" s="383">
        <f>IF($J$20=1,(1+'Benefit Profile'!$E29)*V52,IF($J$20=2,(1+'Benefit Profile'!$G29)*V52,(1+'Benefit Profile'!$I29)*V52))</f>
        <v>2156.426433611079</v>
      </c>
      <c r="X52" s="383">
        <f>IF($J$20=1,(1+'Benefit Profile'!$E29)*W52,IF($J$20=2,(1+'Benefit Profile'!$G29)*W52,(1+'Benefit Profile'!$I29)*W52))</f>
        <v>2285.812019627744</v>
      </c>
      <c r="Y52" s="383">
        <f>IF($J$20=1,(1+'Benefit Profile'!$E29)*X52,IF($J$20=2,(1+'Benefit Profile'!$G29)*X52,(1+'Benefit Profile'!$I29)*X52))</f>
        <v>2422.960740805409</v>
      </c>
      <c r="Z52" s="7"/>
    </row>
    <row r="53" spans="3:26" ht="12.75" customHeight="1">
      <c r="C53" s="5"/>
      <c r="D53" s="54"/>
      <c r="E53" s="138" t="s">
        <v>218</v>
      </c>
      <c r="F53" s="383">
        <f>SUM(F46:F52)-F47</f>
        <v>12036</v>
      </c>
      <c r="G53" s="383">
        <f>G43</f>
        <v>12517.440000000002</v>
      </c>
      <c r="H53" s="383">
        <f t="shared" si="3"/>
        <v>13018.1376</v>
      </c>
      <c r="I53" s="383">
        <f>IF($J$20=1,(1+'Benefit Profile'!D30+'Benefit Profile'!$E30)*H53,IF($J$20=2,(1+'Benefit Profile'!F30+'Benefit Profile'!$G30)*H53,(1+'Benefit Profile'!H30+'Benefit Profile'!$I30)*H53))</f>
        <v>13018.1376</v>
      </c>
      <c r="J53" s="383">
        <f aca="true" t="shared" si="4" ref="J53:Y53">SUM(J46:J52)-J47</f>
        <v>16007.101992960004</v>
      </c>
      <c r="K53" s="383">
        <f t="shared" si="4"/>
        <v>16967.528112537606</v>
      </c>
      <c r="L53" s="383">
        <f t="shared" si="4"/>
        <v>17985.579799289862</v>
      </c>
      <c r="M53" s="383">
        <f t="shared" si="4"/>
        <v>19064.714587247254</v>
      </c>
      <c r="N53" s="383">
        <f t="shared" si="4"/>
        <v>20208.59746248209</v>
      </c>
      <c r="O53" s="383">
        <f t="shared" si="4"/>
        <v>21421.113310231016</v>
      </c>
      <c r="P53" s="383">
        <f t="shared" si="4"/>
        <v>22706.380108844874</v>
      </c>
      <c r="Q53" s="383">
        <f t="shared" si="4"/>
        <v>24068.762915375577</v>
      </c>
      <c r="R53" s="383">
        <f t="shared" si="4"/>
        <v>25512.88869029811</v>
      </c>
      <c r="S53" s="383">
        <f t="shared" si="4"/>
        <v>27043.662011715995</v>
      </c>
      <c r="T53" s="383">
        <f t="shared" si="4"/>
        <v>28666.28173241896</v>
      </c>
      <c r="U53" s="383">
        <f t="shared" si="4"/>
        <v>30386.2586363641</v>
      </c>
      <c r="V53" s="383">
        <f t="shared" si="4"/>
        <v>32209.43415454594</v>
      </c>
      <c r="W53" s="383">
        <f t="shared" si="4"/>
        <v>34142.00020381871</v>
      </c>
      <c r="X53" s="383">
        <f t="shared" si="4"/>
        <v>36190.52021604783</v>
      </c>
      <c r="Y53" s="383">
        <f t="shared" si="4"/>
        <v>38361.9514290107</v>
      </c>
      <c r="Z53" s="7"/>
    </row>
    <row r="54" spans="3:26" ht="12.75" customHeight="1">
      <c r="C54" s="5"/>
      <c r="D54" s="54"/>
      <c r="E54" s="14"/>
      <c r="F54" s="383"/>
      <c r="G54" s="383"/>
      <c r="H54" s="383"/>
      <c r="I54" s="383"/>
      <c r="J54" s="383"/>
      <c r="K54" s="383"/>
      <c r="L54" s="383"/>
      <c r="M54" s="383"/>
      <c r="N54" s="383"/>
      <c r="O54" s="383"/>
      <c r="P54" s="383"/>
      <c r="Q54" s="383"/>
      <c r="R54" s="383"/>
      <c r="S54" s="383"/>
      <c r="T54" s="383"/>
      <c r="U54" s="383"/>
      <c r="V54" s="383"/>
      <c r="W54" s="383"/>
      <c r="X54" s="383"/>
      <c r="Y54" s="383"/>
      <c r="Z54" s="7"/>
    </row>
    <row r="55" spans="3:26" ht="12.75" customHeight="1">
      <c r="C55" s="5"/>
      <c r="D55" s="54"/>
      <c r="E55" s="14" t="s">
        <v>141</v>
      </c>
      <c r="F55" s="383"/>
      <c r="G55" s="383"/>
      <c r="H55" s="383"/>
      <c r="I55" s="383"/>
      <c r="J55" s="383"/>
      <c r="K55" s="383"/>
      <c r="L55" s="383"/>
      <c r="M55" s="383"/>
      <c r="N55" s="383"/>
      <c r="O55" s="383"/>
      <c r="P55" s="383"/>
      <c r="Q55" s="383"/>
      <c r="R55" s="383"/>
      <c r="S55" s="383"/>
      <c r="T55" s="383"/>
      <c r="U55" s="383"/>
      <c r="V55" s="383"/>
      <c r="W55" s="383"/>
      <c r="X55" s="383"/>
      <c r="Y55" s="383"/>
      <c r="Z55" s="7"/>
    </row>
    <row r="56" spans="3:26" ht="12.75" customHeight="1">
      <c r="C56" s="5"/>
      <c r="D56" s="54"/>
      <c r="E56" s="138" t="s">
        <v>143</v>
      </c>
      <c r="F56" s="383">
        <f>F46-F36</f>
        <v>0</v>
      </c>
      <c r="G56" s="383">
        <f aca="true" t="shared" si="5" ref="G56:Y56">G46-G36</f>
        <v>0</v>
      </c>
      <c r="H56" s="383">
        <f t="shared" si="5"/>
        <v>0</v>
      </c>
      <c r="I56" s="383">
        <f t="shared" si="5"/>
        <v>57.54977280000014</v>
      </c>
      <c r="J56" s="383">
        <f t="shared" si="5"/>
        <v>70.97805312000014</v>
      </c>
      <c r="K56" s="383">
        <f t="shared" si="5"/>
        <v>85.61104201728017</v>
      </c>
      <c r="L56" s="383">
        <f t="shared" si="5"/>
        <v>101.53698247680018</v>
      </c>
      <c r="M56" s="383">
        <f t="shared" si="5"/>
        <v>118.8500504814308</v>
      </c>
      <c r="N56" s="383">
        <f t="shared" si="5"/>
        <v>137.65073652858007</v>
      </c>
      <c r="O56" s="383">
        <f t="shared" si="5"/>
        <v>158.0462510592888</v>
      </c>
      <c r="P56" s="383">
        <f t="shared" si="5"/>
        <v>180.15095527539984</v>
      </c>
      <c r="Q56" s="383">
        <f t="shared" si="5"/>
        <v>204.08681891057972</v>
      </c>
      <c r="R56" s="383">
        <f t="shared" si="5"/>
        <v>229.98390661661665</v>
      </c>
      <c r="S56" s="383">
        <f t="shared" si="5"/>
        <v>257.98089472787194</v>
      </c>
      <c r="T56" s="383">
        <f t="shared" si="5"/>
        <v>288.2256202743729</v>
      </c>
      <c r="U56" s="383">
        <f t="shared" si="5"/>
        <v>320.875664228177</v>
      </c>
      <c r="V56" s="383">
        <f t="shared" si="5"/>
        <v>356.0989710887029</v>
      </c>
      <c r="W56" s="383">
        <f t="shared" si="5"/>
        <v>394.07450704113387</v>
      </c>
      <c r="X56" s="383">
        <f t="shared" si="5"/>
        <v>434.9929590581952</v>
      </c>
      <c r="Y56" s="383">
        <f t="shared" si="5"/>
        <v>479.05747746006375</v>
      </c>
      <c r="Z56" s="7"/>
    </row>
    <row r="57" spans="3:26" ht="12.75" customHeight="1">
      <c r="C57" s="5"/>
      <c r="D57" s="54"/>
      <c r="E57" s="138" t="s">
        <v>142</v>
      </c>
      <c r="F57" s="383">
        <f aca="true" t="shared" si="6" ref="F57:Y62">F47-F37</f>
        <v>0</v>
      </c>
      <c r="G57" s="383">
        <f t="shared" si="6"/>
        <v>0</v>
      </c>
      <c r="H57" s="383">
        <f t="shared" si="6"/>
        <v>0</v>
      </c>
      <c r="I57" s="383">
        <f t="shared" si="6"/>
        <v>937.3059072000005</v>
      </c>
      <c r="J57" s="383">
        <f t="shared" si="6"/>
        <v>1156.0106188800019</v>
      </c>
      <c r="K57" s="383">
        <f t="shared" si="6"/>
        <v>1394.3362675507233</v>
      </c>
      <c r="L57" s="383">
        <f t="shared" si="6"/>
        <v>1653.720055603204</v>
      </c>
      <c r="M57" s="383">
        <f t="shared" si="6"/>
        <v>1935.6958154188105</v>
      </c>
      <c r="N57" s="383">
        <f t="shared" si="6"/>
        <v>2241.90022308253</v>
      </c>
      <c r="O57" s="383">
        <f t="shared" si="6"/>
        <v>2574.0794015556166</v>
      </c>
      <c r="P57" s="383">
        <f t="shared" si="6"/>
        <v>2934.095937340615</v>
      </c>
      <c r="Q57" s="383">
        <f t="shared" si="6"/>
        <v>3323.9363361403794</v>
      </c>
      <c r="R57" s="383">
        <f t="shared" si="6"/>
        <v>3745.7189445705008</v>
      </c>
      <c r="S57" s="383">
        <f t="shared" si="6"/>
        <v>4201.702366636899</v>
      </c>
      <c r="T57" s="383">
        <f t="shared" si="6"/>
        <v>4694.294405442968</v>
      </c>
      <c r="U57" s="383">
        <f t="shared" si="6"/>
        <v>5226.061562449715</v>
      </c>
      <c r="V57" s="383">
        <f t="shared" si="6"/>
        <v>5799.739128584071</v>
      </c>
      <c r="W57" s="383">
        <f t="shared" si="6"/>
        <v>6418.241903581988</v>
      </c>
      <c r="X57" s="383">
        <f t="shared" si="6"/>
        <v>7084.67558217109</v>
      </c>
      <c r="Y57" s="383">
        <f t="shared" si="6"/>
        <v>7802.3488480505075</v>
      </c>
      <c r="Z57" s="7"/>
    </row>
    <row r="58" spans="3:26" ht="12.75" customHeight="1">
      <c r="C58" s="5"/>
      <c r="D58" s="54"/>
      <c r="E58" s="138" t="s">
        <v>144</v>
      </c>
      <c r="F58" s="383">
        <f t="shared" si="6"/>
        <v>0</v>
      </c>
      <c r="G58" s="383">
        <f t="shared" si="6"/>
        <v>0</v>
      </c>
      <c r="H58" s="383">
        <f t="shared" si="6"/>
        <v>0</v>
      </c>
      <c r="I58" s="383">
        <f t="shared" si="6"/>
        <v>0</v>
      </c>
      <c r="J58" s="383">
        <f t="shared" si="6"/>
        <v>0</v>
      </c>
      <c r="K58" s="383">
        <f t="shared" si="6"/>
        <v>0</v>
      </c>
      <c r="L58" s="383">
        <f t="shared" si="6"/>
        <v>0</v>
      </c>
      <c r="M58" s="383">
        <f t="shared" si="6"/>
        <v>0</v>
      </c>
      <c r="N58" s="383">
        <f t="shared" si="6"/>
        <v>0</v>
      </c>
      <c r="O58" s="383">
        <f t="shared" si="6"/>
        <v>0</v>
      </c>
      <c r="P58" s="383">
        <f t="shared" si="6"/>
        <v>0</v>
      </c>
      <c r="Q58" s="383">
        <f t="shared" si="6"/>
        <v>0</v>
      </c>
      <c r="R58" s="383">
        <f t="shared" si="6"/>
        <v>0</v>
      </c>
      <c r="S58" s="383">
        <f t="shared" si="6"/>
        <v>0</v>
      </c>
      <c r="T58" s="383">
        <f t="shared" si="6"/>
        <v>0</v>
      </c>
      <c r="U58" s="383">
        <f t="shared" si="6"/>
        <v>0</v>
      </c>
      <c r="V58" s="383">
        <f t="shared" si="6"/>
        <v>0</v>
      </c>
      <c r="W58" s="383">
        <f t="shared" si="6"/>
        <v>0</v>
      </c>
      <c r="X58" s="383">
        <f t="shared" si="6"/>
        <v>0</v>
      </c>
      <c r="Y58" s="383">
        <f t="shared" si="6"/>
        <v>0</v>
      </c>
      <c r="Z58" s="7"/>
    </row>
    <row r="59" spans="3:26" ht="12.75" customHeight="1">
      <c r="C59" s="5"/>
      <c r="D59" s="54"/>
      <c r="E59" s="138" t="s">
        <v>145</v>
      </c>
      <c r="F59" s="383">
        <f t="shared" si="6"/>
        <v>0</v>
      </c>
      <c r="G59" s="383">
        <f t="shared" si="6"/>
        <v>0</v>
      </c>
      <c r="H59" s="383">
        <f t="shared" si="6"/>
        <v>0</v>
      </c>
      <c r="I59" s="383">
        <f t="shared" si="6"/>
        <v>937.3059072000005</v>
      </c>
      <c r="J59" s="383">
        <f t="shared" si="6"/>
        <v>1156.0106188800019</v>
      </c>
      <c r="K59" s="383">
        <f t="shared" si="6"/>
        <v>1394.3362675507233</v>
      </c>
      <c r="L59" s="383">
        <f t="shared" si="6"/>
        <v>1653.720055603204</v>
      </c>
      <c r="M59" s="383">
        <f t="shared" si="6"/>
        <v>1935.6958154188105</v>
      </c>
      <c r="N59" s="383">
        <f t="shared" si="6"/>
        <v>2241.90022308253</v>
      </c>
      <c r="O59" s="383">
        <f t="shared" si="6"/>
        <v>2574.0794015556166</v>
      </c>
      <c r="P59" s="383">
        <f t="shared" si="6"/>
        <v>2934.095937340615</v>
      </c>
      <c r="Q59" s="383">
        <f t="shared" si="6"/>
        <v>3323.9363361403794</v>
      </c>
      <c r="R59" s="383">
        <f t="shared" si="6"/>
        <v>3745.7189445705008</v>
      </c>
      <c r="S59" s="383">
        <f t="shared" si="6"/>
        <v>4201.702366636899</v>
      </c>
      <c r="T59" s="383">
        <f t="shared" si="6"/>
        <v>4694.294405442968</v>
      </c>
      <c r="U59" s="383">
        <f t="shared" si="6"/>
        <v>5226.061562449715</v>
      </c>
      <c r="V59" s="383">
        <f t="shared" si="6"/>
        <v>5799.739128584071</v>
      </c>
      <c r="W59" s="383">
        <f t="shared" si="6"/>
        <v>6418.241903581988</v>
      </c>
      <c r="X59" s="383">
        <f t="shared" si="6"/>
        <v>7084.67558217109</v>
      </c>
      <c r="Y59" s="383">
        <f t="shared" si="6"/>
        <v>7802.3488480505075</v>
      </c>
      <c r="Z59" s="7"/>
    </row>
    <row r="60" spans="3:26" ht="12.75" customHeight="1">
      <c r="C60" s="5"/>
      <c r="D60" s="54"/>
      <c r="E60" s="138" t="s">
        <v>146</v>
      </c>
      <c r="F60" s="383">
        <f t="shared" si="6"/>
        <v>0</v>
      </c>
      <c r="G60" s="383">
        <f t="shared" si="6"/>
        <v>0</v>
      </c>
      <c r="H60" s="383">
        <f t="shared" si="6"/>
        <v>0</v>
      </c>
      <c r="I60" s="383">
        <f t="shared" si="6"/>
        <v>0</v>
      </c>
      <c r="J60" s="383">
        <f t="shared" si="6"/>
        <v>0</v>
      </c>
      <c r="K60" s="383">
        <f t="shared" si="6"/>
        <v>0</v>
      </c>
      <c r="L60" s="383">
        <f t="shared" si="6"/>
        <v>0</v>
      </c>
      <c r="M60" s="383">
        <f t="shared" si="6"/>
        <v>0</v>
      </c>
      <c r="N60" s="383">
        <f t="shared" si="6"/>
        <v>0</v>
      </c>
      <c r="O60" s="383">
        <f t="shared" si="6"/>
        <v>0</v>
      </c>
      <c r="P60" s="383">
        <f t="shared" si="6"/>
        <v>0</v>
      </c>
      <c r="Q60" s="383">
        <f t="shared" si="6"/>
        <v>0</v>
      </c>
      <c r="R60" s="383">
        <f t="shared" si="6"/>
        <v>0</v>
      </c>
      <c r="S60" s="383">
        <f t="shared" si="6"/>
        <v>0</v>
      </c>
      <c r="T60" s="383">
        <f t="shared" si="6"/>
        <v>0</v>
      </c>
      <c r="U60" s="383">
        <f t="shared" si="6"/>
        <v>0</v>
      </c>
      <c r="V60" s="383">
        <f t="shared" si="6"/>
        <v>0</v>
      </c>
      <c r="W60" s="383">
        <f t="shared" si="6"/>
        <v>0</v>
      </c>
      <c r="X60" s="383">
        <f t="shared" si="6"/>
        <v>0</v>
      </c>
      <c r="Y60" s="383">
        <f t="shared" si="6"/>
        <v>0</v>
      </c>
      <c r="Z60" s="7"/>
    </row>
    <row r="61" spans="3:26" ht="12.75" customHeight="1">
      <c r="C61" s="5"/>
      <c r="D61" s="54"/>
      <c r="E61" s="138" t="s">
        <v>147</v>
      </c>
      <c r="F61" s="383">
        <f t="shared" si="6"/>
        <v>0</v>
      </c>
      <c r="G61" s="383">
        <f t="shared" si="6"/>
        <v>0</v>
      </c>
      <c r="H61" s="383">
        <f t="shared" si="6"/>
        <v>0</v>
      </c>
      <c r="I61" s="383">
        <f t="shared" si="6"/>
        <v>468.6529536000003</v>
      </c>
      <c r="J61" s="383">
        <f t="shared" si="6"/>
        <v>578.0053094400009</v>
      </c>
      <c r="K61" s="383">
        <f t="shared" si="6"/>
        <v>697.1681337753616</v>
      </c>
      <c r="L61" s="383">
        <f t="shared" si="6"/>
        <v>826.860027801602</v>
      </c>
      <c r="M61" s="383">
        <f t="shared" si="6"/>
        <v>967.8479077094053</v>
      </c>
      <c r="N61" s="383">
        <f t="shared" si="6"/>
        <v>1120.950111541265</v>
      </c>
      <c r="O61" s="383">
        <f t="shared" si="6"/>
        <v>1287.0397007778083</v>
      </c>
      <c r="P61" s="383">
        <f t="shared" si="6"/>
        <v>1467.0479686703075</v>
      </c>
      <c r="Q61" s="383">
        <f t="shared" si="6"/>
        <v>1661.9681680701897</v>
      </c>
      <c r="R61" s="383">
        <f t="shared" si="6"/>
        <v>1872.8594722852504</v>
      </c>
      <c r="S61" s="383">
        <f t="shared" si="6"/>
        <v>2100.8511833184493</v>
      </c>
      <c r="T61" s="383">
        <f t="shared" si="6"/>
        <v>2347.147202721484</v>
      </c>
      <c r="U61" s="383">
        <f t="shared" si="6"/>
        <v>2613.0307812248575</v>
      </c>
      <c r="V61" s="383">
        <f t="shared" si="6"/>
        <v>2899.8695642920356</v>
      </c>
      <c r="W61" s="383">
        <f t="shared" si="6"/>
        <v>3209.120951790994</v>
      </c>
      <c r="X61" s="383">
        <f t="shared" si="6"/>
        <v>3542.337791085545</v>
      </c>
      <c r="Y61" s="383">
        <f t="shared" si="6"/>
        <v>3901.1744240252538</v>
      </c>
      <c r="Z61" s="7"/>
    </row>
    <row r="62" spans="3:26" ht="12.75" customHeight="1">
      <c r="C62" s="5"/>
      <c r="D62" s="54"/>
      <c r="E62" s="138" t="s">
        <v>148</v>
      </c>
      <c r="F62" s="383">
        <f t="shared" si="6"/>
        <v>0</v>
      </c>
      <c r="G62" s="383">
        <f t="shared" si="6"/>
        <v>0</v>
      </c>
      <c r="H62" s="383">
        <f t="shared" si="6"/>
        <v>0</v>
      </c>
      <c r="I62" s="383">
        <f t="shared" si="6"/>
        <v>98.66787839999995</v>
      </c>
      <c r="J62" s="383">
        <f t="shared" si="6"/>
        <v>121.69038335999994</v>
      </c>
      <c r="K62" s="383">
        <f t="shared" si="6"/>
        <v>146.77833590783996</v>
      </c>
      <c r="L62" s="383">
        <f t="shared" si="6"/>
        <v>174.0830267903999</v>
      </c>
      <c r="M62" s="383">
        <f t="shared" si="6"/>
        <v>203.76591875503698</v>
      </c>
      <c r="N62" s="383">
        <f t="shared" si="6"/>
        <v>235.99930065184094</v>
      </c>
      <c r="O62" s="383">
        <f t="shared" si="6"/>
        <v>270.96698253331306</v>
      </c>
      <c r="P62" s="383">
        <f t="shared" si="6"/>
        <v>308.865034281368</v>
      </c>
      <c r="Q62" s="383">
        <f t="shared" si="6"/>
        <v>349.90257044614873</v>
      </c>
      <c r="R62" s="383">
        <f t="shared" si="6"/>
        <v>394.30258414513196</v>
      </c>
      <c r="S62" s="383">
        <f t="shared" si="6"/>
        <v>442.3028330449429</v>
      </c>
      <c r="T62" s="383">
        <f t="shared" si="6"/>
        <v>494.15678063278665</v>
      </c>
      <c r="U62" s="383">
        <f t="shared" si="6"/>
        <v>550.1345961801069</v>
      </c>
      <c r="V62" s="383">
        <f t="shared" si="6"/>
        <v>610.5242170086406</v>
      </c>
      <c r="W62" s="383">
        <f t="shared" si="6"/>
        <v>675.6324768891952</v>
      </c>
      <c r="X62" s="383">
        <f t="shared" si="6"/>
        <v>745.7863046369848</v>
      </c>
      <c r="Y62" s="383">
        <f t="shared" si="6"/>
        <v>821.3339972150193</v>
      </c>
      <c r="Z62" s="7"/>
    </row>
    <row r="63" spans="3:26" ht="12.75" customHeight="1">
      <c r="C63" s="5"/>
      <c r="D63" s="54"/>
      <c r="E63" s="138" t="s">
        <v>216</v>
      </c>
      <c r="F63" s="383">
        <f>SUM(F56:F62)</f>
        <v>0</v>
      </c>
      <c r="G63" s="383">
        <f>SUM(G56:G62)-G57</f>
        <v>0</v>
      </c>
      <c r="H63" s="383">
        <f aca="true" t="shared" si="7" ref="H63:Y63">SUM(H56:H62)-H57</f>
        <v>0</v>
      </c>
      <c r="I63" s="383">
        <f t="shared" si="7"/>
        <v>1562.176512000001</v>
      </c>
      <c r="J63" s="383">
        <f t="shared" si="7"/>
        <v>1926.684364800003</v>
      </c>
      <c r="K63" s="383">
        <f t="shared" si="7"/>
        <v>2323.8937792512047</v>
      </c>
      <c r="L63" s="383">
        <f t="shared" si="7"/>
        <v>2756.2000926720066</v>
      </c>
      <c r="M63" s="383">
        <f t="shared" si="7"/>
        <v>3226.159692364684</v>
      </c>
      <c r="N63" s="383">
        <f t="shared" si="7"/>
        <v>3736.5003718042153</v>
      </c>
      <c r="O63" s="383">
        <f t="shared" si="7"/>
        <v>4290.132335926027</v>
      </c>
      <c r="P63" s="383">
        <f t="shared" si="7"/>
        <v>4890.15989556769</v>
      </c>
      <c r="Q63" s="383">
        <f t="shared" si="7"/>
        <v>5539.893893567298</v>
      </c>
      <c r="R63" s="383">
        <f t="shared" si="7"/>
        <v>6242.864907617501</v>
      </c>
      <c r="S63" s="383">
        <f t="shared" si="7"/>
        <v>7002.837277728164</v>
      </c>
      <c r="T63" s="383">
        <f t="shared" si="7"/>
        <v>7823.824009071614</v>
      </c>
      <c r="U63" s="383">
        <f t="shared" si="7"/>
        <v>8710.102604082856</v>
      </c>
      <c r="V63" s="383">
        <f t="shared" si="7"/>
        <v>9666.23188097345</v>
      </c>
      <c r="W63" s="383">
        <f t="shared" si="7"/>
        <v>10697.069839303309</v>
      </c>
      <c r="X63" s="383">
        <f t="shared" si="7"/>
        <v>11807.792636951817</v>
      </c>
      <c r="Y63" s="383">
        <f t="shared" si="7"/>
        <v>13003.914746750848</v>
      </c>
      <c r="Z63" s="7"/>
    </row>
    <row r="64" spans="3:26" ht="12.75" customHeight="1">
      <c r="C64" s="5"/>
      <c r="D64" s="54"/>
      <c r="E64" s="75"/>
      <c r="F64" s="72"/>
      <c r="G64" s="72"/>
      <c r="H64" s="72"/>
      <c r="I64" s="72"/>
      <c r="J64" s="72"/>
      <c r="K64" s="72"/>
      <c r="L64" s="72"/>
      <c r="M64" s="72"/>
      <c r="N64" s="72"/>
      <c r="O64" s="72"/>
      <c r="P64" s="72"/>
      <c r="Q64" s="72"/>
      <c r="R64" s="72"/>
      <c r="S64" s="72"/>
      <c r="T64" s="72"/>
      <c r="U64" s="72"/>
      <c r="V64" s="72"/>
      <c r="W64" s="72"/>
      <c r="X64" s="72"/>
      <c r="Y64" s="72"/>
      <c r="Z64" s="7"/>
    </row>
    <row r="65" spans="3:26" ht="12.75" customHeight="1">
      <c r="C65" s="5"/>
      <c r="D65" s="54"/>
      <c r="E65" s="14" t="s">
        <v>167</v>
      </c>
      <c r="F65" s="72"/>
      <c r="G65" s="72"/>
      <c r="H65" s="72"/>
      <c r="I65" s="72"/>
      <c r="J65" s="72"/>
      <c r="K65" s="72"/>
      <c r="L65" s="72"/>
      <c r="M65" s="72"/>
      <c r="N65" s="72"/>
      <c r="O65" s="72"/>
      <c r="P65" s="72"/>
      <c r="Q65" s="72"/>
      <c r="R65" s="72"/>
      <c r="S65" s="72"/>
      <c r="T65" s="72"/>
      <c r="U65" s="72"/>
      <c r="V65" s="72"/>
      <c r="W65" s="72"/>
      <c r="X65" s="72"/>
      <c r="Y65" s="72"/>
      <c r="Z65" s="7"/>
    </row>
    <row r="66" spans="3:26" ht="12.75" customHeight="1">
      <c r="C66" s="5"/>
      <c r="D66" s="54"/>
      <c r="E66" s="138" t="s">
        <v>143</v>
      </c>
      <c r="F66" s="72">
        <f>F56*'Airside-Passenger'!$E27*((1+mafiagrow)^F$28)*'Airside-Passenger'!$E36</f>
        <v>0</v>
      </c>
      <c r="G66" s="72">
        <f>G56*'Airside-Passenger'!$E27*((1+mafiagrow)^G$28)*'Airside-Passenger'!$E36</f>
        <v>0</v>
      </c>
      <c r="H66" s="72">
        <f>H56*'Airside-Passenger'!$E27*((1+mafiagrow)^H$28)*'Airside-Passenger'!$E36</f>
        <v>0</v>
      </c>
      <c r="I66" s="72">
        <f>I56*'Airside-Passenger'!$E27*((1+mafiagrow)^I$28)*'Airside-Passenger'!$E36</f>
        <v>10616.649491467495</v>
      </c>
      <c r="J66" s="72">
        <f>J56*'Airside-Passenger'!$E27*((1+mafiagrow)^J$28)*'Airside-Passenger'!$E36</f>
        <v>13617.62241438897</v>
      </c>
      <c r="K66" s="72">
        <f>K56*'Airside-Passenger'!$E27*((1+mafiagrow)^K$28)*'Airside-Passenger'!$E36</f>
        <v>17082.063330641216</v>
      </c>
      <c r="L66" s="72">
        <f>L56*'Airside-Passenger'!$E27*((1+mafiagrow)^L$28)*'Airside-Passenger'!$E36</f>
        <v>21070.174701408825</v>
      </c>
      <c r="M66" s="72">
        <f>M56*'Airside-Passenger'!$E27*((1+mafiagrow)^M$28)*'Airside-Passenger'!$E36</f>
        <v>25649.363576336982</v>
      </c>
      <c r="N66" s="72">
        <f>N56*'Airside-Passenger'!$E27*((1+mafiagrow)^N$28)*'Airside-Passenger'!$E36</f>
        <v>30895.064195674884</v>
      </c>
      <c r="O66" s="72">
        <f>O56*'Airside-Passenger'!$E27*((1+mafiagrow)^O$28)*'Airside-Passenger'!$E36</f>
        <v>36891.65175082526</v>
      </c>
      <c r="P66" s="72">
        <f>P56*'Airside-Passenger'!$E27*((1+mafiagrow)^P$28)*'Airside-Passenger'!$E36</f>
        <v>43733.457202914506</v>
      </c>
      <c r="Q66" s="72">
        <f>Q56*'Airside-Passenger'!$E27*((1+mafiagrow)^Q$28)*'Airside-Passenger'!$E36</f>
        <v>51525.89411882258</v>
      </c>
      <c r="R66" s="72">
        <f>R56*'Airside-Passenger'!$E27*((1+mafiagrow)^R$28)*'Airside-Passenger'!$E36</f>
        <v>60386.70965622335</v>
      </c>
      <c r="S66" s="72">
        <f>S56*'Airside-Passenger'!$E27*((1+mafiagrow)^S$28)*'Airside-Passenger'!$E36</f>
        <v>70447.37312539204</v>
      </c>
      <c r="T66" s="72">
        <f>T56*'Airside-Passenger'!$E27*((1+mafiagrow)^T$28)*'Airside-Passenger'!$E36</f>
        <v>81854.61698887392</v>
      </c>
      <c r="U66" s="72">
        <f>U56*'Airside-Passenger'!$E27*((1+mafiagrow)^U$28)*'Airside-Passenger'!$E36</f>
        <v>94772.14674498037</v>
      </c>
      <c r="V66" s="72">
        <f>V56*'Airside-Passenger'!$E27*((1+mafiagrow)^V$28)*'Airside-Passenger'!$E36</f>
        <v>109382.53789339008</v>
      </c>
      <c r="W66" s="72">
        <f>W56*'Airside-Passenger'!$E27*((1+mafiagrow)^W$28)*'Airside-Passenger'!$E36</f>
        <v>125889.3401184496</v>
      </c>
      <c r="X66" s="72">
        <f>X56*'Airside-Passenger'!$E27*((1+mafiagrow)^X$28)*'Airside-Passenger'!$E36</f>
        <v>144519.41096748906</v>
      </c>
      <c r="Y66" s="72">
        <f>Y56*'Airside-Passenger'!$E27*((1+mafiagrow)^Y$28)*'Airside-Passenger'!$E36</f>
        <v>165525.50366901633</v>
      </c>
      <c r="Z66" s="7"/>
    </row>
    <row r="67" spans="3:26" ht="12.75" customHeight="1">
      <c r="C67" s="5"/>
      <c r="D67" s="54"/>
      <c r="E67" s="138" t="s">
        <v>142</v>
      </c>
      <c r="F67" s="72">
        <f>F57*'Airside-Passenger'!$E28*((1+mafiagrow)^F$28)*'Airside-Passenger'!$E37</f>
        <v>0</v>
      </c>
      <c r="G67" s="72">
        <f>G57*'Airside-Passenger'!$E28*((1+mafiagrow)^G$28)*'Airside-Passenger'!$E37</f>
        <v>0</v>
      </c>
      <c r="H67" s="72">
        <f>H57*'Airside-Passenger'!$E28*((1+mafiagrow)^H$28)*'Airside-Passenger'!$E37</f>
        <v>0</v>
      </c>
      <c r="I67" s="72">
        <f>I57*'Airside-Passenger'!$E28*((1+mafiagrow)^I$28)*'Airside-Passenger'!$E37</f>
        <v>303650.401535027</v>
      </c>
      <c r="J67" s="72">
        <f>J57*'Airside-Passenger'!$E28*((1+mafiagrow)^J$28)*'Airside-Passenger'!$E37</f>
        <v>389482.24836892844</v>
      </c>
      <c r="K67" s="72">
        <f>K57*'Airside-Passenger'!$E28*((1+mafiagrow)^K$28)*'Airside-Passenger'!$E37</f>
        <v>488569.9008491052</v>
      </c>
      <c r="L67" s="72">
        <f>L57*'Airside-Passenger'!$E28*((1+mafiagrow)^L$28)*'Airside-Passenger'!$E37</f>
        <v>602635.2300354232</v>
      </c>
      <c r="M67" s="72">
        <f>M57*'Airside-Passenger'!$E28*((1+mafiagrow)^M$28)*'Airside-Passenger'!$E37</f>
        <v>733606.1678717125</v>
      </c>
      <c r="N67" s="72">
        <f>N57*'Airside-Passenger'!$E28*((1+mafiagrow)^N$28)*'Airside-Passenger'!$E37</f>
        <v>883640.2347093399</v>
      </c>
      <c r="O67" s="72">
        <f>O57*'Airside-Passenger'!$E28*((1+mafiagrow)^O$28)*'Airside-Passenger'!$E37</f>
        <v>1055150.6740833418</v>
      </c>
      <c r="P67" s="72">
        <f>P57*'Airside-Passenger'!$E28*((1+mafiagrow)^P$28)*'Airside-Passenger'!$E37</f>
        <v>1250835.4778833666</v>
      </c>
      <c r="Q67" s="72">
        <f>Q57*'Airside-Passenger'!$E28*((1+mafiagrow)^Q$28)*'Airside-Passenger'!$E37</f>
        <v>1473709.6153740634</v>
      </c>
      <c r="R67" s="72">
        <f>R57*'Airside-Passenger'!$E28*((1+mafiagrow)^R$28)*'Airside-Passenger'!$E37</f>
        <v>1727140.8130435306</v>
      </c>
      <c r="S67" s="72">
        <f>S57*'Airside-Passenger'!$E28*((1+mafiagrow)^S$28)*'Airside-Passenger'!$E37</f>
        <v>2014889.2693316534</v>
      </c>
      <c r="T67" s="72">
        <f>T57*'Airside-Passenger'!$E28*((1+mafiagrow)^T$28)*'Airside-Passenger'!$E37</f>
        <v>2341151.729285529</v>
      </c>
      <c r="U67" s="72">
        <f>U57*'Airside-Passenger'!$E28*((1+mafiagrow)^U$28)*'Airside-Passenger'!$E37</f>
        <v>2710610.3895186656</v>
      </c>
      <c r="V67" s="72">
        <f>V57*'Airside-Passenger'!$E28*((1+mafiagrow)^V$28)*'Airside-Passenger'!$E37</f>
        <v>3128487.1539690653</v>
      </c>
      <c r="W67" s="72">
        <f>W57*'Airside-Passenger'!$E28*((1+mafiagrow)^W$28)*'Airside-Passenger'!$E37</f>
        <v>3600603.816361184</v>
      </c>
      <c r="X67" s="72">
        <f>X57*'Airside-Passenger'!$E28*((1+mafiagrow)^X$28)*'Airside-Passenger'!$E37</f>
        <v>4133448.806532831</v>
      </c>
      <c r="Y67" s="72">
        <f>Y57*'Airside-Passenger'!$E28*((1+mafiagrow)^Y$28)*'Airside-Passenger'!$E37</f>
        <v>4734251.205503156</v>
      </c>
      <c r="Z67" s="7"/>
    </row>
    <row r="68" spans="3:26" ht="12.75" customHeight="1">
      <c r="C68" s="5"/>
      <c r="D68" s="54"/>
      <c r="E68" s="138" t="s">
        <v>144</v>
      </c>
      <c r="F68" s="72">
        <f>F58*'Airside-Passenger'!$E29*((1+mafiagrow)^F$28)*'Airside-Passenger'!$E38</f>
        <v>0</v>
      </c>
      <c r="G68" s="72">
        <f>G58*'Airside-Passenger'!$E29*((1+mafiagrow)^G$28)*'Airside-Passenger'!$E38</f>
        <v>0</v>
      </c>
      <c r="H68" s="72">
        <f>H58*'Airside-Passenger'!$E29*((1+mafiagrow)^H$28)*'Airside-Passenger'!$E38</f>
        <v>0</v>
      </c>
      <c r="I68" s="72">
        <f>I58*'Airside-Passenger'!$E29*((1+mafiagrow)^I$28)*'Airside-Passenger'!$E38</f>
        <v>0</v>
      </c>
      <c r="J68" s="72">
        <f>J58*'Airside-Passenger'!$E29*((1+mafiagrow)^J$28)*'Airside-Passenger'!$E38</f>
        <v>0</v>
      </c>
      <c r="K68" s="72">
        <f>K58*'Airside-Passenger'!$E29*((1+mafiagrow)^K$28)*'Airside-Passenger'!$E38</f>
        <v>0</v>
      </c>
      <c r="L68" s="72">
        <f>L58*'Airside-Passenger'!$E29*((1+mafiagrow)^L$28)*'Airside-Passenger'!$E38</f>
        <v>0</v>
      </c>
      <c r="M68" s="72">
        <f>M58*'Airside-Passenger'!$E29*((1+mafiagrow)^M$28)*'Airside-Passenger'!$E38</f>
        <v>0</v>
      </c>
      <c r="N68" s="72">
        <f>N58*'Airside-Passenger'!$E29*((1+mafiagrow)^N$28)*'Airside-Passenger'!$E38</f>
        <v>0</v>
      </c>
      <c r="O68" s="72">
        <f>O58*'Airside-Passenger'!$E29*((1+mafiagrow)^O$28)*'Airside-Passenger'!$E38</f>
        <v>0</v>
      </c>
      <c r="P68" s="72">
        <f>P58*'Airside-Passenger'!$E29*((1+mafiagrow)^P$28)*'Airside-Passenger'!$E38</f>
        <v>0</v>
      </c>
      <c r="Q68" s="72">
        <f>Q58*'Airside-Passenger'!$E29*((1+mafiagrow)^Q$28)*'Airside-Passenger'!$E38</f>
        <v>0</v>
      </c>
      <c r="R68" s="72">
        <f>R58*'Airside-Passenger'!$E29*((1+mafiagrow)^R$28)*'Airside-Passenger'!$E38</f>
        <v>0</v>
      </c>
      <c r="S68" s="72">
        <f>S58*'Airside-Passenger'!$E29*((1+mafiagrow)^S$28)*'Airside-Passenger'!$E38</f>
        <v>0</v>
      </c>
      <c r="T68" s="72">
        <f>T58*'Airside-Passenger'!$E29*((1+mafiagrow)^T$28)*'Airside-Passenger'!$E38</f>
        <v>0</v>
      </c>
      <c r="U68" s="72">
        <f>U58*'Airside-Passenger'!$E29*((1+mafiagrow)^U$28)*'Airside-Passenger'!$E38</f>
        <v>0</v>
      </c>
      <c r="V68" s="72">
        <f>V58*'Airside-Passenger'!$E29*((1+mafiagrow)^V$28)*'Airside-Passenger'!$E38</f>
        <v>0</v>
      </c>
      <c r="W68" s="72">
        <f>W58*'Airside-Passenger'!$E29*((1+mafiagrow)^W$28)*'Airside-Passenger'!$E38</f>
        <v>0</v>
      </c>
      <c r="X68" s="72">
        <f>X58*'Airside-Passenger'!$E29*((1+mafiagrow)^X$28)*'Airside-Passenger'!$E38</f>
        <v>0</v>
      </c>
      <c r="Y68" s="72">
        <f>Y58*'Airside-Passenger'!$E29*((1+mafiagrow)^Y$28)*'Airside-Passenger'!$E38</f>
        <v>0</v>
      </c>
      <c r="Z68" s="7"/>
    </row>
    <row r="69" spans="3:26" ht="12.75" customHeight="1">
      <c r="C69" s="5"/>
      <c r="D69" s="54"/>
      <c r="E69" s="138" t="s">
        <v>145</v>
      </c>
      <c r="F69" s="72">
        <f>F59*'Airside-Passenger'!$E30*((1+mafiagrow)^F$28)*'Airside-Passenger'!$E39</f>
        <v>0</v>
      </c>
      <c r="G69" s="72">
        <f>G59*'Airside-Passenger'!$E30*((1+mafiagrow)^G$28)*'Airside-Passenger'!$E39</f>
        <v>0</v>
      </c>
      <c r="H69" s="72">
        <f>H59*'Airside-Passenger'!$E30*((1+mafiagrow)^H$28)*'Airside-Passenger'!$E39</f>
        <v>0</v>
      </c>
      <c r="I69" s="72">
        <f>I59*'Airside-Passenger'!$E30*((1+mafiagrow)^I$28)*'Airside-Passenger'!$E39</f>
        <v>303650.401535027</v>
      </c>
      <c r="J69" s="72">
        <f>J59*'Airside-Passenger'!$E30*((1+mafiagrow)^J$28)*'Airside-Passenger'!$E39</f>
        <v>389482.24836892844</v>
      </c>
      <c r="K69" s="72">
        <f>K59*'Airside-Passenger'!$E30*((1+mafiagrow)^K$28)*'Airside-Passenger'!$E39</f>
        <v>488569.9008491052</v>
      </c>
      <c r="L69" s="72">
        <f>L59*'Airside-Passenger'!$E30*((1+mafiagrow)^L$28)*'Airside-Passenger'!$E39</f>
        <v>602635.2300354232</v>
      </c>
      <c r="M69" s="72">
        <f>M59*'Airside-Passenger'!$E30*((1+mafiagrow)^M$28)*'Airside-Passenger'!$E39</f>
        <v>733606.1678717125</v>
      </c>
      <c r="N69" s="72">
        <f>N59*'Airside-Passenger'!$E30*((1+mafiagrow)^N$28)*'Airside-Passenger'!$E39</f>
        <v>883640.2347093399</v>
      </c>
      <c r="O69" s="72">
        <f>O59*'Airside-Passenger'!$E30*((1+mafiagrow)^O$28)*'Airside-Passenger'!$E39</f>
        <v>1055150.6740833418</v>
      </c>
      <c r="P69" s="72">
        <f>P59*'Airside-Passenger'!$E30*((1+mafiagrow)^P$28)*'Airside-Passenger'!$E39</f>
        <v>1250835.4778833666</v>
      </c>
      <c r="Q69" s="72">
        <f>Q59*'Airside-Passenger'!$E30*((1+mafiagrow)^Q$28)*'Airside-Passenger'!$E39</f>
        <v>1473709.6153740634</v>
      </c>
      <c r="R69" s="72">
        <f>R59*'Airside-Passenger'!$E30*((1+mafiagrow)^R$28)*'Airside-Passenger'!$E39</f>
        <v>1727140.8130435306</v>
      </c>
      <c r="S69" s="72">
        <f>S59*'Airside-Passenger'!$E30*((1+mafiagrow)^S$28)*'Airside-Passenger'!$E39</f>
        <v>2014889.2693316534</v>
      </c>
      <c r="T69" s="72">
        <f>T59*'Airside-Passenger'!$E30*((1+mafiagrow)^T$28)*'Airside-Passenger'!$E39</f>
        <v>2341151.729285529</v>
      </c>
      <c r="U69" s="72">
        <f>U59*'Airside-Passenger'!$E30*((1+mafiagrow)^U$28)*'Airside-Passenger'!$E39</f>
        <v>2710610.3895186656</v>
      </c>
      <c r="V69" s="72">
        <f>V59*'Airside-Passenger'!$E30*((1+mafiagrow)^V$28)*'Airside-Passenger'!$E39</f>
        <v>3128487.1539690653</v>
      </c>
      <c r="W69" s="72">
        <f>W59*'Airside-Passenger'!$E30*((1+mafiagrow)^W$28)*'Airside-Passenger'!$E39</f>
        <v>3600603.816361184</v>
      </c>
      <c r="X69" s="72">
        <f>X59*'Airside-Passenger'!$E30*((1+mafiagrow)^X$28)*'Airside-Passenger'!$E39</f>
        <v>4133448.806532831</v>
      </c>
      <c r="Y69" s="72">
        <f>Y59*'Airside-Passenger'!$E30*((1+mafiagrow)^Y$28)*'Airside-Passenger'!$E39</f>
        <v>4734251.205503156</v>
      </c>
      <c r="Z69" s="7"/>
    </row>
    <row r="70" spans="3:26" ht="12.75" customHeight="1">
      <c r="C70" s="5"/>
      <c r="D70" s="54"/>
      <c r="E70" s="138" t="s">
        <v>146</v>
      </c>
      <c r="F70" s="72">
        <f>F60*'Airside-Passenger'!$E31*((1+mafiagrow)^F$28)*'Airside-Passenger'!$E40</f>
        <v>0</v>
      </c>
      <c r="G70" s="72">
        <f>G60*'Airside-Passenger'!$E31*((1+mafiagrow)^G$28)*'Airside-Passenger'!$E40</f>
        <v>0</v>
      </c>
      <c r="H70" s="72">
        <f>H60*'Airside-Passenger'!$E31*((1+mafiagrow)^H$28)*'Airside-Passenger'!$E40</f>
        <v>0</v>
      </c>
      <c r="I70" s="72">
        <f>I60*'Airside-Passenger'!$E31*((1+mafiagrow)^I$28)*'Airside-Passenger'!$E40</f>
        <v>0</v>
      </c>
      <c r="J70" s="72">
        <f>J60*'Airside-Passenger'!$E31*((1+mafiagrow)^J$28)*'Airside-Passenger'!$E40</f>
        <v>0</v>
      </c>
      <c r="K70" s="72">
        <f>K60*'Airside-Passenger'!$E31*((1+mafiagrow)^K$28)*'Airside-Passenger'!$E40</f>
        <v>0</v>
      </c>
      <c r="L70" s="72">
        <f>L60*'Airside-Passenger'!$E31*((1+mafiagrow)^L$28)*'Airside-Passenger'!$E40</f>
        <v>0</v>
      </c>
      <c r="M70" s="72">
        <f>M60*'Airside-Passenger'!$E31*((1+mafiagrow)^M$28)*'Airside-Passenger'!$E40</f>
        <v>0</v>
      </c>
      <c r="N70" s="72">
        <f>N60*'Airside-Passenger'!$E31*((1+mafiagrow)^N$28)*'Airside-Passenger'!$E40</f>
        <v>0</v>
      </c>
      <c r="O70" s="72">
        <f>O60*'Airside-Passenger'!$E31*((1+mafiagrow)^O$28)*'Airside-Passenger'!$E40</f>
        <v>0</v>
      </c>
      <c r="P70" s="72">
        <f>P60*'Airside-Passenger'!$E31*((1+mafiagrow)^P$28)*'Airside-Passenger'!$E40</f>
        <v>0</v>
      </c>
      <c r="Q70" s="72">
        <f>Q60*'Airside-Passenger'!$E31*((1+mafiagrow)^Q$28)*'Airside-Passenger'!$E40</f>
        <v>0</v>
      </c>
      <c r="R70" s="72">
        <f>R60*'Airside-Passenger'!$E31*((1+mafiagrow)^R$28)*'Airside-Passenger'!$E40</f>
        <v>0</v>
      </c>
      <c r="S70" s="72">
        <f>S60*'Airside-Passenger'!$E31*((1+mafiagrow)^S$28)*'Airside-Passenger'!$E40</f>
        <v>0</v>
      </c>
      <c r="T70" s="72">
        <f>T60*'Airside-Passenger'!$E31*((1+mafiagrow)^T$28)*'Airside-Passenger'!$E40</f>
        <v>0</v>
      </c>
      <c r="U70" s="72">
        <f>U60*'Airside-Passenger'!$E31*((1+mafiagrow)^U$28)*'Airside-Passenger'!$E40</f>
        <v>0</v>
      </c>
      <c r="V70" s="72">
        <f>V60*'Airside-Passenger'!$E31*((1+mafiagrow)^V$28)*'Airside-Passenger'!$E40</f>
        <v>0</v>
      </c>
      <c r="W70" s="72">
        <f>W60*'Airside-Passenger'!$E31*((1+mafiagrow)^W$28)*'Airside-Passenger'!$E40</f>
        <v>0</v>
      </c>
      <c r="X70" s="72">
        <f>X60*'Airside-Passenger'!$E31*((1+mafiagrow)^X$28)*'Airside-Passenger'!$E40</f>
        <v>0</v>
      </c>
      <c r="Y70" s="72">
        <f>Y60*'Airside-Passenger'!$E31*((1+mafiagrow)^Y$28)*'Airside-Passenger'!$E40</f>
        <v>0</v>
      </c>
      <c r="Z70" s="7"/>
    </row>
    <row r="71" spans="3:26" ht="12.75" customHeight="1">
      <c r="C71" s="5"/>
      <c r="D71" s="54"/>
      <c r="E71" s="138" t="s">
        <v>147</v>
      </c>
      <c r="F71" s="72">
        <f>F61*'Airside-Passenger'!$E32*((1+mafiagrow)^F$28)*'Airside-Passenger'!$E41</f>
        <v>0</v>
      </c>
      <c r="G71" s="72">
        <f>G61*'Airside-Passenger'!$E32*((1+mafiagrow)^G$28)*'Airside-Passenger'!$E41</f>
        <v>0</v>
      </c>
      <c r="H71" s="72">
        <f>H61*'Airside-Passenger'!$E32*((1+mafiagrow)^H$28)*'Airside-Passenger'!$E41</f>
        <v>0</v>
      </c>
      <c r="I71" s="72">
        <f>I61*'Airside-Passenger'!$E32*((1+mafiagrow)^I$28)*'Airside-Passenger'!$E41</f>
        <v>129684.02565558447</v>
      </c>
      <c r="J71" s="72">
        <f>J61*'Airside-Passenger'!$E32*((1+mafiagrow)^J$28)*'Airside-Passenger'!$E41</f>
        <v>166341.37690756316</v>
      </c>
      <c r="K71" s="72">
        <f>K61*'Airside-Passenger'!$E32*((1+mafiagrow)^K$28)*'Airside-Passenger'!$E41</f>
        <v>208660.06182097204</v>
      </c>
      <c r="L71" s="72">
        <f>L61*'Airside-Passenger'!$E32*((1+mafiagrow)^L$28)*'Airside-Passenger'!$E41</f>
        <v>257375.46282762865</v>
      </c>
      <c r="M71" s="72">
        <f>M61*'Airside-Passenger'!$E32*((1+mafiagrow)^M$28)*'Airside-Passenger'!$E41</f>
        <v>313310.9675285439</v>
      </c>
      <c r="N71" s="72">
        <f>N61*'Airside-Passenger'!$E32*((1+mafiagrow)^N$28)*'Airside-Passenger'!$E41</f>
        <v>377388.0169071139</v>
      </c>
      <c r="O71" s="72">
        <f>O61*'Airside-Passenger'!$E32*((1+mafiagrow)^O$28)*'Airside-Passenger'!$E41</f>
        <v>450637.2670564272</v>
      </c>
      <c r="P71" s="72">
        <f>P61*'Airside-Passenger'!$E32*((1+mafiagrow)^P$28)*'Airside-Passenger'!$E41</f>
        <v>534210.9853460211</v>
      </c>
      <c r="Q71" s="72">
        <f>Q61*'Airside-Passenger'!$E32*((1+mafiagrow)^Q$28)*'Airside-Passenger'!$E41</f>
        <v>629396.8148993396</v>
      </c>
      <c r="R71" s="72">
        <f>R61*'Airside-Passenger'!$E32*((1+mafiagrow)^R$28)*'Airside-Passenger'!$E41</f>
        <v>737633.0555706747</v>
      </c>
      <c r="S71" s="72">
        <f>S61*'Airside-Passenger'!$E32*((1+mafiagrow)^S$28)*'Airside-Passenger'!$E41</f>
        <v>860525.625443727</v>
      </c>
      <c r="T71" s="72">
        <f>T61*'Airside-Passenger'!$E32*((1+mafiagrow)^T$28)*'Airside-Passenger'!$E41</f>
        <v>999866.8843823613</v>
      </c>
      <c r="U71" s="72">
        <f>U61*'Airside-Passenger'!$E32*((1+mafiagrow)^U$28)*'Airside-Passenger'!$E41</f>
        <v>1157656.5205235968</v>
      </c>
      <c r="V71" s="72">
        <f>V61*'Airside-Passenger'!$E32*((1+mafiagrow)^V$28)*'Airside-Passenger'!$E41</f>
        <v>1336124.7220076215</v>
      </c>
      <c r="W71" s="72">
        <f>W61*'Airside-Passenger'!$E32*((1+mafiagrow)^W$28)*'Airside-Passenger'!$E41</f>
        <v>1537757.8799042557</v>
      </c>
      <c r="X71" s="72">
        <f>X61*'Airside-Passenger'!$E32*((1+mafiagrow)^X$28)*'Airside-Passenger'!$E41</f>
        <v>1765327.0944567297</v>
      </c>
      <c r="Y71" s="72">
        <f>Y61*'Airside-Passenger'!$E32*((1+mafiagrow)^Y$28)*'Airside-Passenger'!$E41</f>
        <v>2021919.7856836398</v>
      </c>
      <c r="Z71" s="7"/>
    </row>
    <row r="72" spans="3:26" ht="12.75" customHeight="1">
      <c r="C72" s="5"/>
      <c r="D72" s="54"/>
      <c r="E72" s="138" t="s">
        <v>148</v>
      </c>
      <c r="F72" s="72">
        <f>F62*'Airside-Passenger'!$E33*((1+mafiagrow)^F$28)*'Airside-Passenger'!$E42</f>
        <v>0</v>
      </c>
      <c r="G72" s="72">
        <f>G62*'Airside-Passenger'!$E33*((1+mafiagrow)^G$28)*'Airside-Passenger'!$E42</f>
        <v>0</v>
      </c>
      <c r="H72" s="72">
        <f>H62*'Airside-Passenger'!$E33*((1+mafiagrow)^H$28)*'Airside-Passenger'!$E42</f>
        <v>0</v>
      </c>
      <c r="I72" s="72">
        <f>I62*'Airside-Passenger'!$E33*((1+mafiagrow)^I$28)*'Airside-Passenger'!$E42</f>
        <v>0</v>
      </c>
      <c r="J72" s="72">
        <f>J62*'Airside-Passenger'!$E33*((1+mafiagrow)^J$28)*'Airside-Passenger'!$E42</f>
        <v>0</v>
      </c>
      <c r="K72" s="72">
        <f>K62*'Airside-Passenger'!$E33*((1+mafiagrow)^K$28)*'Airside-Passenger'!$E42</f>
        <v>0</v>
      </c>
      <c r="L72" s="72">
        <f>L62*'Airside-Passenger'!$E33*((1+mafiagrow)^L$28)*'Airside-Passenger'!$E42</f>
        <v>0</v>
      </c>
      <c r="M72" s="72">
        <f>M62*'Airside-Passenger'!$E33*((1+mafiagrow)^M$28)*'Airside-Passenger'!$E42</f>
        <v>0</v>
      </c>
      <c r="N72" s="72">
        <f>N62*'Airside-Passenger'!$E33*((1+mafiagrow)^N$28)*'Airside-Passenger'!$E42</f>
        <v>0</v>
      </c>
      <c r="O72" s="72">
        <f>O62*'Airside-Passenger'!$E33*((1+mafiagrow)^O$28)*'Airside-Passenger'!$E42</f>
        <v>0</v>
      </c>
      <c r="P72" s="72">
        <f>P62*'Airside-Passenger'!$E33*((1+mafiagrow)^P$28)*'Airside-Passenger'!$E42</f>
        <v>0</v>
      </c>
      <c r="Q72" s="72">
        <f>Q62*'Airside-Passenger'!$E33*((1+mafiagrow)^Q$28)*'Airside-Passenger'!$E42</f>
        <v>0</v>
      </c>
      <c r="R72" s="72">
        <f>R62*'Airside-Passenger'!$E33*((1+mafiagrow)^R$28)*'Airside-Passenger'!$E42</f>
        <v>0</v>
      </c>
      <c r="S72" s="72">
        <f>S62*'Airside-Passenger'!$E33*((1+mafiagrow)^S$28)*'Airside-Passenger'!$E42</f>
        <v>0</v>
      </c>
      <c r="T72" s="72">
        <f>T62*'Airside-Passenger'!$E33*((1+mafiagrow)^T$28)*'Airside-Passenger'!$E42</f>
        <v>0</v>
      </c>
      <c r="U72" s="72">
        <f>U62*'Airside-Passenger'!$E33*((1+mafiagrow)^U$28)*'Airside-Passenger'!$E42</f>
        <v>0</v>
      </c>
      <c r="V72" s="72">
        <f>V62*'Airside-Passenger'!$E33*((1+mafiagrow)^V$28)*'Airside-Passenger'!$E42</f>
        <v>0</v>
      </c>
      <c r="W72" s="72">
        <f>W62*'Airside-Passenger'!$E33*((1+mafiagrow)^W$28)*'Airside-Passenger'!$E42</f>
        <v>0</v>
      </c>
      <c r="X72" s="72">
        <f>X62*'Airside-Passenger'!$E33*((1+mafiagrow)^X$28)*'Airside-Passenger'!$E42</f>
        <v>0</v>
      </c>
      <c r="Y72" s="72">
        <f>Y62*'Airside-Passenger'!$E33*((1+mafiagrow)^Y$28)*'Airside-Passenger'!$E42</f>
        <v>0</v>
      </c>
      <c r="Z72" s="7"/>
    </row>
    <row r="73" spans="3:26" ht="12.75" customHeight="1">
      <c r="C73" s="5"/>
      <c r="D73" s="54"/>
      <c r="E73" s="14" t="s">
        <v>130</v>
      </c>
      <c r="F73" s="72">
        <f>SUM(F66:F72)</f>
        <v>0</v>
      </c>
      <c r="G73" s="72">
        <f>SUM(G66:G72)-G69</f>
        <v>0</v>
      </c>
      <c r="H73" s="72">
        <f aca="true" t="shared" si="8" ref="H73:Y73">SUM(H66:H72)-H69</f>
        <v>0</v>
      </c>
      <c r="I73" s="72">
        <f t="shared" si="8"/>
        <v>443951.07668207906</v>
      </c>
      <c r="J73" s="72">
        <f t="shared" si="8"/>
        <v>569441.2476908806</v>
      </c>
      <c r="K73" s="72">
        <f t="shared" si="8"/>
        <v>714312.0260007185</v>
      </c>
      <c r="L73" s="72">
        <f t="shared" si="8"/>
        <v>881080.8675644606</v>
      </c>
      <c r="M73" s="72">
        <f t="shared" si="8"/>
        <v>1072566.4989765934</v>
      </c>
      <c r="N73" s="72">
        <f t="shared" si="8"/>
        <v>1291923.3158121288</v>
      </c>
      <c r="O73" s="72">
        <f t="shared" si="8"/>
        <v>1542679.5928905942</v>
      </c>
      <c r="P73" s="72">
        <f t="shared" si="8"/>
        <v>1828779.9204323024</v>
      </c>
      <c r="Q73" s="72">
        <f t="shared" si="8"/>
        <v>2154632.3243922256</v>
      </c>
      <c r="R73" s="72">
        <f t="shared" si="8"/>
        <v>2525160.5782704293</v>
      </c>
      <c r="S73" s="72">
        <f t="shared" si="8"/>
        <v>2945862.2679007724</v>
      </c>
      <c r="T73" s="72">
        <f t="shared" si="8"/>
        <v>3422873.2306567645</v>
      </c>
      <c r="U73" s="72">
        <f t="shared" si="8"/>
        <v>3963039.0567872426</v>
      </c>
      <c r="V73" s="72">
        <f t="shared" si="8"/>
        <v>4573994.413870077</v>
      </c>
      <c r="W73" s="72">
        <f t="shared" si="8"/>
        <v>5264251.036383889</v>
      </c>
      <c r="X73" s="72">
        <f t="shared" si="8"/>
        <v>6043295.311957051</v>
      </c>
      <c r="Y73" s="72">
        <f t="shared" si="8"/>
        <v>6921696.494855812</v>
      </c>
      <c r="Z73" s="7"/>
    </row>
    <row r="74" spans="3:26" ht="12.75" customHeight="1">
      <c r="C74" s="5"/>
      <c r="D74" s="54"/>
      <c r="E74" s="75"/>
      <c r="F74" s="15"/>
      <c r="G74" s="15"/>
      <c r="H74" s="15"/>
      <c r="I74" s="15"/>
      <c r="J74" s="15"/>
      <c r="K74" s="15"/>
      <c r="L74" s="15"/>
      <c r="M74" s="15"/>
      <c r="N74" s="15"/>
      <c r="O74" s="15"/>
      <c r="P74" s="15"/>
      <c r="Q74" s="15"/>
      <c r="R74" s="15"/>
      <c r="S74" s="15"/>
      <c r="T74" s="15"/>
      <c r="U74" s="15"/>
      <c r="V74" s="15"/>
      <c r="W74" s="15"/>
      <c r="X74" s="15"/>
      <c r="Y74" s="15"/>
      <c r="Z74" s="7"/>
    </row>
    <row r="75" spans="3:26" ht="12.75" customHeight="1">
      <c r="C75" s="5"/>
      <c r="D75" s="54" t="s">
        <v>8</v>
      </c>
      <c r="E75" s="14" t="s">
        <v>189</v>
      </c>
      <c r="F75" s="72"/>
      <c r="G75" s="72"/>
      <c r="H75" s="72"/>
      <c r="I75" s="72"/>
      <c r="J75" s="72"/>
      <c r="K75" s="72"/>
      <c r="L75" s="72"/>
      <c r="M75" s="72"/>
      <c r="N75" s="72"/>
      <c r="O75" s="72"/>
      <c r="P75" s="72"/>
      <c r="Q75" s="72"/>
      <c r="R75" s="72"/>
      <c r="S75" s="72"/>
      <c r="T75" s="72"/>
      <c r="U75" s="72"/>
      <c r="V75" s="72"/>
      <c r="W75" s="72"/>
      <c r="X75" s="72"/>
      <c r="Y75" s="72"/>
      <c r="Z75" s="7"/>
    </row>
    <row r="76" spans="3:26" ht="12.75" customHeight="1">
      <c r="C76" s="5"/>
      <c r="D76" s="54"/>
      <c r="E76" s="14" t="s">
        <v>190</v>
      </c>
      <c r="F76" s="383"/>
      <c r="G76" s="383"/>
      <c r="H76" s="383"/>
      <c r="I76" s="383"/>
      <c r="J76" s="383"/>
      <c r="K76" s="383"/>
      <c r="L76" s="383"/>
      <c r="M76" s="383"/>
      <c r="N76" s="383"/>
      <c r="O76" s="383"/>
      <c r="P76" s="383"/>
      <c r="Q76" s="383"/>
      <c r="R76" s="383"/>
      <c r="S76" s="383"/>
      <c r="T76" s="383"/>
      <c r="U76" s="383"/>
      <c r="V76" s="383"/>
      <c r="W76" s="383"/>
      <c r="X76" s="383"/>
      <c r="Y76" s="383"/>
      <c r="Z76" s="70"/>
    </row>
    <row r="77" spans="3:26" ht="12.75" customHeight="1">
      <c r="C77" s="5"/>
      <c r="D77" s="54"/>
      <c r="E77" s="8" t="s">
        <v>202</v>
      </c>
      <c r="F77" s="383">
        <f>F78+F79</f>
        <v>0</v>
      </c>
      <c r="G77" s="383">
        <f>G78+G79</f>
        <v>0</v>
      </c>
      <c r="H77" s="383">
        <f>H78+H79</f>
        <v>0</v>
      </c>
      <c r="I77" s="383">
        <f aca="true" t="shared" si="9" ref="I77:Y77">I78+I79</f>
        <v>0</v>
      </c>
      <c r="J77" s="383">
        <f t="shared" si="9"/>
        <v>0</v>
      </c>
      <c r="K77" s="383">
        <f t="shared" si="9"/>
        <v>0</v>
      </c>
      <c r="L77" s="383">
        <f t="shared" si="9"/>
        <v>0</v>
      </c>
      <c r="M77" s="383">
        <f t="shared" si="9"/>
        <v>0</v>
      </c>
      <c r="N77" s="383">
        <f t="shared" si="9"/>
        <v>0</v>
      </c>
      <c r="O77" s="383">
        <f t="shared" si="9"/>
        <v>0</v>
      </c>
      <c r="P77" s="383">
        <f t="shared" si="9"/>
        <v>0</v>
      </c>
      <c r="Q77" s="383">
        <f t="shared" si="9"/>
        <v>0</v>
      </c>
      <c r="R77" s="383">
        <f t="shared" si="9"/>
        <v>0</v>
      </c>
      <c r="S77" s="383">
        <f t="shared" si="9"/>
        <v>0</v>
      </c>
      <c r="T77" s="383">
        <f t="shared" si="9"/>
        <v>0</v>
      </c>
      <c r="U77" s="383">
        <f t="shared" si="9"/>
        <v>0</v>
      </c>
      <c r="V77" s="383">
        <f t="shared" si="9"/>
        <v>0</v>
      </c>
      <c r="W77" s="383">
        <f t="shared" si="9"/>
        <v>0</v>
      </c>
      <c r="X77" s="383">
        <f t="shared" si="9"/>
        <v>0</v>
      </c>
      <c r="Y77" s="383">
        <f t="shared" si="9"/>
        <v>0</v>
      </c>
      <c r="Z77" s="70"/>
    </row>
    <row r="78" spans="3:26" ht="12.75" customHeight="1">
      <c r="C78" s="5"/>
      <c r="D78" s="54"/>
      <c r="E78" s="8" t="s">
        <v>201</v>
      </c>
      <c r="F78" s="383">
        <f>'Airside-Freight'!G10</f>
        <v>0</v>
      </c>
      <c r="G78" s="383">
        <f>IF($J$20=1,(1+'Benefit Profile'!$D34+'Benefit Profile'!$E34)*F78,IF($J$20=2,(1+'Benefit Profile'!$F34+'Benefit Profile'!$G34)*F78,(1+'Benefit Profile'!$H34+'Benefit Profile'!$I34)*F78))</f>
        <v>0</v>
      </c>
      <c r="H78" s="383">
        <f>IF($J$20=1,(1+'Benefit Profile'!$E34)*G78,IF($J$20=2,(1+'Benefit Profile'!$G34)*G78,(1+'Benefit Profile'!$I34)*G78))</f>
        <v>0</v>
      </c>
      <c r="I78" s="383">
        <f>IF($J$20=1,(1+'Benefit Profile'!$E34)*H78,IF($J$20=2,(1+'Benefit Profile'!$G34)*H78,(1+'Benefit Profile'!$I34)*H78))</f>
        <v>0</v>
      </c>
      <c r="J78" s="383">
        <f>IF($J$20=1,(1+'Benefit Profile'!$E34)*I78,IF($J$20=2,(1+'Benefit Profile'!$G34)*I78,(1+'Benefit Profile'!$I34)*I78))</f>
        <v>0</v>
      </c>
      <c r="K78" s="383">
        <f>IF($J$20=1,(1+'Benefit Profile'!$E34)*J78,IF($J$20=2,(1+'Benefit Profile'!$G34)*J78,(1+'Benefit Profile'!$I34)*J78))</f>
        <v>0</v>
      </c>
      <c r="L78" s="383">
        <f>IF($J$20=1,(1+'Benefit Profile'!$E34)*K78,IF($J$20=2,(1+'Benefit Profile'!$G34)*K78,(1+'Benefit Profile'!$I34)*K78))</f>
        <v>0</v>
      </c>
      <c r="M78" s="383">
        <f>IF($J$20=1,(1+'Benefit Profile'!$E34)*L78,IF($J$20=2,(1+'Benefit Profile'!$G34)*L78,(1+'Benefit Profile'!$I34)*L78))</f>
        <v>0</v>
      </c>
      <c r="N78" s="383">
        <f>IF($J$20=1,(1+'Benefit Profile'!$E34)*M78,IF($J$20=2,(1+'Benefit Profile'!$G34)*M78,(1+'Benefit Profile'!$I34)*M78))</f>
        <v>0</v>
      </c>
      <c r="O78" s="383">
        <f>IF($J$20=1,(1+'Benefit Profile'!$E34)*N78,IF($J$20=2,(1+'Benefit Profile'!$G34)*N78,(1+'Benefit Profile'!$I34)*N78))</f>
        <v>0</v>
      </c>
      <c r="P78" s="383">
        <f>IF($J$20=1,(1+'Benefit Profile'!$E34)*O78,IF($J$20=2,(1+'Benefit Profile'!$G34)*O78,(1+'Benefit Profile'!$I34)*O78))</f>
        <v>0</v>
      </c>
      <c r="Q78" s="383">
        <f>IF($J$20=1,(1+'Benefit Profile'!$E34)*P78,IF($J$20=2,(1+'Benefit Profile'!$G34)*P78,(1+'Benefit Profile'!$I34)*P78))</f>
        <v>0</v>
      </c>
      <c r="R78" s="383">
        <f>IF($J$20=1,(1+'Benefit Profile'!$E34)*Q78,IF($J$20=2,(1+'Benefit Profile'!$G34)*Q78,(1+'Benefit Profile'!$I34)*Q78))</f>
        <v>0</v>
      </c>
      <c r="S78" s="383">
        <f>IF($J$20=1,(1+'Benefit Profile'!$E34)*R78,IF($J$20=2,(1+'Benefit Profile'!$G34)*R78,(1+'Benefit Profile'!$I34)*R78))</f>
        <v>0</v>
      </c>
      <c r="T78" s="383">
        <f>IF($J$20=1,(1+'Benefit Profile'!$E34)*S78,IF($J$20=2,(1+'Benefit Profile'!$G34)*S78,(1+'Benefit Profile'!$I34)*S78))</f>
        <v>0</v>
      </c>
      <c r="U78" s="383">
        <f>IF($J$20=1,(1+'Benefit Profile'!$E34)*T78,IF($J$20=2,(1+'Benefit Profile'!$G34)*T78,(1+'Benefit Profile'!$I34)*T78))</f>
        <v>0</v>
      </c>
      <c r="V78" s="383">
        <f>IF($J$20=1,(1+'Benefit Profile'!$E34)*U78,IF($J$20=2,(1+'Benefit Profile'!$G34)*U78,(1+'Benefit Profile'!$I34)*U78))</f>
        <v>0</v>
      </c>
      <c r="W78" s="383">
        <f>IF($J$20=1,(1+'Benefit Profile'!$E34)*V78,IF($J$20=2,(1+'Benefit Profile'!$G34)*V78,(1+'Benefit Profile'!$I34)*V78))</f>
        <v>0</v>
      </c>
      <c r="X78" s="383">
        <f>IF($J$20=1,(1+'Benefit Profile'!$E34)*W78,IF($J$20=2,(1+'Benefit Profile'!$G34)*W78,(1+'Benefit Profile'!$I34)*W78))</f>
        <v>0</v>
      </c>
      <c r="Y78" s="383">
        <f>IF($J$20=1,(1+'Benefit Profile'!$E34)*X78,IF($J$20=2,(1+'Benefit Profile'!$G34)*X78,(1+'Benefit Profile'!$I34)*X78))</f>
        <v>0</v>
      </c>
      <c r="Z78" s="70"/>
    </row>
    <row r="79" spans="3:26" ht="12.75" customHeight="1">
      <c r="C79" s="5"/>
      <c r="D79" s="54"/>
      <c r="E79" s="8" t="s">
        <v>185</v>
      </c>
      <c r="F79" s="383">
        <f>'Airside-Freight'!G11</f>
        <v>0</v>
      </c>
      <c r="G79" s="383">
        <f>IF($J$20=1,(1+'Benefit Profile'!$D35+'Benefit Profile'!$E35)*F79,IF($J$20=2,(1+'Benefit Profile'!$F35+'Benefit Profile'!$G35)*F79,(1+'Benefit Profile'!$H35+'Benefit Profile'!$I35)*F79))</f>
        <v>0</v>
      </c>
      <c r="H79" s="383">
        <f>IF($J$20=1,(1+'Benefit Profile'!$E35)*G79,IF($J$20=2,(1+'Benefit Profile'!$G35)*G79,(1+'Benefit Profile'!$I35)*G79))</f>
        <v>0</v>
      </c>
      <c r="I79" s="383">
        <f>IF($J$20=1,(1+'Benefit Profile'!$E35)*H79,IF($J$20=2,(1+'Benefit Profile'!$G35)*H79,(1+'Benefit Profile'!$I35)*H79))</f>
        <v>0</v>
      </c>
      <c r="J79" s="383">
        <f>IF($J$20=1,(1+'Benefit Profile'!$E35)*I79,IF($J$20=2,(1+'Benefit Profile'!$G35)*I79,(1+'Benefit Profile'!$I35)*I79))</f>
        <v>0</v>
      </c>
      <c r="K79" s="383">
        <f>IF($J$20=1,(1+'Benefit Profile'!$E35)*J79,IF($J$20=2,(1+'Benefit Profile'!$G35)*J79,(1+'Benefit Profile'!$I35)*J79))</f>
        <v>0</v>
      </c>
      <c r="L79" s="383">
        <f>IF($J$20=1,(1+'Benefit Profile'!$E35)*K79,IF($J$20=2,(1+'Benefit Profile'!$G35)*K79,(1+'Benefit Profile'!$I35)*K79))</f>
        <v>0</v>
      </c>
      <c r="M79" s="383">
        <f>IF($J$20=1,(1+'Benefit Profile'!$E35)*L79,IF($J$20=2,(1+'Benefit Profile'!$G35)*L79,(1+'Benefit Profile'!$I35)*L79))</f>
        <v>0</v>
      </c>
      <c r="N79" s="383">
        <f>IF($J$20=1,(1+'Benefit Profile'!$E35)*M79,IF($J$20=2,(1+'Benefit Profile'!$G35)*M79,(1+'Benefit Profile'!$I35)*M79))</f>
        <v>0</v>
      </c>
      <c r="O79" s="383">
        <f>IF($J$20=1,(1+'Benefit Profile'!$E35)*N79,IF($J$20=2,(1+'Benefit Profile'!$G35)*N79,(1+'Benefit Profile'!$I35)*N79))</f>
        <v>0</v>
      </c>
      <c r="P79" s="383">
        <f>IF($J$20=1,(1+'Benefit Profile'!$E35)*O79,IF($J$20=2,(1+'Benefit Profile'!$G35)*O79,(1+'Benefit Profile'!$I35)*O79))</f>
        <v>0</v>
      </c>
      <c r="Q79" s="383">
        <f>IF($J$20=1,(1+'Benefit Profile'!$E35)*P79,IF($J$20=2,(1+'Benefit Profile'!$G35)*P79,(1+'Benefit Profile'!$I35)*P79))</f>
        <v>0</v>
      </c>
      <c r="R79" s="383">
        <f>IF($J$20=1,(1+'Benefit Profile'!$E35)*Q79,IF($J$20=2,(1+'Benefit Profile'!$G35)*Q79,(1+'Benefit Profile'!$I35)*Q79))</f>
        <v>0</v>
      </c>
      <c r="S79" s="383">
        <f>IF($J$20=1,(1+'Benefit Profile'!$E35)*R79,IF($J$20=2,(1+'Benefit Profile'!$G35)*R79,(1+'Benefit Profile'!$I35)*R79))</f>
        <v>0</v>
      </c>
      <c r="T79" s="383">
        <f>IF($J$20=1,(1+'Benefit Profile'!$E35)*S79,IF($J$20=2,(1+'Benefit Profile'!$G35)*S79,(1+'Benefit Profile'!$I35)*S79))</f>
        <v>0</v>
      </c>
      <c r="U79" s="383">
        <f>IF($J$20=1,(1+'Benefit Profile'!$E35)*T79,IF($J$20=2,(1+'Benefit Profile'!$G35)*T79,(1+'Benefit Profile'!$I35)*T79))</f>
        <v>0</v>
      </c>
      <c r="V79" s="383">
        <f>IF($J$20=1,(1+'Benefit Profile'!$E35)*U79,IF($J$20=2,(1+'Benefit Profile'!$G35)*U79,(1+'Benefit Profile'!$I35)*U79))</f>
        <v>0</v>
      </c>
      <c r="W79" s="383">
        <f>IF($J$20=1,(1+'Benefit Profile'!$E35)*V79,IF($J$20=2,(1+'Benefit Profile'!$G35)*V79,(1+'Benefit Profile'!$I35)*V79))</f>
        <v>0</v>
      </c>
      <c r="X79" s="383">
        <f>IF($J$20=1,(1+'Benefit Profile'!$E35)*W79,IF($J$20=2,(1+'Benefit Profile'!$G35)*W79,(1+'Benefit Profile'!$I35)*W79))</f>
        <v>0</v>
      </c>
      <c r="Y79" s="383">
        <f>IF($J$20=1,(1+'Benefit Profile'!$E35)*X79,IF($J$20=2,(1+'Benefit Profile'!$G35)*X79,(1+'Benefit Profile'!$I35)*X79))</f>
        <v>0</v>
      </c>
      <c r="Z79" s="70"/>
    </row>
    <row r="80" spans="3:26" ht="12.75" customHeight="1">
      <c r="C80" s="5"/>
      <c r="D80" s="54"/>
      <c r="E80" s="8" t="s">
        <v>203</v>
      </c>
      <c r="F80" s="383">
        <f>F81+F82</f>
        <v>80.6</v>
      </c>
      <c r="G80" s="383">
        <f>G81+G82</f>
        <v>83.824</v>
      </c>
      <c r="H80" s="383">
        <f>H81+H82</f>
        <v>87.17696</v>
      </c>
      <c r="I80" s="383">
        <f aca="true" t="shared" si="10" ref="I80:Y80">I81+I82</f>
        <v>90.6640384</v>
      </c>
      <c r="J80" s="383">
        <f t="shared" si="10"/>
        <v>94.29059993599999</v>
      </c>
      <c r="K80" s="383">
        <f t="shared" si="10"/>
        <v>98.06222393344</v>
      </c>
      <c r="L80" s="383">
        <f t="shared" si="10"/>
        <v>101.9847128907776</v>
      </c>
      <c r="M80" s="383">
        <f t="shared" si="10"/>
        <v>106.06410140640871</v>
      </c>
      <c r="N80" s="383">
        <f t="shared" si="10"/>
        <v>110.30666546266507</v>
      </c>
      <c r="O80" s="383">
        <f t="shared" si="10"/>
        <v>114.71893208117167</v>
      </c>
      <c r="P80" s="383">
        <f t="shared" si="10"/>
        <v>119.30768936441855</v>
      </c>
      <c r="Q80" s="383">
        <f t="shared" si="10"/>
        <v>124.0799969389953</v>
      </c>
      <c r="R80" s="383">
        <f t="shared" si="10"/>
        <v>129.0431968165551</v>
      </c>
      <c r="S80" s="383">
        <f t="shared" si="10"/>
        <v>134.2049246892173</v>
      </c>
      <c r="T80" s="383">
        <f t="shared" si="10"/>
        <v>139.573121676786</v>
      </c>
      <c r="U80" s="383">
        <f t="shared" si="10"/>
        <v>145.15604654385746</v>
      </c>
      <c r="V80" s="383">
        <f t="shared" si="10"/>
        <v>150.96228840561176</v>
      </c>
      <c r="W80" s="383">
        <f t="shared" si="10"/>
        <v>157.00077994183624</v>
      </c>
      <c r="X80" s="383">
        <f t="shared" si="10"/>
        <v>163.2808111395097</v>
      </c>
      <c r="Y80" s="383">
        <f t="shared" si="10"/>
        <v>169.8120435850901</v>
      </c>
      <c r="Z80" s="70"/>
    </row>
    <row r="81" spans="3:26" ht="12.75" customHeight="1">
      <c r="C81" s="5"/>
      <c r="D81" s="54"/>
      <c r="E81" s="8" t="s">
        <v>204</v>
      </c>
      <c r="F81" s="383">
        <f>'Airside-Freight'!G13</f>
        <v>40.3</v>
      </c>
      <c r="G81" s="383">
        <f>IF($J$20=1,(1+'Benefit Profile'!$D37+'Benefit Profile'!$E37)*F81,IF($J$20=2,(1+'Benefit Profile'!$F37+'Benefit Profile'!$G37)*F81,(1+'Benefit Profile'!$H37+'Benefit Profile'!$I37)*F81))</f>
        <v>41.912</v>
      </c>
      <c r="H81" s="383">
        <f>IF($J$20=1,(1+'Benefit Profile'!$E37)*G81,IF($J$20=2,(1+'Benefit Profile'!$G37)*G81,(1+'Benefit Profile'!$I37)*G81))</f>
        <v>43.58848</v>
      </c>
      <c r="I81" s="383">
        <f>IF($J$20=1,(1+'Benefit Profile'!$E37)*H81,IF($J$20=2,(1+'Benefit Profile'!$G37)*H81,(1+'Benefit Profile'!$I37)*H81))</f>
        <v>45.3320192</v>
      </c>
      <c r="J81" s="383">
        <f>IF($J$20=1,(1+'Benefit Profile'!$E37)*I81,IF($J$20=2,(1+'Benefit Profile'!$G37)*I81,(1+'Benefit Profile'!$I37)*I81))</f>
        <v>47.145299967999996</v>
      </c>
      <c r="K81" s="383">
        <f>IF($J$20=1,(1+'Benefit Profile'!$E37)*J81,IF($J$20=2,(1+'Benefit Profile'!$G37)*J81,(1+'Benefit Profile'!$I37)*J81))</f>
        <v>49.03111196672</v>
      </c>
      <c r="L81" s="383">
        <f>IF($J$20=1,(1+'Benefit Profile'!$E37)*K81,IF($J$20=2,(1+'Benefit Profile'!$G37)*K81,(1+'Benefit Profile'!$I37)*K81))</f>
        <v>50.9923564453888</v>
      </c>
      <c r="M81" s="383">
        <f>IF($J$20=1,(1+'Benefit Profile'!$E37)*L81,IF($J$20=2,(1+'Benefit Profile'!$G37)*L81,(1+'Benefit Profile'!$I37)*L81))</f>
        <v>53.032050703204355</v>
      </c>
      <c r="N81" s="383">
        <f>IF($J$20=1,(1+'Benefit Profile'!$E37)*M81,IF($J$20=2,(1+'Benefit Profile'!$G37)*M81,(1+'Benefit Profile'!$I37)*M81))</f>
        <v>55.15333273133253</v>
      </c>
      <c r="O81" s="383">
        <f>IF($J$20=1,(1+'Benefit Profile'!$E37)*N81,IF($J$20=2,(1+'Benefit Profile'!$G37)*N81,(1+'Benefit Profile'!$I37)*N81))</f>
        <v>57.359466040585836</v>
      </c>
      <c r="P81" s="383">
        <f>IF($J$20=1,(1+'Benefit Profile'!$E37)*O81,IF($J$20=2,(1+'Benefit Profile'!$G37)*O81,(1+'Benefit Profile'!$I37)*O81))</f>
        <v>59.653844682209275</v>
      </c>
      <c r="Q81" s="383">
        <f>IF($J$20=1,(1+'Benefit Profile'!$E37)*P81,IF($J$20=2,(1+'Benefit Profile'!$G37)*P81,(1+'Benefit Profile'!$I37)*P81))</f>
        <v>62.03999846949765</v>
      </c>
      <c r="R81" s="383">
        <f>IF($J$20=1,(1+'Benefit Profile'!$E37)*Q81,IF($J$20=2,(1+'Benefit Profile'!$G37)*Q81,(1+'Benefit Profile'!$I37)*Q81))</f>
        <v>64.52159840827755</v>
      </c>
      <c r="S81" s="383">
        <f>IF($J$20=1,(1+'Benefit Profile'!$E37)*R81,IF($J$20=2,(1+'Benefit Profile'!$G37)*R81,(1+'Benefit Profile'!$I37)*R81))</f>
        <v>67.10246234460865</v>
      </c>
      <c r="T81" s="383">
        <f>IF($J$20=1,(1+'Benefit Profile'!$E37)*S81,IF($J$20=2,(1+'Benefit Profile'!$G37)*S81,(1+'Benefit Profile'!$I37)*S81))</f>
        <v>69.786560838393</v>
      </c>
      <c r="U81" s="383">
        <f>IF($J$20=1,(1+'Benefit Profile'!$E37)*T81,IF($J$20=2,(1+'Benefit Profile'!$G37)*T81,(1+'Benefit Profile'!$I37)*T81))</f>
        <v>72.57802327192873</v>
      </c>
      <c r="V81" s="383">
        <f>IF($J$20=1,(1+'Benefit Profile'!$E37)*U81,IF($J$20=2,(1+'Benefit Profile'!$G37)*U81,(1+'Benefit Profile'!$I37)*U81))</f>
        <v>75.48114420280588</v>
      </c>
      <c r="W81" s="383">
        <f>IF($J$20=1,(1+'Benefit Profile'!$E37)*V81,IF($J$20=2,(1+'Benefit Profile'!$G37)*V81,(1+'Benefit Profile'!$I37)*V81))</f>
        <v>78.50038997091812</v>
      </c>
      <c r="X81" s="383">
        <f>IF($J$20=1,(1+'Benefit Profile'!$E37)*W81,IF($J$20=2,(1+'Benefit Profile'!$G37)*W81,(1+'Benefit Profile'!$I37)*W81))</f>
        <v>81.64040556975485</v>
      </c>
      <c r="Y81" s="383">
        <f>IF($J$20=1,(1+'Benefit Profile'!$E37)*X81,IF($J$20=2,(1+'Benefit Profile'!$G37)*X81,(1+'Benefit Profile'!$I37)*X81))</f>
        <v>84.90602179254505</v>
      </c>
      <c r="Z81" s="70"/>
    </row>
    <row r="82" spans="3:26" ht="12.75" customHeight="1">
      <c r="C82" s="5"/>
      <c r="D82" s="54"/>
      <c r="E82" s="8" t="s">
        <v>205</v>
      </c>
      <c r="F82" s="383">
        <f>'Airside-Freight'!G14</f>
        <v>40.3</v>
      </c>
      <c r="G82" s="383">
        <f>IF($J$20=1,(1+'Benefit Profile'!$D38+'Benefit Profile'!$E38)*F82,IF($J$20=2,(1+'Benefit Profile'!$F38+'Benefit Profile'!$G38)*F82,(1+'Benefit Profile'!$H38+'Benefit Profile'!$I38)*F82))</f>
        <v>41.912</v>
      </c>
      <c r="H82" s="383">
        <f>IF($J$20=1,(1+'Benefit Profile'!$E38)*G82,IF($J$20=2,(1+'Benefit Profile'!$G38)*G82,(1+'Benefit Profile'!$I38)*G82))</f>
        <v>43.58848</v>
      </c>
      <c r="I82" s="383">
        <f>IF($J$20=1,(1+'Benefit Profile'!$E38)*H82,IF($J$20=2,(1+'Benefit Profile'!$G38)*H82,(1+'Benefit Profile'!$I38)*H82))</f>
        <v>45.3320192</v>
      </c>
      <c r="J82" s="383">
        <f>IF($J$20=1,(1+'Benefit Profile'!$E38)*I82,IF($J$20=2,(1+'Benefit Profile'!$G38)*I82,(1+'Benefit Profile'!$I38)*I82))</f>
        <v>47.145299967999996</v>
      </c>
      <c r="K82" s="383">
        <f>IF($J$20=1,(1+'Benefit Profile'!$E38)*J82,IF($J$20=2,(1+'Benefit Profile'!$G38)*J82,(1+'Benefit Profile'!$I38)*J82))</f>
        <v>49.03111196672</v>
      </c>
      <c r="L82" s="383">
        <f>IF($J$20=1,(1+'Benefit Profile'!$E38)*K82,IF($J$20=2,(1+'Benefit Profile'!$G38)*K82,(1+'Benefit Profile'!$I38)*K82))</f>
        <v>50.9923564453888</v>
      </c>
      <c r="M82" s="383">
        <f>IF($J$20=1,(1+'Benefit Profile'!$E38)*L82,IF($J$20=2,(1+'Benefit Profile'!$G38)*L82,(1+'Benefit Profile'!$I38)*L82))</f>
        <v>53.032050703204355</v>
      </c>
      <c r="N82" s="383">
        <f>IF($J$20=1,(1+'Benefit Profile'!$E38)*M82,IF($J$20=2,(1+'Benefit Profile'!$G38)*M82,(1+'Benefit Profile'!$I38)*M82))</f>
        <v>55.15333273133253</v>
      </c>
      <c r="O82" s="383">
        <f>IF($J$20=1,(1+'Benefit Profile'!$E38)*N82,IF($J$20=2,(1+'Benefit Profile'!$G38)*N82,(1+'Benefit Profile'!$I38)*N82))</f>
        <v>57.359466040585836</v>
      </c>
      <c r="P82" s="383">
        <f>IF($J$20=1,(1+'Benefit Profile'!$E38)*O82,IF($J$20=2,(1+'Benefit Profile'!$G38)*O82,(1+'Benefit Profile'!$I38)*O82))</f>
        <v>59.653844682209275</v>
      </c>
      <c r="Q82" s="383">
        <f>IF($J$20=1,(1+'Benefit Profile'!$E38)*P82,IF($J$20=2,(1+'Benefit Profile'!$G38)*P82,(1+'Benefit Profile'!$I38)*P82))</f>
        <v>62.03999846949765</v>
      </c>
      <c r="R82" s="383">
        <f>IF($J$20=1,(1+'Benefit Profile'!$E38)*Q82,IF($J$20=2,(1+'Benefit Profile'!$G38)*Q82,(1+'Benefit Profile'!$I38)*Q82))</f>
        <v>64.52159840827755</v>
      </c>
      <c r="S82" s="383">
        <f>IF($J$20=1,(1+'Benefit Profile'!$E38)*R82,IF($J$20=2,(1+'Benefit Profile'!$G38)*R82,(1+'Benefit Profile'!$I38)*R82))</f>
        <v>67.10246234460865</v>
      </c>
      <c r="T82" s="383">
        <f>IF($J$20=1,(1+'Benefit Profile'!$E38)*S82,IF($J$20=2,(1+'Benefit Profile'!$G38)*S82,(1+'Benefit Profile'!$I38)*S82))</f>
        <v>69.786560838393</v>
      </c>
      <c r="U82" s="383">
        <f>IF($J$20=1,(1+'Benefit Profile'!$E38)*T82,IF($J$20=2,(1+'Benefit Profile'!$G38)*T82,(1+'Benefit Profile'!$I38)*T82))</f>
        <v>72.57802327192873</v>
      </c>
      <c r="V82" s="383">
        <f>IF($J$20=1,(1+'Benefit Profile'!$E38)*U82,IF($J$20=2,(1+'Benefit Profile'!$G38)*U82,(1+'Benefit Profile'!$I38)*U82))</f>
        <v>75.48114420280588</v>
      </c>
      <c r="W82" s="383">
        <f>IF($J$20=1,(1+'Benefit Profile'!$E38)*V82,IF($J$20=2,(1+'Benefit Profile'!$G38)*V82,(1+'Benefit Profile'!$I38)*V82))</f>
        <v>78.50038997091812</v>
      </c>
      <c r="X82" s="383">
        <f>IF($J$20=1,(1+'Benefit Profile'!$E38)*W82,IF($J$20=2,(1+'Benefit Profile'!$G38)*W82,(1+'Benefit Profile'!$I38)*W82))</f>
        <v>81.64040556975485</v>
      </c>
      <c r="Y82" s="383">
        <f>IF($J$20=1,(1+'Benefit Profile'!$E38)*X82,IF($J$20=2,(1+'Benefit Profile'!$G38)*X82,(1+'Benefit Profile'!$I38)*X82))</f>
        <v>84.90602179254505</v>
      </c>
      <c r="Z82" s="70"/>
    </row>
    <row r="83" spans="3:26" ht="12.75" customHeight="1">
      <c r="C83" s="5"/>
      <c r="D83" s="54"/>
      <c r="E83" s="8" t="s">
        <v>206</v>
      </c>
      <c r="F83" s="383">
        <f>F84+F85</f>
        <v>0</v>
      </c>
      <c r="G83" s="383">
        <f>G84+G85</f>
        <v>0</v>
      </c>
      <c r="H83" s="383">
        <f>H84+H85</f>
        <v>0</v>
      </c>
      <c r="I83" s="383">
        <f aca="true" t="shared" si="11" ref="I83:Y83">I84+I85</f>
        <v>0</v>
      </c>
      <c r="J83" s="383">
        <f t="shared" si="11"/>
        <v>0</v>
      </c>
      <c r="K83" s="383">
        <f t="shared" si="11"/>
        <v>0</v>
      </c>
      <c r="L83" s="383">
        <f t="shared" si="11"/>
        <v>0</v>
      </c>
      <c r="M83" s="383">
        <f t="shared" si="11"/>
        <v>0</v>
      </c>
      <c r="N83" s="383">
        <f t="shared" si="11"/>
        <v>0</v>
      </c>
      <c r="O83" s="383">
        <f t="shared" si="11"/>
        <v>0</v>
      </c>
      <c r="P83" s="383">
        <f t="shared" si="11"/>
        <v>0</v>
      </c>
      <c r="Q83" s="383">
        <f t="shared" si="11"/>
        <v>0</v>
      </c>
      <c r="R83" s="383">
        <f t="shared" si="11"/>
        <v>0</v>
      </c>
      <c r="S83" s="383">
        <f t="shared" si="11"/>
        <v>0</v>
      </c>
      <c r="T83" s="383">
        <f t="shared" si="11"/>
        <v>0</v>
      </c>
      <c r="U83" s="383">
        <f t="shared" si="11"/>
        <v>0</v>
      </c>
      <c r="V83" s="383">
        <f t="shared" si="11"/>
        <v>0</v>
      </c>
      <c r="W83" s="383">
        <f t="shared" si="11"/>
        <v>0</v>
      </c>
      <c r="X83" s="383">
        <f t="shared" si="11"/>
        <v>0</v>
      </c>
      <c r="Y83" s="383">
        <f t="shared" si="11"/>
        <v>0</v>
      </c>
      <c r="Z83" s="70"/>
    </row>
    <row r="84" spans="3:26" ht="12.75" customHeight="1">
      <c r="C84" s="5"/>
      <c r="D84" s="54"/>
      <c r="E84" s="8" t="s">
        <v>207</v>
      </c>
      <c r="F84" s="383">
        <f>'Airside-Freight'!G16</f>
        <v>0</v>
      </c>
      <c r="G84" s="383">
        <f>IF($J$20=1,(1+'Benefit Profile'!$D40+'Benefit Profile'!$E40)*F84,IF($J$20=2,(1+'Benefit Profile'!$F40+'Benefit Profile'!$G40)*F84,(1+'Benefit Profile'!$H40+'Benefit Profile'!$I40)*F84))</f>
        <v>0</v>
      </c>
      <c r="H84" s="383">
        <f>IF($J$20=1,(1+'Benefit Profile'!$E40)*G84,IF($J$20=2,(1+'Benefit Profile'!$G40)*G84,(1+'Benefit Profile'!$I40)*G84))</f>
        <v>0</v>
      </c>
      <c r="I84" s="383">
        <f>IF($J$20=1,(1+'Benefit Profile'!$E40)*H84,IF($J$20=2,(1+'Benefit Profile'!$G40)*H84,(1+'Benefit Profile'!$I40)*H84))</f>
        <v>0</v>
      </c>
      <c r="J84" s="383">
        <f>IF($J$20=1,(1+'Benefit Profile'!$E40)*I84,IF($J$20=2,(1+'Benefit Profile'!$G40)*I84,(1+'Benefit Profile'!$I40)*I84))</f>
        <v>0</v>
      </c>
      <c r="K84" s="383">
        <f>IF($J$20=1,(1+'Benefit Profile'!$E40)*J84,IF($J$20=2,(1+'Benefit Profile'!$G40)*J84,(1+'Benefit Profile'!$I40)*J84))</f>
        <v>0</v>
      </c>
      <c r="L84" s="383">
        <f>IF($J$20=1,(1+'Benefit Profile'!$E40)*K84,IF($J$20=2,(1+'Benefit Profile'!$G40)*K84,(1+'Benefit Profile'!$I40)*K84))</f>
        <v>0</v>
      </c>
      <c r="M84" s="383">
        <f>IF($J$20=1,(1+'Benefit Profile'!$E40)*L84,IF($J$20=2,(1+'Benefit Profile'!$G40)*L84,(1+'Benefit Profile'!$I40)*L84))</f>
        <v>0</v>
      </c>
      <c r="N84" s="383">
        <f>IF($J$20=1,(1+'Benefit Profile'!$E40)*M84,IF($J$20=2,(1+'Benefit Profile'!$G40)*M84,(1+'Benefit Profile'!$I40)*M84))</f>
        <v>0</v>
      </c>
      <c r="O84" s="383">
        <f>IF($J$20=1,(1+'Benefit Profile'!$E40)*N84,IF($J$20=2,(1+'Benefit Profile'!$G40)*N84,(1+'Benefit Profile'!$I40)*N84))</f>
        <v>0</v>
      </c>
      <c r="P84" s="383">
        <f>IF($J$20=1,(1+'Benefit Profile'!$E40)*O84,IF($J$20=2,(1+'Benefit Profile'!$G40)*O84,(1+'Benefit Profile'!$I40)*O84))</f>
        <v>0</v>
      </c>
      <c r="Q84" s="383">
        <f>IF($J$20=1,(1+'Benefit Profile'!$E40)*P84,IF($J$20=2,(1+'Benefit Profile'!$G40)*P84,(1+'Benefit Profile'!$I40)*P84))</f>
        <v>0</v>
      </c>
      <c r="R84" s="383">
        <f>IF($J$20=1,(1+'Benefit Profile'!$E40)*Q84,IF($J$20=2,(1+'Benefit Profile'!$G40)*Q84,(1+'Benefit Profile'!$I40)*Q84))</f>
        <v>0</v>
      </c>
      <c r="S84" s="383">
        <f>IF($J$20=1,(1+'Benefit Profile'!$E40)*R84,IF($J$20=2,(1+'Benefit Profile'!$G40)*R84,(1+'Benefit Profile'!$I40)*R84))</f>
        <v>0</v>
      </c>
      <c r="T84" s="383">
        <f>IF($J$20=1,(1+'Benefit Profile'!$E40)*S84,IF($J$20=2,(1+'Benefit Profile'!$G40)*S84,(1+'Benefit Profile'!$I40)*S84))</f>
        <v>0</v>
      </c>
      <c r="U84" s="383">
        <f>IF($J$20=1,(1+'Benefit Profile'!$E40)*T84,IF($J$20=2,(1+'Benefit Profile'!$G40)*T84,(1+'Benefit Profile'!$I40)*T84))</f>
        <v>0</v>
      </c>
      <c r="V84" s="383">
        <f>IF($J$20=1,(1+'Benefit Profile'!$E40)*U84,IF($J$20=2,(1+'Benefit Profile'!$G40)*U84,(1+'Benefit Profile'!$I40)*U84))</f>
        <v>0</v>
      </c>
      <c r="W84" s="383">
        <f>IF($J$20=1,(1+'Benefit Profile'!$E40)*V84,IF($J$20=2,(1+'Benefit Profile'!$G40)*V84,(1+'Benefit Profile'!$I40)*V84))</f>
        <v>0</v>
      </c>
      <c r="X84" s="383">
        <f>IF($J$20=1,(1+'Benefit Profile'!$E40)*W84,IF($J$20=2,(1+'Benefit Profile'!$G40)*W84,(1+'Benefit Profile'!$I40)*W84))</f>
        <v>0</v>
      </c>
      <c r="Y84" s="383">
        <f>IF($J$20=1,(1+'Benefit Profile'!$E40)*X84,IF($J$20=2,(1+'Benefit Profile'!$G40)*X84,(1+'Benefit Profile'!$I40)*X84))</f>
        <v>0</v>
      </c>
      <c r="Z84" s="70"/>
    </row>
    <row r="85" spans="3:26" ht="12.75" customHeight="1">
      <c r="C85" s="5"/>
      <c r="D85" s="54"/>
      <c r="E85" s="8" t="s">
        <v>185</v>
      </c>
      <c r="F85" s="383">
        <f>'Airside-Freight'!G17</f>
        <v>0</v>
      </c>
      <c r="G85" s="383">
        <f>IF($J$20=1,(1+'Benefit Profile'!$D41+'Benefit Profile'!$E41)*F85,IF($J$20=2,(1+'Benefit Profile'!$F41+'Benefit Profile'!$G41)*F85,(1+'Benefit Profile'!$H41+'Benefit Profile'!$I41)*F85))</f>
        <v>0</v>
      </c>
      <c r="H85" s="383">
        <f>IF($J$20=1,(1+'Benefit Profile'!$E41)*G85,IF($J$20=2,(1+'Benefit Profile'!$G41)*G85,(1+'Benefit Profile'!$I41)*G85))</f>
        <v>0</v>
      </c>
      <c r="I85" s="383">
        <f>IF($J$20=1,(1+'Benefit Profile'!$E41)*H85,IF($J$20=2,(1+'Benefit Profile'!$G41)*H85,(1+'Benefit Profile'!$I41)*H85))</f>
        <v>0</v>
      </c>
      <c r="J85" s="383">
        <f>IF($J$20=1,(1+'Benefit Profile'!$E41)*I85,IF($J$20=2,(1+'Benefit Profile'!$G41)*I85,(1+'Benefit Profile'!$I41)*I85))</f>
        <v>0</v>
      </c>
      <c r="K85" s="383">
        <f>IF($J$20=1,(1+'Benefit Profile'!$E41)*J85,IF($J$20=2,(1+'Benefit Profile'!$G41)*J85,(1+'Benefit Profile'!$I41)*J85))</f>
        <v>0</v>
      </c>
      <c r="L85" s="383">
        <f>IF($J$20=1,(1+'Benefit Profile'!$E41)*K85,IF($J$20=2,(1+'Benefit Profile'!$G41)*K85,(1+'Benefit Profile'!$I41)*K85))</f>
        <v>0</v>
      </c>
      <c r="M85" s="383">
        <f>IF($J$20=1,(1+'Benefit Profile'!$E41)*L85,IF($J$20=2,(1+'Benefit Profile'!$G41)*L85,(1+'Benefit Profile'!$I41)*L85))</f>
        <v>0</v>
      </c>
      <c r="N85" s="383">
        <f>IF($J$20=1,(1+'Benefit Profile'!$E41)*M85,IF($J$20=2,(1+'Benefit Profile'!$G41)*M85,(1+'Benefit Profile'!$I41)*M85))</f>
        <v>0</v>
      </c>
      <c r="O85" s="383">
        <f>IF($J$20=1,(1+'Benefit Profile'!$E41)*N85,IF($J$20=2,(1+'Benefit Profile'!$G41)*N85,(1+'Benefit Profile'!$I41)*N85))</f>
        <v>0</v>
      </c>
      <c r="P85" s="383">
        <f>IF($J$20=1,(1+'Benefit Profile'!$E41)*O85,IF($J$20=2,(1+'Benefit Profile'!$G41)*O85,(1+'Benefit Profile'!$I41)*O85))</f>
        <v>0</v>
      </c>
      <c r="Q85" s="383">
        <f>IF($J$20=1,(1+'Benefit Profile'!$E41)*P85,IF($J$20=2,(1+'Benefit Profile'!$G41)*P85,(1+'Benefit Profile'!$I41)*P85))</f>
        <v>0</v>
      </c>
      <c r="R85" s="383">
        <f>IF($J$20=1,(1+'Benefit Profile'!$E41)*Q85,IF($J$20=2,(1+'Benefit Profile'!$G41)*Q85,(1+'Benefit Profile'!$I41)*Q85))</f>
        <v>0</v>
      </c>
      <c r="S85" s="383">
        <f>IF($J$20=1,(1+'Benefit Profile'!$E41)*R85,IF($J$20=2,(1+'Benefit Profile'!$G41)*R85,(1+'Benefit Profile'!$I41)*R85))</f>
        <v>0</v>
      </c>
      <c r="T85" s="383">
        <f>IF($J$20=1,(1+'Benefit Profile'!$E41)*S85,IF($J$20=2,(1+'Benefit Profile'!$G41)*S85,(1+'Benefit Profile'!$I41)*S85))</f>
        <v>0</v>
      </c>
      <c r="U85" s="383">
        <f>IF($J$20=1,(1+'Benefit Profile'!$E41)*T85,IF($J$20=2,(1+'Benefit Profile'!$G41)*T85,(1+'Benefit Profile'!$I41)*T85))</f>
        <v>0</v>
      </c>
      <c r="V85" s="383">
        <f>IF($J$20=1,(1+'Benefit Profile'!$E41)*U85,IF($J$20=2,(1+'Benefit Profile'!$G41)*U85,(1+'Benefit Profile'!$I41)*U85))</f>
        <v>0</v>
      </c>
      <c r="W85" s="383">
        <f>IF($J$20=1,(1+'Benefit Profile'!$E41)*V85,IF($J$20=2,(1+'Benefit Profile'!$G41)*V85,(1+'Benefit Profile'!$I41)*V85))</f>
        <v>0</v>
      </c>
      <c r="X85" s="383">
        <f>IF($J$20=1,(1+'Benefit Profile'!$E41)*W85,IF($J$20=2,(1+'Benefit Profile'!$G41)*W85,(1+'Benefit Profile'!$I41)*W85))</f>
        <v>0</v>
      </c>
      <c r="Y85" s="383">
        <f>IF($J$20=1,(1+'Benefit Profile'!$E41)*X85,IF($J$20=2,(1+'Benefit Profile'!$G41)*X85,(1+'Benefit Profile'!$I41)*X85))</f>
        <v>0</v>
      </c>
      <c r="Z85" s="70"/>
    </row>
    <row r="86" spans="3:26" ht="12.75" customHeight="1">
      <c r="C86" s="5"/>
      <c r="D86" s="54"/>
      <c r="E86" s="8" t="s">
        <v>140</v>
      </c>
      <c r="F86" s="383">
        <f>F77+F80+F83</f>
        <v>80.6</v>
      </c>
      <c r="G86" s="383">
        <f aca="true" t="shared" si="12" ref="G86:Y86">G77+G80+G83</f>
        <v>83.824</v>
      </c>
      <c r="H86" s="383">
        <f t="shared" si="12"/>
        <v>87.17696</v>
      </c>
      <c r="I86" s="383">
        <f t="shared" si="12"/>
        <v>90.6640384</v>
      </c>
      <c r="J86" s="383">
        <f t="shared" si="12"/>
        <v>94.29059993599999</v>
      </c>
      <c r="K86" s="383">
        <f t="shared" si="12"/>
        <v>98.06222393344</v>
      </c>
      <c r="L86" s="383">
        <f t="shared" si="12"/>
        <v>101.9847128907776</v>
      </c>
      <c r="M86" s="383">
        <f t="shared" si="12"/>
        <v>106.06410140640871</v>
      </c>
      <c r="N86" s="383">
        <f t="shared" si="12"/>
        <v>110.30666546266507</v>
      </c>
      <c r="O86" s="383">
        <f t="shared" si="12"/>
        <v>114.71893208117167</v>
      </c>
      <c r="P86" s="383">
        <f t="shared" si="12"/>
        <v>119.30768936441855</v>
      </c>
      <c r="Q86" s="383">
        <f t="shared" si="12"/>
        <v>124.0799969389953</v>
      </c>
      <c r="R86" s="383">
        <f t="shared" si="12"/>
        <v>129.0431968165551</v>
      </c>
      <c r="S86" s="383">
        <f t="shared" si="12"/>
        <v>134.2049246892173</v>
      </c>
      <c r="T86" s="383">
        <f t="shared" si="12"/>
        <v>139.573121676786</v>
      </c>
      <c r="U86" s="383">
        <f t="shared" si="12"/>
        <v>145.15604654385746</v>
      </c>
      <c r="V86" s="383">
        <f t="shared" si="12"/>
        <v>150.96228840561176</v>
      </c>
      <c r="W86" s="383">
        <f t="shared" si="12"/>
        <v>157.00077994183624</v>
      </c>
      <c r="X86" s="383">
        <f t="shared" si="12"/>
        <v>163.2808111395097</v>
      </c>
      <c r="Y86" s="383">
        <f t="shared" si="12"/>
        <v>169.8120435850901</v>
      </c>
      <c r="Z86" s="70"/>
    </row>
    <row r="87" spans="3:26" ht="12.75" customHeight="1">
      <c r="C87" s="5"/>
      <c r="D87" s="54"/>
      <c r="E87" s="8"/>
      <c r="F87" s="384"/>
      <c r="G87" s="384"/>
      <c r="H87" s="384"/>
      <c r="I87" s="384"/>
      <c r="J87" s="384"/>
      <c r="K87" s="384"/>
      <c r="L87" s="384"/>
      <c r="M87" s="384"/>
      <c r="N87" s="384"/>
      <c r="O87" s="384"/>
      <c r="P87" s="384"/>
      <c r="Q87" s="384"/>
      <c r="R87" s="384"/>
      <c r="S87" s="384"/>
      <c r="T87" s="384"/>
      <c r="U87" s="384"/>
      <c r="V87" s="384"/>
      <c r="W87" s="384"/>
      <c r="X87" s="384"/>
      <c r="Y87" s="384"/>
      <c r="Z87" s="70"/>
    </row>
    <row r="88" spans="3:26" ht="12.75" customHeight="1">
      <c r="C88" s="5"/>
      <c r="D88" s="54"/>
      <c r="E88" s="14" t="s">
        <v>191</v>
      </c>
      <c r="F88" s="384"/>
      <c r="G88" s="384"/>
      <c r="H88" s="384"/>
      <c r="I88" s="384"/>
      <c r="J88" s="384"/>
      <c r="K88" s="384"/>
      <c r="L88" s="384"/>
      <c r="M88" s="384"/>
      <c r="N88" s="384"/>
      <c r="O88" s="384"/>
      <c r="P88" s="384"/>
      <c r="Q88" s="384"/>
      <c r="R88" s="384"/>
      <c r="S88" s="384"/>
      <c r="T88" s="384"/>
      <c r="U88" s="384"/>
      <c r="V88" s="384"/>
      <c r="W88" s="384"/>
      <c r="X88" s="384"/>
      <c r="Y88" s="384"/>
      <c r="Z88" s="70"/>
    </row>
    <row r="89" spans="3:26" ht="12.75" customHeight="1">
      <c r="C89" s="5"/>
      <c r="D89" s="54"/>
      <c r="E89" s="8" t="s">
        <v>202</v>
      </c>
      <c r="F89" s="384">
        <f>F90+F91</f>
        <v>0</v>
      </c>
      <c r="G89" s="384">
        <f>G90+G91</f>
        <v>0</v>
      </c>
      <c r="H89" s="384">
        <f>H90+H91</f>
        <v>0</v>
      </c>
      <c r="I89" s="384">
        <f aca="true" t="shared" si="13" ref="I89:Y89">I90+I91</f>
        <v>0</v>
      </c>
      <c r="J89" s="384">
        <f t="shared" si="13"/>
        <v>0</v>
      </c>
      <c r="K89" s="384">
        <f t="shared" si="13"/>
        <v>0</v>
      </c>
      <c r="L89" s="384">
        <f t="shared" si="13"/>
        <v>0</v>
      </c>
      <c r="M89" s="384">
        <f t="shared" si="13"/>
        <v>0</v>
      </c>
      <c r="N89" s="384">
        <f t="shared" si="13"/>
        <v>0</v>
      </c>
      <c r="O89" s="384">
        <f t="shared" si="13"/>
        <v>0</v>
      </c>
      <c r="P89" s="384">
        <f t="shared" si="13"/>
        <v>0</v>
      </c>
      <c r="Q89" s="384">
        <f t="shared" si="13"/>
        <v>0</v>
      </c>
      <c r="R89" s="384">
        <f t="shared" si="13"/>
        <v>0</v>
      </c>
      <c r="S89" s="384">
        <f t="shared" si="13"/>
        <v>0</v>
      </c>
      <c r="T89" s="384">
        <f t="shared" si="13"/>
        <v>0</v>
      </c>
      <c r="U89" s="384">
        <f t="shared" si="13"/>
        <v>0</v>
      </c>
      <c r="V89" s="384">
        <f t="shared" si="13"/>
        <v>0</v>
      </c>
      <c r="W89" s="384">
        <f t="shared" si="13"/>
        <v>0</v>
      </c>
      <c r="X89" s="384">
        <f t="shared" si="13"/>
        <v>0</v>
      </c>
      <c r="Y89" s="384">
        <f t="shared" si="13"/>
        <v>0</v>
      </c>
      <c r="Z89" s="70"/>
    </row>
    <row r="90" spans="3:26" ht="12.75" customHeight="1">
      <c r="C90" s="5"/>
      <c r="D90" s="54"/>
      <c r="E90" s="8" t="s">
        <v>201</v>
      </c>
      <c r="F90" s="384">
        <f>'Airside-Freight'!G10</f>
        <v>0</v>
      </c>
      <c r="G90" s="384">
        <f>IF($J$20=1,(1+'Benefit Profile'!$D45+'Benefit Profile'!$E45)*F90,IF($J$20=2,(1+'Benefit Profile'!$F45+'Benefit Profile'!$G45)*F90,(1+'Benefit Profile'!$H45+'Benefit Profile'!$I45)*F90))</f>
        <v>0</v>
      </c>
      <c r="H90" s="384">
        <f>IF($J$20=1,(1+'Benefit Profile'!$E45)*G90,IF($J$20=2,(1+'Benefit Profile'!$G45)*G90,(1+'Benefit Profile'!$I45)*G90))</f>
        <v>0</v>
      </c>
      <c r="I90" s="384">
        <f>IF($J$20=1,(1+'Benefit Profile'!$E45)*H90,IF($J$20=2,(1+'Benefit Profile'!$G45)*H90,(1+'Benefit Profile'!$I45)*H90))</f>
        <v>0</v>
      </c>
      <c r="J90" s="384">
        <f>IF($J$20=1,(1+'Benefit Profile'!$E45)*I90,IF($J$20=2,(1+'Benefit Profile'!$G45)*I90,(1+'Benefit Profile'!$I45)*I90))</f>
        <v>0</v>
      </c>
      <c r="K90" s="384">
        <f>IF($J$20=1,(1+'Benefit Profile'!$E45)*J90,IF($J$20=2,(1+'Benefit Profile'!$G45)*J90,(1+'Benefit Profile'!$I45)*J90))</f>
        <v>0</v>
      </c>
      <c r="L90" s="384">
        <f>IF($J$20=1,(1+'Benefit Profile'!$E45)*K90,IF($J$20=2,(1+'Benefit Profile'!$G45)*K90,(1+'Benefit Profile'!$I45)*K90))</f>
        <v>0</v>
      </c>
      <c r="M90" s="384">
        <f>IF($J$20=1,(1+'Benefit Profile'!$E45)*L90,IF($J$20=2,(1+'Benefit Profile'!$G45)*L90,(1+'Benefit Profile'!$I45)*L90))</f>
        <v>0</v>
      </c>
      <c r="N90" s="384">
        <f>IF($J$20=1,(1+'Benefit Profile'!$E45)*M90,IF($J$20=2,(1+'Benefit Profile'!$G45)*M90,(1+'Benefit Profile'!$I45)*M90))</f>
        <v>0</v>
      </c>
      <c r="O90" s="384">
        <f>IF($J$20=1,(1+'Benefit Profile'!$E45)*N90,IF($J$20=2,(1+'Benefit Profile'!$G45)*N90,(1+'Benefit Profile'!$I45)*N90))</f>
        <v>0</v>
      </c>
      <c r="P90" s="384">
        <f>IF($J$20=1,(1+'Benefit Profile'!$E45)*O90,IF($J$20=2,(1+'Benefit Profile'!$G45)*O90,(1+'Benefit Profile'!$I45)*O90))</f>
        <v>0</v>
      </c>
      <c r="Q90" s="384">
        <f>IF($J$20=1,(1+'Benefit Profile'!$E45)*P90,IF($J$20=2,(1+'Benefit Profile'!$G45)*P90,(1+'Benefit Profile'!$I45)*P90))</f>
        <v>0</v>
      </c>
      <c r="R90" s="384">
        <f>IF($J$20=1,(1+'Benefit Profile'!$E45)*Q90,IF($J$20=2,(1+'Benefit Profile'!$G45)*Q90,(1+'Benefit Profile'!$I45)*Q90))</f>
        <v>0</v>
      </c>
      <c r="S90" s="384">
        <f>IF($J$20=1,(1+'Benefit Profile'!$E45)*R90,IF($J$20=2,(1+'Benefit Profile'!$G45)*R90,(1+'Benefit Profile'!$I45)*R90))</f>
        <v>0</v>
      </c>
      <c r="T90" s="384">
        <f>IF($J$20=1,(1+'Benefit Profile'!$E45)*S90,IF($J$20=2,(1+'Benefit Profile'!$G45)*S90,(1+'Benefit Profile'!$I45)*S90))</f>
        <v>0</v>
      </c>
      <c r="U90" s="384">
        <f>IF($J$20=1,(1+'Benefit Profile'!$E45)*T90,IF($J$20=2,(1+'Benefit Profile'!$G45)*T90,(1+'Benefit Profile'!$I45)*T90))</f>
        <v>0</v>
      </c>
      <c r="V90" s="384">
        <f>IF($J$20=1,(1+'Benefit Profile'!$E45)*U90,IF($J$20=2,(1+'Benefit Profile'!$G45)*U90,(1+'Benefit Profile'!$I45)*U90))</f>
        <v>0</v>
      </c>
      <c r="W90" s="384">
        <f>IF($J$20=1,(1+'Benefit Profile'!$E45)*V90,IF($J$20=2,(1+'Benefit Profile'!$G45)*V90,(1+'Benefit Profile'!$I45)*V90))</f>
        <v>0</v>
      </c>
      <c r="X90" s="384">
        <f>IF($J$20=1,(1+'Benefit Profile'!$E45)*W90,IF($J$20=2,(1+'Benefit Profile'!$G45)*W90,(1+'Benefit Profile'!$I45)*W90))</f>
        <v>0</v>
      </c>
      <c r="Y90" s="384">
        <f>IF($J$20=1,(1+'Benefit Profile'!$E45)*X90,IF($J$20=2,(1+'Benefit Profile'!$G45)*X90,(1+'Benefit Profile'!$I45)*X90))</f>
        <v>0</v>
      </c>
      <c r="Z90" s="70"/>
    </row>
    <row r="91" spans="3:26" ht="12.75" customHeight="1">
      <c r="C91" s="5"/>
      <c r="D91" s="54"/>
      <c r="E91" s="8" t="s">
        <v>185</v>
      </c>
      <c r="F91" s="384">
        <f>'Airside-Freight'!G11</f>
        <v>0</v>
      </c>
      <c r="G91" s="384">
        <f>IF($J$20=1,(1+'Benefit Profile'!$D46+'Benefit Profile'!$E46)*F91,IF($J$20=2,(1+'Benefit Profile'!$F46+'Benefit Profile'!$G46)*F91,(1+'Benefit Profile'!$H46+'Benefit Profile'!$I46)*F91))</f>
        <v>0</v>
      </c>
      <c r="H91" s="384">
        <f>IF($J$20=1,(1+'Benefit Profile'!$E46)*G91,IF($J$20=2,(1+'Benefit Profile'!$G46)*G91,(1+'Benefit Profile'!$I46)*G91))</f>
        <v>0</v>
      </c>
      <c r="I91" s="384">
        <f>IF($J$20=1,(1+'Benefit Profile'!$E46)*H91,IF($J$20=2,(1+'Benefit Profile'!$G46)*H91,(1+'Benefit Profile'!$I46)*H91))</f>
        <v>0</v>
      </c>
      <c r="J91" s="384">
        <f>IF($J$20=1,(1+'Benefit Profile'!$E46)*I91,IF($J$20=2,(1+'Benefit Profile'!$G46)*I91,(1+'Benefit Profile'!$I46)*I91))</f>
        <v>0</v>
      </c>
      <c r="K91" s="384">
        <f>IF($J$20=1,(1+'Benefit Profile'!$E46)*J91,IF($J$20=2,(1+'Benefit Profile'!$G46)*J91,(1+'Benefit Profile'!$I46)*J91))</f>
        <v>0</v>
      </c>
      <c r="L91" s="384">
        <f>IF($J$20=1,(1+'Benefit Profile'!$E46)*K91,IF($J$20=2,(1+'Benefit Profile'!$G46)*K91,(1+'Benefit Profile'!$I46)*K91))</f>
        <v>0</v>
      </c>
      <c r="M91" s="384">
        <f>IF($J$20=1,(1+'Benefit Profile'!$E46)*L91,IF($J$20=2,(1+'Benefit Profile'!$G46)*L91,(1+'Benefit Profile'!$I46)*L91))</f>
        <v>0</v>
      </c>
      <c r="N91" s="384">
        <f>IF($J$20=1,(1+'Benefit Profile'!$E46)*M91,IF($J$20=2,(1+'Benefit Profile'!$G46)*M91,(1+'Benefit Profile'!$I46)*M91))</f>
        <v>0</v>
      </c>
      <c r="O91" s="384">
        <f>IF($J$20=1,(1+'Benefit Profile'!$E46)*N91,IF($J$20=2,(1+'Benefit Profile'!$G46)*N91,(1+'Benefit Profile'!$I46)*N91))</f>
        <v>0</v>
      </c>
      <c r="P91" s="384">
        <f>IF($J$20=1,(1+'Benefit Profile'!$E46)*O91,IF($J$20=2,(1+'Benefit Profile'!$G46)*O91,(1+'Benefit Profile'!$I46)*O91))</f>
        <v>0</v>
      </c>
      <c r="Q91" s="384">
        <f>IF($J$20=1,(1+'Benefit Profile'!$E46)*P91,IF($J$20=2,(1+'Benefit Profile'!$G46)*P91,(1+'Benefit Profile'!$I46)*P91))</f>
        <v>0</v>
      </c>
      <c r="R91" s="384">
        <f>IF($J$20=1,(1+'Benefit Profile'!$E46)*Q91,IF($J$20=2,(1+'Benefit Profile'!$G46)*Q91,(1+'Benefit Profile'!$I46)*Q91))</f>
        <v>0</v>
      </c>
      <c r="S91" s="384">
        <f>IF($J$20=1,(1+'Benefit Profile'!$E46)*R91,IF($J$20=2,(1+'Benefit Profile'!$G46)*R91,(1+'Benefit Profile'!$I46)*R91))</f>
        <v>0</v>
      </c>
      <c r="T91" s="384">
        <f>IF($J$20=1,(1+'Benefit Profile'!$E46)*S91,IF($J$20=2,(1+'Benefit Profile'!$G46)*S91,(1+'Benefit Profile'!$I46)*S91))</f>
        <v>0</v>
      </c>
      <c r="U91" s="384">
        <f>IF($J$20=1,(1+'Benefit Profile'!$E46)*T91,IF($J$20=2,(1+'Benefit Profile'!$G46)*T91,(1+'Benefit Profile'!$I46)*T91))</f>
        <v>0</v>
      </c>
      <c r="V91" s="384">
        <f>IF($J$20=1,(1+'Benefit Profile'!$E46)*U91,IF($J$20=2,(1+'Benefit Profile'!$G46)*U91,(1+'Benefit Profile'!$I46)*U91))</f>
        <v>0</v>
      </c>
      <c r="W91" s="384">
        <f>IF($J$20=1,(1+'Benefit Profile'!$E46)*V91,IF($J$20=2,(1+'Benefit Profile'!$G46)*V91,(1+'Benefit Profile'!$I46)*V91))</f>
        <v>0</v>
      </c>
      <c r="X91" s="384">
        <f>IF($J$20=1,(1+'Benefit Profile'!$E46)*W91,IF($J$20=2,(1+'Benefit Profile'!$G46)*W91,(1+'Benefit Profile'!$I46)*W91))</f>
        <v>0</v>
      </c>
      <c r="Y91" s="384">
        <f>IF($J$20=1,(1+'Benefit Profile'!$E46)*X91,IF($J$20=2,(1+'Benefit Profile'!$G46)*X91,(1+'Benefit Profile'!$I46)*X91))</f>
        <v>0</v>
      </c>
      <c r="Z91" s="70"/>
    </row>
    <row r="92" spans="3:26" ht="12.75" customHeight="1">
      <c r="C92" s="5"/>
      <c r="D92" s="54"/>
      <c r="E92" s="8" t="s">
        <v>203</v>
      </c>
      <c r="F92" s="384">
        <f>F93+F94</f>
        <v>80.6</v>
      </c>
      <c r="G92" s="384">
        <f>G93+G94</f>
        <v>104.37700000000001</v>
      </c>
      <c r="H92" s="384">
        <f>H93+H94</f>
        <v>109.68854000000002</v>
      </c>
      <c r="I92" s="384">
        <f aca="true" t="shared" si="14" ref="I92:Y92">I93+I94</f>
        <v>115.28072920000002</v>
      </c>
      <c r="J92" s="384">
        <f t="shared" si="14"/>
        <v>121.16888482400003</v>
      </c>
      <c r="K92" s="384">
        <f t="shared" si="14"/>
        <v>127.36918226032004</v>
      </c>
      <c r="L92" s="384">
        <f t="shared" si="14"/>
        <v>133.89870411669446</v>
      </c>
      <c r="M92" s="384">
        <f t="shared" si="14"/>
        <v>140.77549212128153</v>
      </c>
      <c r="N92" s="384">
        <f t="shared" si="14"/>
        <v>148.01860203644725</v>
      </c>
      <c r="O92" s="384">
        <f t="shared" si="14"/>
        <v>155.64816176203846</v>
      </c>
      <c r="P92" s="384">
        <f t="shared" si="14"/>
        <v>163.68543281530134</v>
      </c>
      <c r="Q92" s="384">
        <f t="shared" si="14"/>
        <v>172.1528753856616</v>
      </c>
      <c r="R92" s="384">
        <f t="shared" si="14"/>
        <v>181.07421717430117</v>
      </c>
      <c r="S92" s="384">
        <f t="shared" si="14"/>
        <v>190.47452624087907</v>
      </c>
      <c r="T92" s="384">
        <f t="shared" si="14"/>
        <v>200.38028809289648</v>
      </c>
      <c r="U92" s="384">
        <f t="shared" si="14"/>
        <v>210.81948726713753</v>
      </c>
      <c r="V92" s="384">
        <f t="shared" si="14"/>
        <v>221.82169366737975</v>
      </c>
      <c r="W92" s="384">
        <f t="shared" si="14"/>
        <v>233.41815393820502</v>
      </c>
      <c r="X92" s="384">
        <f t="shared" si="14"/>
        <v>245.6418881713111</v>
      </c>
      <c r="Y92" s="384">
        <f t="shared" si="14"/>
        <v>258.5277922582761</v>
      </c>
      <c r="Z92" s="70"/>
    </row>
    <row r="93" spans="3:26" ht="12.75" customHeight="1">
      <c r="C93" s="5"/>
      <c r="D93" s="54"/>
      <c r="E93" s="8" t="s">
        <v>204</v>
      </c>
      <c r="F93" s="384">
        <f>'Airside-Freight'!G13</f>
        <v>40.3</v>
      </c>
      <c r="G93" s="384">
        <f>IF($J$20=1,(1+'Benefit Profile'!$D48+'Benefit Profile'!$E48)*F93,IF($J$20=2,(1+'Benefit Profile'!$F48+'Benefit Profile'!$G48)*F93,(1+'Benefit Profile'!$H48+'Benefit Profile'!$I48)*F93))</f>
        <v>56.823</v>
      </c>
      <c r="H93" s="384">
        <f>IF($J$20=1,(1+'Benefit Profile'!$E48)*G93,IF($J$20=2,(1+'Benefit Profile'!$G48)*G93,(1+'Benefit Profile'!$I48)*G93))</f>
        <v>60.232380000000006</v>
      </c>
      <c r="I93" s="384">
        <f>IF($J$20=1,(1+'Benefit Profile'!$E48)*H93,IF($J$20=2,(1+'Benefit Profile'!$G48)*H93,(1+'Benefit Profile'!$I48)*H93))</f>
        <v>63.84632280000001</v>
      </c>
      <c r="J93" s="384">
        <f>IF($J$20=1,(1+'Benefit Profile'!$E48)*I93,IF($J$20=2,(1+'Benefit Profile'!$G48)*I93,(1+'Benefit Profile'!$I48)*I93))</f>
        <v>67.67710216800002</v>
      </c>
      <c r="K93" s="384">
        <f>IF($J$20=1,(1+'Benefit Profile'!$E48)*J93,IF($J$20=2,(1+'Benefit Profile'!$G48)*J93,(1+'Benefit Profile'!$I48)*J93))</f>
        <v>71.73772829808003</v>
      </c>
      <c r="L93" s="384">
        <f>IF($J$20=1,(1+'Benefit Profile'!$E48)*K93,IF($J$20=2,(1+'Benefit Profile'!$G48)*K93,(1+'Benefit Profile'!$I48)*K93))</f>
        <v>76.04199199596484</v>
      </c>
      <c r="M93" s="384">
        <f>IF($J$20=1,(1+'Benefit Profile'!$E48)*L93,IF($J$20=2,(1+'Benefit Profile'!$G48)*L93,(1+'Benefit Profile'!$I48)*L93))</f>
        <v>80.60451151572273</v>
      </c>
      <c r="N93" s="384">
        <f>IF($J$20=1,(1+'Benefit Profile'!$E48)*M93,IF($J$20=2,(1+'Benefit Profile'!$G48)*M93,(1+'Benefit Profile'!$I48)*M93))</f>
        <v>85.4407822066661</v>
      </c>
      <c r="O93" s="384">
        <f>IF($J$20=1,(1+'Benefit Profile'!$E48)*N93,IF($J$20=2,(1+'Benefit Profile'!$G48)*N93,(1+'Benefit Profile'!$I48)*N93))</f>
        <v>90.56722913906607</v>
      </c>
      <c r="P93" s="384">
        <f>IF($J$20=1,(1+'Benefit Profile'!$E48)*O93,IF($J$20=2,(1+'Benefit Profile'!$G48)*O93,(1+'Benefit Profile'!$I48)*O93))</f>
        <v>96.00126288741004</v>
      </c>
      <c r="Q93" s="384">
        <f>IF($J$20=1,(1+'Benefit Profile'!$E48)*P93,IF($J$20=2,(1+'Benefit Profile'!$G48)*P93,(1+'Benefit Profile'!$I48)*P93))</f>
        <v>101.76133866065464</v>
      </c>
      <c r="R93" s="384">
        <f>IF($J$20=1,(1+'Benefit Profile'!$E48)*Q93,IF($J$20=2,(1+'Benefit Profile'!$G48)*Q93,(1+'Benefit Profile'!$I48)*Q93))</f>
        <v>107.86701898029393</v>
      </c>
      <c r="S93" s="384">
        <f>IF($J$20=1,(1+'Benefit Profile'!$E48)*R93,IF($J$20=2,(1+'Benefit Profile'!$G48)*R93,(1+'Benefit Profile'!$I48)*R93))</f>
        <v>114.33904011911157</v>
      </c>
      <c r="T93" s="384">
        <f>IF($J$20=1,(1+'Benefit Profile'!$E48)*S93,IF($J$20=2,(1+'Benefit Profile'!$G48)*S93,(1+'Benefit Profile'!$I48)*S93))</f>
        <v>121.19938252625828</v>
      </c>
      <c r="U93" s="384">
        <f>IF($J$20=1,(1+'Benefit Profile'!$E48)*T93,IF($J$20=2,(1+'Benefit Profile'!$G48)*T93,(1+'Benefit Profile'!$I48)*T93))</f>
        <v>128.47134547783378</v>
      </c>
      <c r="V93" s="384">
        <f>IF($J$20=1,(1+'Benefit Profile'!$E48)*U93,IF($J$20=2,(1+'Benefit Profile'!$G48)*U93,(1+'Benefit Profile'!$I48)*U93))</f>
        <v>136.17962620650383</v>
      </c>
      <c r="W93" s="384">
        <f>IF($J$20=1,(1+'Benefit Profile'!$E48)*V93,IF($J$20=2,(1+'Benefit Profile'!$G48)*V93,(1+'Benefit Profile'!$I48)*V93))</f>
        <v>144.35040377889408</v>
      </c>
      <c r="X93" s="384">
        <f>IF($J$20=1,(1+'Benefit Profile'!$E48)*W93,IF($J$20=2,(1+'Benefit Profile'!$G48)*W93,(1+'Benefit Profile'!$I48)*W93))</f>
        <v>153.01142800562772</v>
      </c>
      <c r="Y93" s="384">
        <f>IF($J$20=1,(1+'Benefit Profile'!$E48)*X93,IF($J$20=2,(1+'Benefit Profile'!$G48)*X93,(1+'Benefit Profile'!$I48)*X93))</f>
        <v>162.19211368596538</v>
      </c>
      <c r="Z93" s="70"/>
    </row>
    <row r="94" spans="3:26" ht="12.75" customHeight="1">
      <c r="C94" s="5"/>
      <c r="D94" s="54"/>
      <c r="E94" s="8" t="s">
        <v>205</v>
      </c>
      <c r="F94" s="384">
        <f>'Airside-Freight'!G14</f>
        <v>40.3</v>
      </c>
      <c r="G94" s="384">
        <f>IF($J$20=1,(1+'Benefit Profile'!$D49+'Benefit Profile'!$E49)*F94,IF($J$20=2,(1+'Benefit Profile'!$F49+'Benefit Profile'!$G49)*F94,(1+'Benefit Profile'!$H49+'Benefit Profile'!$I49)*F94))</f>
        <v>47.554</v>
      </c>
      <c r="H94" s="384">
        <f>IF($J$20=1,(1+'Benefit Profile'!$E49)*G94,IF($J$20=2,(1+'Benefit Profile'!$G49)*G94,(1+'Benefit Profile'!$I49)*G94))</f>
        <v>49.456160000000004</v>
      </c>
      <c r="I94" s="384">
        <f>IF($J$20=1,(1+'Benefit Profile'!$E49)*H94,IF($J$20=2,(1+'Benefit Profile'!$G49)*H94,(1+'Benefit Profile'!$I49)*H94))</f>
        <v>51.43440640000001</v>
      </c>
      <c r="J94" s="384">
        <f>IF($J$20=1,(1+'Benefit Profile'!$E49)*I94,IF($J$20=2,(1+'Benefit Profile'!$G49)*I94,(1+'Benefit Profile'!$I49)*I94))</f>
        <v>53.49178265600001</v>
      </c>
      <c r="K94" s="384">
        <f>IF($J$20=1,(1+'Benefit Profile'!$E49)*J94,IF($J$20=2,(1+'Benefit Profile'!$G49)*J94,(1+'Benefit Profile'!$I49)*J94))</f>
        <v>55.631453962240016</v>
      </c>
      <c r="L94" s="384">
        <f>IF($J$20=1,(1+'Benefit Profile'!$E49)*K94,IF($J$20=2,(1+'Benefit Profile'!$G49)*K94,(1+'Benefit Profile'!$I49)*K94))</f>
        <v>57.85671212072962</v>
      </c>
      <c r="M94" s="384">
        <f>IF($J$20=1,(1+'Benefit Profile'!$E49)*L94,IF($J$20=2,(1+'Benefit Profile'!$G49)*L94,(1+'Benefit Profile'!$I49)*L94))</f>
        <v>60.1709806055588</v>
      </c>
      <c r="N94" s="384">
        <f>IF($J$20=1,(1+'Benefit Profile'!$E49)*M94,IF($J$20=2,(1+'Benefit Profile'!$G49)*M94,(1+'Benefit Profile'!$I49)*M94))</f>
        <v>62.577819829781156</v>
      </c>
      <c r="O94" s="384">
        <f>IF($J$20=1,(1+'Benefit Profile'!$E49)*N94,IF($J$20=2,(1+'Benefit Profile'!$G49)*N94,(1+'Benefit Profile'!$I49)*N94))</f>
        <v>65.0809326229724</v>
      </c>
      <c r="P94" s="384">
        <f>IF($J$20=1,(1+'Benefit Profile'!$E49)*O94,IF($J$20=2,(1+'Benefit Profile'!$G49)*O94,(1+'Benefit Profile'!$I49)*O94))</f>
        <v>67.68416992789129</v>
      </c>
      <c r="Q94" s="384">
        <f>IF($J$20=1,(1+'Benefit Profile'!$E49)*P94,IF($J$20=2,(1+'Benefit Profile'!$G49)*P94,(1+'Benefit Profile'!$I49)*P94))</f>
        <v>70.39153672500694</v>
      </c>
      <c r="R94" s="384">
        <f>IF($J$20=1,(1+'Benefit Profile'!$E49)*Q94,IF($J$20=2,(1+'Benefit Profile'!$G49)*Q94,(1+'Benefit Profile'!$I49)*Q94))</f>
        <v>73.20719819400722</v>
      </c>
      <c r="S94" s="384">
        <f>IF($J$20=1,(1+'Benefit Profile'!$E49)*R94,IF($J$20=2,(1+'Benefit Profile'!$G49)*R94,(1+'Benefit Profile'!$I49)*R94))</f>
        <v>76.13548612176751</v>
      </c>
      <c r="T94" s="384">
        <f>IF($J$20=1,(1+'Benefit Profile'!$E49)*S94,IF($J$20=2,(1+'Benefit Profile'!$G49)*S94,(1+'Benefit Profile'!$I49)*S94))</f>
        <v>79.18090556663822</v>
      </c>
      <c r="U94" s="384">
        <f>IF($J$20=1,(1+'Benefit Profile'!$E49)*T94,IF($J$20=2,(1+'Benefit Profile'!$G49)*T94,(1+'Benefit Profile'!$I49)*T94))</f>
        <v>82.34814178930375</v>
      </c>
      <c r="V94" s="384">
        <f>IF($J$20=1,(1+'Benefit Profile'!$E49)*U94,IF($J$20=2,(1+'Benefit Profile'!$G49)*U94,(1+'Benefit Profile'!$I49)*U94))</f>
        <v>85.64206746087591</v>
      </c>
      <c r="W94" s="384">
        <f>IF($J$20=1,(1+'Benefit Profile'!$E49)*V94,IF($J$20=2,(1+'Benefit Profile'!$G49)*V94,(1+'Benefit Profile'!$I49)*V94))</f>
        <v>89.06775015931095</v>
      </c>
      <c r="X94" s="384">
        <f>IF($J$20=1,(1+'Benefit Profile'!$E49)*W94,IF($J$20=2,(1+'Benefit Profile'!$G49)*W94,(1+'Benefit Profile'!$I49)*W94))</f>
        <v>92.63046016568339</v>
      </c>
      <c r="Y94" s="384">
        <f>IF($J$20=1,(1+'Benefit Profile'!$E49)*X94,IF($J$20=2,(1+'Benefit Profile'!$G49)*X94,(1+'Benefit Profile'!$I49)*X94))</f>
        <v>96.33567857231073</v>
      </c>
      <c r="Z94" s="70"/>
    </row>
    <row r="95" spans="3:26" ht="12.75" customHeight="1">
      <c r="C95" s="5"/>
      <c r="D95" s="54"/>
      <c r="E95" s="8" t="s">
        <v>206</v>
      </c>
      <c r="F95" s="384">
        <f>F96+F97</f>
        <v>0</v>
      </c>
      <c r="G95" s="384">
        <f>G96+G97</f>
        <v>0</v>
      </c>
      <c r="H95" s="384">
        <f>H96+H97</f>
        <v>0</v>
      </c>
      <c r="I95" s="384">
        <f aca="true" t="shared" si="15" ref="I95:Y95">I96+I97</f>
        <v>0</v>
      </c>
      <c r="J95" s="384">
        <f t="shared" si="15"/>
        <v>0</v>
      </c>
      <c r="K95" s="384">
        <f t="shared" si="15"/>
        <v>0</v>
      </c>
      <c r="L95" s="384">
        <f t="shared" si="15"/>
        <v>0</v>
      </c>
      <c r="M95" s="384">
        <f t="shared" si="15"/>
        <v>0</v>
      </c>
      <c r="N95" s="384">
        <f t="shared" si="15"/>
        <v>0</v>
      </c>
      <c r="O95" s="384">
        <f t="shared" si="15"/>
        <v>0</v>
      </c>
      <c r="P95" s="384">
        <f t="shared" si="15"/>
        <v>0</v>
      </c>
      <c r="Q95" s="384">
        <f t="shared" si="15"/>
        <v>0</v>
      </c>
      <c r="R95" s="384">
        <f t="shared" si="15"/>
        <v>0</v>
      </c>
      <c r="S95" s="384">
        <f t="shared" si="15"/>
        <v>0</v>
      </c>
      <c r="T95" s="384">
        <f t="shared" si="15"/>
        <v>0</v>
      </c>
      <c r="U95" s="384">
        <f t="shared" si="15"/>
        <v>0</v>
      </c>
      <c r="V95" s="384">
        <f t="shared" si="15"/>
        <v>0</v>
      </c>
      <c r="W95" s="384">
        <f t="shared" si="15"/>
        <v>0</v>
      </c>
      <c r="X95" s="384">
        <f t="shared" si="15"/>
        <v>0</v>
      </c>
      <c r="Y95" s="384">
        <f t="shared" si="15"/>
        <v>0</v>
      </c>
      <c r="Z95" s="70"/>
    </row>
    <row r="96" spans="3:26" ht="12.75" customHeight="1">
      <c r="C96" s="5"/>
      <c r="D96" s="54"/>
      <c r="E96" s="8" t="s">
        <v>207</v>
      </c>
      <c r="F96" s="384">
        <f>'Airside-Freight'!G16</f>
        <v>0</v>
      </c>
      <c r="G96" s="384">
        <f>IF($J$20=1,(1+'Benefit Profile'!$D51+'Benefit Profile'!$E51)*F96,IF($J$20=2,(1+'Benefit Profile'!$F51+'Benefit Profile'!$G51)*F96,(1+'Benefit Profile'!$H51+'Benefit Profile'!$I51)*F96))</f>
        <v>0</v>
      </c>
      <c r="H96" s="384">
        <f>IF($J$20=1,(1+'Benefit Profile'!$E51)*G96,IF($J$20=2,(1+'Benefit Profile'!$G51)*G96,(1+'Benefit Profile'!$I51)*G96))</f>
        <v>0</v>
      </c>
      <c r="I96" s="384">
        <f>IF($J$20=1,(1+'Benefit Profile'!$E51)*H96,IF($J$20=2,(1+'Benefit Profile'!$G51)*H96,(1+'Benefit Profile'!$I51)*H96))</f>
        <v>0</v>
      </c>
      <c r="J96" s="384">
        <f>IF($J$20=1,(1+'Benefit Profile'!$E51)*I96,IF($J$20=2,(1+'Benefit Profile'!$G51)*I96,(1+'Benefit Profile'!$I51)*I96))</f>
        <v>0</v>
      </c>
      <c r="K96" s="384">
        <f>IF($J$20=1,(1+'Benefit Profile'!$E51)*J96,IF($J$20=2,(1+'Benefit Profile'!$G51)*J96,(1+'Benefit Profile'!$I51)*J96))</f>
        <v>0</v>
      </c>
      <c r="L96" s="384">
        <f>IF($J$20=1,(1+'Benefit Profile'!$E51)*K96,IF($J$20=2,(1+'Benefit Profile'!$G51)*K96,(1+'Benefit Profile'!$I51)*K96))</f>
        <v>0</v>
      </c>
      <c r="M96" s="384">
        <f>IF($J$20=1,(1+'Benefit Profile'!$E51)*L96,IF($J$20=2,(1+'Benefit Profile'!$G51)*L96,(1+'Benefit Profile'!$I51)*L96))</f>
        <v>0</v>
      </c>
      <c r="N96" s="384">
        <f>IF($J$20=1,(1+'Benefit Profile'!$E51)*M96,IF($J$20=2,(1+'Benefit Profile'!$G51)*M96,(1+'Benefit Profile'!$I51)*M96))</f>
        <v>0</v>
      </c>
      <c r="O96" s="384">
        <f>IF($J$20=1,(1+'Benefit Profile'!$E51)*N96,IF($J$20=2,(1+'Benefit Profile'!$G51)*N96,(1+'Benefit Profile'!$I51)*N96))</f>
        <v>0</v>
      </c>
      <c r="P96" s="384">
        <f>IF($J$20=1,(1+'Benefit Profile'!$E51)*O96,IF($J$20=2,(1+'Benefit Profile'!$G51)*O96,(1+'Benefit Profile'!$I51)*O96))</f>
        <v>0</v>
      </c>
      <c r="Q96" s="384">
        <f>IF($J$20=1,(1+'Benefit Profile'!$E51)*P96,IF($J$20=2,(1+'Benefit Profile'!$G51)*P96,(1+'Benefit Profile'!$I51)*P96))</f>
        <v>0</v>
      </c>
      <c r="R96" s="384">
        <f>IF($J$20=1,(1+'Benefit Profile'!$E51)*Q96,IF($J$20=2,(1+'Benefit Profile'!$G51)*Q96,(1+'Benefit Profile'!$I51)*Q96))</f>
        <v>0</v>
      </c>
      <c r="S96" s="384">
        <f>IF($J$20=1,(1+'Benefit Profile'!$E51)*R96,IF($J$20=2,(1+'Benefit Profile'!$G51)*R96,(1+'Benefit Profile'!$I51)*R96))</f>
        <v>0</v>
      </c>
      <c r="T96" s="384">
        <f>IF($J$20=1,(1+'Benefit Profile'!$E51)*S96,IF($J$20=2,(1+'Benefit Profile'!$G51)*S96,(1+'Benefit Profile'!$I51)*S96))</f>
        <v>0</v>
      </c>
      <c r="U96" s="384">
        <f>IF($J$20=1,(1+'Benefit Profile'!$E51)*T96,IF($J$20=2,(1+'Benefit Profile'!$G51)*T96,(1+'Benefit Profile'!$I51)*T96))</f>
        <v>0</v>
      </c>
      <c r="V96" s="384">
        <f>IF($J$20=1,(1+'Benefit Profile'!$E51)*U96,IF($J$20=2,(1+'Benefit Profile'!$G51)*U96,(1+'Benefit Profile'!$I51)*U96))</f>
        <v>0</v>
      </c>
      <c r="W96" s="384">
        <f>IF($J$20=1,(1+'Benefit Profile'!$E51)*V96,IF($J$20=2,(1+'Benefit Profile'!$G51)*V96,(1+'Benefit Profile'!$I51)*V96))</f>
        <v>0</v>
      </c>
      <c r="X96" s="384">
        <f>IF($J$20=1,(1+'Benefit Profile'!$E51)*W96,IF($J$20=2,(1+'Benefit Profile'!$G51)*W96,(1+'Benefit Profile'!$I51)*W96))</f>
        <v>0</v>
      </c>
      <c r="Y96" s="384">
        <f>IF($J$20=1,(1+'Benefit Profile'!$E51)*X96,IF($J$20=2,(1+'Benefit Profile'!$G51)*X96,(1+'Benefit Profile'!$I51)*X96))</f>
        <v>0</v>
      </c>
      <c r="Z96" s="70"/>
    </row>
    <row r="97" spans="3:26" ht="12.75" customHeight="1">
      <c r="C97" s="5"/>
      <c r="D97" s="54"/>
      <c r="E97" s="8" t="s">
        <v>185</v>
      </c>
      <c r="F97" s="384">
        <f>'Airside-Freight'!G17</f>
        <v>0</v>
      </c>
      <c r="G97" s="384">
        <f>IF($J$20=1,(1+'Benefit Profile'!$D52+'Benefit Profile'!$E52)*F97,IF($J$20=2,(1+'Benefit Profile'!$F52+'Benefit Profile'!$G52)*F97,(1+'Benefit Profile'!$H52+'Benefit Profile'!$I52)*F97))</f>
        <v>0</v>
      </c>
      <c r="H97" s="384">
        <f>IF($J$20=1,(1+'Benefit Profile'!$E52)*G97,IF($J$20=2,(1+'Benefit Profile'!$G52)*G97,(1+'Benefit Profile'!$I52)*G97))</f>
        <v>0</v>
      </c>
      <c r="I97" s="384">
        <f>IF($J$20=1,(1+'Benefit Profile'!$E52)*H97,IF($J$20=2,(1+'Benefit Profile'!$G52)*H97,(1+'Benefit Profile'!$I52)*H97))</f>
        <v>0</v>
      </c>
      <c r="J97" s="384">
        <f>IF($J$20=1,(1+'Benefit Profile'!$E52)*I97,IF($J$20=2,(1+'Benefit Profile'!$G52)*I97,(1+'Benefit Profile'!$I52)*I97))</f>
        <v>0</v>
      </c>
      <c r="K97" s="384">
        <f>IF($J$20=1,(1+'Benefit Profile'!$E52)*J97,IF($J$20=2,(1+'Benefit Profile'!$G52)*J97,(1+'Benefit Profile'!$I52)*J97))</f>
        <v>0</v>
      </c>
      <c r="L97" s="384">
        <f>IF($J$20=1,(1+'Benefit Profile'!$E52)*K97,IF($J$20=2,(1+'Benefit Profile'!$G52)*K97,(1+'Benefit Profile'!$I52)*K97))</f>
        <v>0</v>
      </c>
      <c r="M97" s="384">
        <f>IF($J$20=1,(1+'Benefit Profile'!$E52)*L97,IF($J$20=2,(1+'Benefit Profile'!$G52)*L97,(1+'Benefit Profile'!$I52)*L97))</f>
        <v>0</v>
      </c>
      <c r="N97" s="384">
        <f>IF($J$20=1,(1+'Benefit Profile'!$E52)*M97,IF($J$20=2,(1+'Benefit Profile'!$G52)*M97,(1+'Benefit Profile'!$I52)*M97))</f>
        <v>0</v>
      </c>
      <c r="O97" s="384">
        <f>IF($J$20=1,(1+'Benefit Profile'!$E52)*N97,IF($J$20=2,(1+'Benefit Profile'!$G52)*N97,(1+'Benefit Profile'!$I52)*N97))</f>
        <v>0</v>
      </c>
      <c r="P97" s="384">
        <f>IF($J$20=1,(1+'Benefit Profile'!$E52)*O97,IF($J$20=2,(1+'Benefit Profile'!$G52)*O97,(1+'Benefit Profile'!$I52)*O97))</f>
        <v>0</v>
      </c>
      <c r="Q97" s="384">
        <f>IF($J$20=1,(1+'Benefit Profile'!$E52)*P97,IF($J$20=2,(1+'Benefit Profile'!$G52)*P97,(1+'Benefit Profile'!$I52)*P97))</f>
        <v>0</v>
      </c>
      <c r="R97" s="384">
        <f>IF($J$20=1,(1+'Benefit Profile'!$E52)*Q97,IF($J$20=2,(1+'Benefit Profile'!$G52)*Q97,(1+'Benefit Profile'!$I52)*Q97))</f>
        <v>0</v>
      </c>
      <c r="S97" s="384">
        <f>IF($J$20=1,(1+'Benefit Profile'!$E52)*R97,IF($J$20=2,(1+'Benefit Profile'!$G52)*R97,(1+'Benefit Profile'!$I52)*R97))</f>
        <v>0</v>
      </c>
      <c r="T97" s="384">
        <f>IF($J$20=1,(1+'Benefit Profile'!$E52)*S97,IF($J$20=2,(1+'Benefit Profile'!$G52)*S97,(1+'Benefit Profile'!$I52)*S97))</f>
        <v>0</v>
      </c>
      <c r="U97" s="384">
        <f>IF($J$20=1,(1+'Benefit Profile'!$E52)*T97,IF($J$20=2,(1+'Benefit Profile'!$G52)*T97,(1+'Benefit Profile'!$I52)*T97))</f>
        <v>0</v>
      </c>
      <c r="V97" s="384">
        <f>IF($J$20=1,(1+'Benefit Profile'!$E52)*U97,IF($J$20=2,(1+'Benefit Profile'!$G52)*U97,(1+'Benefit Profile'!$I52)*U97))</f>
        <v>0</v>
      </c>
      <c r="W97" s="384">
        <f>IF($J$20=1,(1+'Benefit Profile'!$E52)*V97,IF($J$20=2,(1+'Benefit Profile'!$G52)*V97,(1+'Benefit Profile'!$I52)*V97))</f>
        <v>0</v>
      </c>
      <c r="X97" s="384">
        <f>IF($J$20=1,(1+'Benefit Profile'!$E52)*W97,IF($J$20=2,(1+'Benefit Profile'!$G52)*W97,(1+'Benefit Profile'!$I52)*W97))</f>
        <v>0</v>
      </c>
      <c r="Y97" s="384">
        <f>IF($J$20=1,(1+'Benefit Profile'!$E52)*X97,IF($J$20=2,(1+'Benefit Profile'!$G52)*X97,(1+'Benefit Profile'!$I52)*X97))</f>
        <v>0</v>
      </c>
      <c r="Z97" s="70"/>
    </row>
    <row r="98" spans="3:26" ht="12.75" customHeight="1">
      <c r="C98" s="5"/>
      <c r="D98" s="54"/>
      <c r="E98" s="8" t="s">
        <v>140</v>
      </c>
      <c r="F98" s="383">
        <f>F89+F92+F95</f>
        <v>80.6</v>
      </c>
      <c r="G98" s="383">
        <f>G89+G92+G95</f>
        <v>104.37700000000001</v>
      </c>
      <c r="H98" s="383">
        <f>H89+H92+H95</f>
        <v>109.68854000000002</v>
      </c>
      <c r="I98" s="383">
        <f aca="true" t="shared" si="16" ref="I98:Y98">I89+I92+I95</f>
        <v>115.28072920000002</v>
      </c>
      <c r="J98" s="383">
        <f t="shared" si="16"/>
        <v>121.16888482400003</v>
      </c>
      <c r="K98" s="383">
        <f t="shared" si="16"/>
        <v>127.36918226032004</v>
      </c>
      <c r="L98" s="383">
        <f t="shared" si="16"/>
        <v>133.89870411669446</v>
      </c>
      <c r="M98" s="383">
        <f t="shared" si="16"/>
        <v>140.77549212128153</v>
      </c>
      <c r="N98" s="383">
        <f t="shared" si="16"/>
        <v>148.01860203644725</v>
      </c>
      <c r="O98" s="383">
        <f t="shared" si="16"/>
        <v>155.64816176203846</v>
      </c>
      <c r="P98" s="383">
        <f t="shared" si="16"/>
        <v>163.68543281530134</v>
      </c>
      <c r="Q98" s="383">
        <f t="shared" si="16"/>
        <v>172.1528753856616</v>
      </c>
      <c r="R98" s="383">
        <f t="shared" si="16"/>
        <v>181.07421717430117</v>
      </c>
      <c r="S98" s="383">
        <f t="shared" si="16"/>
        <v>190.47452624087907</v>
      </c>
      <c r="T98" s="383">
        <f t="shared" si="16"/>
        <v>200.38028809289648</v>
      </c>
      <c r="U98" s="383">
        <f t="shared" si="16"/>
        <v>210.81948726713753</v>
      </c>
      <c r="V98" s="383">
        <f t="shared" si="16"/>
        <v>221.82169366737975</v>
      </c>
      <c r="W98" s="383">
        <f t="shared" si="16"/>
        <v>233.41815393820502</v>
      </c>
      <c r="X98" s="383">
        <f t="shared" si="16"/>
        <v>245.6418881713111</v>
      </c>
      <c r="Y98" s="383">
        <f t="shared" si="16"/>
        <v>258.5277922582761</v>
      </c>
      <c r="Z98" s="70"/>
    </row>
    <row r="99" spans="3:26" ht="12.75" customHeight="1">
      <c r="C99" s="5"/>
      <c r="D99" s="54"/>
      <c r="E99" s="8"/>
      <c r="F99" s="384"/>
      <c r="G99" s="384"/>
      <c r="H99" s="384"/>
      <c r="I99" s="384"/>
      <c r="J99" s="384"/>
      <c r="K99" s="384"/>
      <c r="L99" s="384"/>
      <c r="M99" s="384"/>
      <c r="N99" s="384"/>
      <c r="O99" s="384"/>
      <c r="P99" s="384"/>
      <c r="Q99" s="384"/>
      <c r="R99" s="384"/>
      <c r="S99" s="384"/>
      <c r="T99" s="384"/>
      <c r="U99" s="384"/>
      <c r="V99" s="384"/>
      <c r="W99" s="384"/>
      <c r="X99" s="384"/>
      <c r="Y99" s="384"/>
      <c r="Z99" s="70"/>
    </row>
    <row r="100" spans="3:26" ht="12.75" customHeight="1">
      <c r="C100" s="5"/>
      <c r="D100" s="54"/>
      <c r="E100" s="14" t="s">
        <v>192</v>
      </c>
      <c r="F100" s="384"/>
      <c r="G100" s="384"/>
      <c r="H100" s="384"/>
      <c r="I100" s="384"/>
      <c r="J100" s="384"/>
      <c r="K100" s="384"/>
      <c r="L100" s="384"/>
      <c r="M100" s="384"/>
      <c r="N100" s="384"/>
      <c r="O100" s="384"/>
      <c r="P100" s="384"/>
      <c r="Q100" s="384"/>
      <c r="R100" s="384"/>
      <c r="S100" s="384"/>
      <c r="T100" s="384"/>
      <c r="U100" s="384"/>
      <c r="V100" s="384"/>
      <c r="W100" s="384"/>
      <c r="X100" s="384"/>
      <c r="Y100" s="384"/>
      <c r="Z100" s="70"/>
    </row>
    <row r="101" spans="3:26" ht="12.75" customHeight="1">
      <c r="C101" s="5"/>
      <c r="D101" s="54"/>
      <c r="E101" s="8" t="s">
        <v>202</v>
      </c>
      <c r="F101" s="384">
        <f>F89-F77</f>
        <v>0</v>
      </c>
      <c r="G101" s="384">
        <f aca="true" t="shared" si="17" ref="G101:Y101">G89-G77</f>
        <v>0</v>
      </c>
      <c r="H101" s="384">
        <f t="shared" si="17"/>
        <v>0</v>
      </c>
      <c r="I101" s="384">
        <f t="shared" si="17"/>
        <v>0</v>
      </c>
      <c r="J101" s="384">
        <f t="shared" si="17"/>
        <v>0</v>
      </c>
      <c r="K101" s="384">
        <f t="shared" si="17"/>
        <v>0</v>
      </c>
      <c r="L101" s="384">
        <f t="shared" si="17"/>
        <v>0</v>
      </c>
      <c r="M101" s="384">
        <f t="shared" si="17"/>
        <v>0</v>
      </c>
      <c r="N101" s="384">
        <f t="shared" si="17"/>
        <v>0</v>
      </c>
      <c r="O101" s="384">
        <f t="shared" si="17"/>
        <v>0</v>
      </c>
      <c r="P101" s="384">
        <f t="shared" si="17"/>
        <v>0</v>
      </c>
      <c r="Q101" s="384">
        <f t="shared" si="17"/>
        <v>0</v>
      </c>
      <c r="R101" s="384">
        <f t="shared" si="17"/>
        <v>0</v>
      </c>
      <c r="S101" s="384">
        <f t="shared" si="17"/>
        <v>0</v>
      </c>
      <c r="T101" s="384">
        <f t="shared" si="17"/>
        <v>0</v>
      </c>
      <c r="U101" s="384">
        <f t="shared" si="17"/>
        <v>0</v>
      </c>
      <c r="V101" s="384">
        <f t="shared" si="17"/>
        <v>0</v>
      </c>
      <c r="W101" s="384">
        <f t="shared" si="17"/>
        <v>0</v>
      </c>
      <c r="X101" s="384">
        <f t="shared" si="17"/>
        <v>0</v>
      </c>
      <c r="Y101" s="384">
        <f t="shared" si="17"/>
        <v>0</v>
      </c>
      <c r="Z101" s="70"/>
    </row>
    <row r="102" spans="3:26" ht="12.75" customHeight="1">
      <c r="C102" s="5"/>
      <c r="D102" s="54"/>
      <c r="E102" s="8" t="s">
        <v>201</v>
      </c>
      <c r="F102" s="384">
        <f aca="true" t="shared" si="18" ref="F102:Y110">F90-F78</f>
        <v>0</v>
      </c>
      <c r="G102" s="384">
        <f t="shared" si="18"/>
        <v>0</v>
      </c>
      <c r="H102" s="384">
        <f t="shared" si="18"/>
        <v>0</v>
      </c>
      <c r="I102" s="384">
        <f t="shared" si="18"/>
        <v>0</v>
      </c>
      <c r="J102" s="384">
        <f t="shared" si="18"/>
        <v>0</v>
      </c>
      <c r="K102" s="384">
        <f t="shared" si="18"/>
        <v>0</v>
      </c>
      <c r="L102" s="384">
        <f t="shared" si="18"/>
        <v>0</v>
      </c>
      <c r="M102" s="384">
        <f t="shared" si="18"/>
        <v>0</v>
      </c>
      <c r="N102" s="384">
        <f t="shared" si="18"/>
        <v>0</v>
      </c>
      <c r="O102" s="384">
        <f t="shared" si="18"/>
        <v>0</v>
      </c>
      <c r="P102" s="384">
        <f t="shared" si="18"/>
        <v>0</v>
      </c>
      <c r="Q102" s="384">
        <f t="shared" si="18"/>
        <v>0</v>
      </c>
      <c r="R102" s="384">
        <f t="shared" si="18"/>
        <v>0</v>
      </c>
      <c r="S102" s="384">
        <f t="shared" si="18"/>
        <v>0</v>
      </c>
      <c r="T102" s="384">
        <f t="shared" si="18"/>
        <v>0</v>
      </c>
      <c r="U102" s="384">
        <f t="shared" si="18"/>
        <v>0</v>
      </c>
      <c r="V102" s="384">
        <f t="shared" si="18"/>
        <v>0</v>
      </c>
      <c r="W102" s="384">
        <f t="shared" si="18"/>
        <v>0</v>
      </c>
      <c r="X102" s="384">
        <f t="shared" si="18"/>
        <v>0</v>
      </c>
      <c r="Y102" s="384">
        <f t="shared" si="18"/>
        <v>0</v>
      </c>
      <c r="Z102" s="70"/>
    </row>
    <row r="103" spans="3:26" ht="12.75" customHeight="1">
      <c r="C103" s="5"/>
      <c r="D103" s="54"/>
      <c r="E103" s="8" t="s">
        <v>185</v>
      </c>
      <c r="F103" s="384">
        <f t="shared" si="18"/>
        <v>0</v>
      </c>
      <c r="G103" s="384">
        <f t="shared" si="18"/>
        <v>0</v>
      </c>
      <c r="H103" s="384">
        <f t="shared" si="18"/>
        <v>0</v>
      </c>
      <c r="I103" s="384">
        <f t="shared" si="18"/>
        <v>0</v>
      </c>
      <c r="J103" s="384">
        <f t="shared" si="18"/>
        <v>0</v>
      </c>
      <c r="K103" s="384">
        <f t="shared" si="18"/>
        <v>0</v>
      </c>
      <c r="L103" s="384">
        <f t="shared" si="18"/>
        <v>0</v>
      </c>
      <c r="M103" s="384">
        <f t="shared" si="18"/>
        <v>0</v>
      </c>
      <c r="N103" s="384">
        <f t="shared" si="18"/>
        <v>0</v>
      </c>
      <c r="O103" s="384">
        <f t="shared" si="18"/>
        <v>0</v>
      </c>
      <c r="P103" s="384">
        <f t="shared" si="18"/>
        <v>0</v>
      </c>
      <c r="Q103" s="384">
        <f t="shared" si="18"/>
        <v>0</v>
      </c>
      <c r="R103" s="384">
        <f t="shared" si="18"/>
        <v>0</v>
      </c>
      <c r="S103" s="384">
        <f t="shared" si="18"/>
        <v>0</v>
      </c>
      <c r="T103" s="384">
        <f t="shared" si="18"/>
        <v>0</v>
      </c>
      <c r="U103" s="384">
        <f t="shared" si="18"/>
        <v>0</v>
      </c>
      <c r="V103" s="384">
        <f t="shared" si="18"/>
        <v>0</v>
      </c>
      <c r="W103" s="384">
        <f t="shared" si="18"/>
        <v>0</v>
      </c>
      <c r="X103" s="384">
        <f t="shared" si="18"/>
        <v>0</v>
      </c>
      <c r="Y103" s="384">
        <f t="shared" si="18"/>
        <v>0</v>
      </c>
      <c r="Z103" s="70"/>
    </row>
    <row r="104" spans="3:26" ht="12.75" customHeight="1">
      <c r="C104" s="5"/>
      <c r="D104" s="54"/>
      <c r="E104" s="8" t="s">
        <v>203</v>
      </c>
      <c r="F104" s="384">
        <f t="shared" si="18"/>
        <v>0</v>
      </c>
      <c r="G104" s="384">
        <f t="shared" si="18"/>
        <v>20.55300000000001</v>
      </c>
      <c r="H104" s="384">
        <f t="shared" si="18"/>
        <v>22.511580000000023</v>
      </c>
      <c r="I104" s="384">
        <f t="shared" si="18"/>
        <v>24.61669080000003</v>
      </c>
      <c r="J104" s="384">
        <f t="shared" si="18"/>
        <v>26.87828488800004</v>
      </c>
      <c r="K104" s="384">
        <f t="shared" si="18"/>
        <v>29.30695832688005</v>
      </c>
      <c r="L104" s="384">
        <f t="shared" si="18"/>
        <v>31.91399122591686</v>
      </c>
      <c r="M104" s="384">
        <f t="shared" si="18"/>
        <v>34.71139071487282</v>
      </c>
      <c r="N104" s="384">
        <f t="shared" si="18"/>
        <v>37.71193657378218</v>
      </c>
      <c r="O104" s="384">
        <f t="shared" si="18"/>
        <v>40.92922968086678</v>
      </c>
      <c r="P104" s="384">
        <f t="shared" si="18"/>
        <v>44.37774345088279</v>
      </c>
      <c r="Q104" s="384">
        <f t="shared" si="18"/>
        <v>48.072878446666294</v>
      </c>
      <c r="R104" s="384">
        <f t="shared" si="18"/>
        <v>52.03102035774606</v>
      </c>
      <c r="S104" s="384">
        <f t="shared" si="18"/>
        <v>56.269601551661765</v>
      </c>
      <c r="T104" s="384">
        <f t="shared" si="18"/>
        <v>60.807166416110476</v>
      </c>
      <c r="U104" s="384">
        <f t="shared" si="18"/>
        <v>65.66344072328008</v>
      </c>
      <c r="V104" s="384">
        <f t="shared" si="18"/>
        <v>70.85940526176799</v>
      </c>
      <c r="W104" s="384">
        <f t="shared" si="18"/>
        <v>76.41737399636878</v>
      </c>
      <c r="X104" s="384">
        <f t="shared" si="18"/>
        <v>82.36107703180141</v>
      </c>
      <c r="Y104" s="384">
        <f t="shared" si="18"/>
        <v>88.71574867318603</v>
      </c>
      <c r="Z104" s="70"/>
    </row>
    <row r="105" spans="3:26" ht="12.75" customHeight="1">
      <c r="C105" s="5"/>
      <c r="D105" s="54"/>
      <c r="E105" s="8" t="s">
        <v>204</v>
      </c>
      <c r="F105" s="384">
        <f t="shared" si="18"/>
        <v>0</v>
      </c>
      <c r="G105" s="384">
        <f t="shared" si="18"/>
        <v>14.911000000000001</v>
      </c>
      <c r="H105" s="384">
        <f t="shared" si="18"/>
        <v>16.64390000000001</v>
      </c>
      <c r="I105" s="384">
        <f t="shared" si="18"/>
        <v>18.514303600000012</v>
      </c>
      <c r="J105" s="384">
        <f t="shared" si="18"/>
        <v>20.531802200000023</v>
      </c>
      <c r="K105" s="384">
        <f t="shared" si="18"/>
        <v>22.70661633136003</v>
      </c>
      <c r="L105" s="384">
        <f t="shared" si="18"/>
        <v>25.049635550576035</v>
      </c>
      <c r="M105" s="384">
        <f t="shared" si="18"/>
        <v>27.57246081251838</v>
      </c>
      <c r="N105" s="384">
        <f t="shared" si="18"/>
        <v>30.287449475333567</v>
      </c>
      <c r="O105" s="384">
        <f t="shared" si="18"/>
        <v>33.207763098480235</v>
      </c>
      <c r="P105" s="384">
        <f t="shared" si="18"/>
        <v>36.34741820520076</v>
      </c>
      <c r="Q105" s="384">
        <f t="shared" si="18"/>
        <v>39.721340191157</v>
      </c>
      <c r="R105" s="384">
        <f t="shared" si="18"/>
        <v>43.34542057201638</v>
      </c>
      <c r="S105" s="384">
        <f t="shared" si="18"/>
        <v>47.23657777450292</v>
      </c>
      <c r="T105" s="384">
        <f t="shared" si="18"/>
        <v>51.412821687865275</v>
      </c>
      <c r="U105" s="384">
        <f t="shared" si="18"/>
        <v>55.89332220590505</v>
      </c>
      <c r="V105" s="384">
        <f t="shared" si="18"/>
        <v>60.69848200369795</v>
      </c>
      <c r="W105" s="384">
        <f t="shared" si="18"/>
        <v>65.85001380797596</v>
      </c>
      <c r="X105" s="384">
        <f t="shared" si="18"/>
        <v>71.37102243587287</v>
      </c>
      <c r="Y105" s="384">
        <f t="shared" si="18"/>
        <v>77.28609189342033</v>
      </c>
      <c r="Z105" s="70"/>
    </row>
    <row r="106" spans="3:26" ht="12.75" customHeight="1">
      <c r="C106" s="5"/>
      <c r="D106" s="54"/>
      <c r="E106" s="8" t="s">
        <v>205</v>
      </c>
      <c r="F106" s="384">
        <f t="shared" si="18"/>
        <v>0</v>
      </c>
      <c r="G106" s="384">
        <f t="shared" si="18"/>
        <v>5.642000000000003</v>
      </c>
      <c r="H106" s="384">
        <f t="shared" si="18"/>
        <v>5.867680000000007</v>
      </c>
      <c r="I106" s="384">
        <f t="shared" si="18"/>
        <v>6.10238720000001</v>
      </c>
      <c r="J106" s="384">
        <f t="shared" si="18"/>
        <v>6.346482688000016</v>
      </c>
      <c r="K106" s="384">
        <f t="shared" si="18"/>
        <v>6.600341995520019</v>
      </c>
      <c r="L106" s="384">
        <f t="shared" si="18"/>
        <v>6.864355675340818</v>
      </c>
      <c r="M106" s="384">
        <f t="shared" si="18"/>
        <v>7.138929902354448</v>
      </c>
      <c r="N106" s="384">
        <f t="shared" si="18"/>
        <v>7.424487098448623</v>
      </c>
      <c r="O106" s="384">
        <f t="shared" si="18"/>
        <v>7.721466582386562</v>
      </c>
      <c r="P106" s="384">
        <f t="shared" si="18"/>
        <v>8.030325245682015</v>
      </c>
      <c r="Q106" s="384">
        <f t="shared" si="18"/>
        <v>8.351538255509297</v>
      </c>
      <c r="R106" s="384">
        <f t="shared" si="18"/>
        <v>8.685599785729664</v>
      </c>
      <c r="S106" s="384">
        <f t="shared" si="18"/>
        <v>9.03302377715886</v>
      </c>
      <c r="T106" s="384">
        <f t="shared" si="18"/>
        <v>9.394344728245215</v>
      </c>
      <c r="U106" s="384">
        <f t="shared" si="18"/>
        <v>9.770118517375025</v>
      </c>
      <c r="V106" s="384">
        <f t="shared" si="18"/>
        <v>10.160923258070028</v>
      </c>
      <c r="W106" s="384">
        <f t="shared" si="18"/>
        <v>10.567360188392826</v>
      </c>
      <c r="X106" s="384">
        <f t="shared" si="18"/>
        <v>10.990054595928541</v>
      </c>
      <c r="Y106" s="384">
        <f t="shared" si="18"/>
        <v>11.42965677976568</v>
      </c>
      <c r="Z106" s="70"/>
    </row>
    <row r="107" spans="3:26" ht="12.75" customHeight="1">
      <c r="C107" s="5"/>
      <c r="D107" s="54"/>
      <c r="E107" s="8" t="s">
        <v>206</v>
      </c>
      <c r="F107" s="384">
        <f t="shared" si="18"/>
        <v>0</v>
      </c>
      <c r="G107" s="384">
        <f t="shared" si="18"/>
        <v>0</v>
      </c>
      <c r="H107" s="384">
        <f t="shared" si="18"/>
        <v>0</v>
      </c>
      <c r="I107" s="384">
        <f t="shared" si="18"/>
        <v>0</v>
      </c>
      <c r="J107" s="384">
        <f t="shared" si="18"/>
        <v>0</v>
      </c>
      <c r="K107" s="384">
        <f t="shared" si="18"/>
        <v>0</v>
      </c>
      <c r="L107" s="384">
        <f t="shared" si="18"/>
        <v>0</v>
      </c>
      <c r="M107" s="384">
        <f t="shared" si="18"/>
        <v>0</v>
      </c>
      <c r="N107" s="384">
        <f t="shared" si="18"/>
        <v>0</v>
      </c>
      <c r="O107" s="384">
        <f t="shared" si="18"/>
        <v>0</v>
      </c>
      <c r="P107" s="384">
        <f t="shared" si="18"/>
        <v>0</v>
      </c>
      <c r="Q107" s="384">
        <f t="shared" si="18"/>
        <v>0</v>
      </c>
      <c r="R107" s="384">
        <f t="shared" si="18"/>
        <v>0</v>
      </c>
      <c r="S107" s="384">
        <f t="shared" si="18"/>
        <v>0</v>
      </c>
      <c r="T107" s="384">
        <f t="shared" si="18"/>
        <v>0</v>
      </c>
      <c r="U107" s="384">
        <f t="shared" si="18"/>
        <v>0</v>
      </c>
      <c r="V107" s="384">
        <f t="shared" si="18"/>
        <v>0</v>
      </c>
      <c r="W107" s="384">
        <f t="shared" si="18"/>
        <v>0</v>
      </c>
      <c r="X107" s="384">
        <f t="shared" si="18"/>
        <v>0</v>
      </c>
      <c r="Y107" s="384">
        <f t="shared" si="18"/>
        <v>0</v>
      </c>
      <c r="Z107" s="70"/>
    </row>
    <row r="108" spans="3:26" ht="12.75" customHeight="1">
      <c r="C108" s="5"/>
      <c r="D108" s="54"/>
      <c r="E108" s="8" t="s">
        <v>207</v>
      </c>
      <c r="F108" s="384">
        <f t="shared" si="18"/>
        <v>0</v>
      </c>
      <c r="G108" s="384">
        <f t="shared" si="18"/>
        <v>0</v>
      </c>
      <c r="H108" s="384">
        <f t="shared" si="18"/>
        <v>0</v>
      </c>
      <c r="I108" s="384">
        <f t="shared" si="18"/>
        <v>0</v>
      </c>
      <c r="J108" s="384">
        <f t="shared" si="18"/>
        <v>0</v>
      </c>
      <c r="K108" s="384">
        <f t="shared" si="18"/>
        <v>0</v>
      </c>
      <c r="L108" s="384">
        <f t="shared" si="18"/>
        <v>0</v>
      </c>
      <c r="M108" s="384">
        <f t="shared" si="18"/>
        <v>0</v>
      </c>
      <c r="N108" s="384">
        <f t="shared" si="18"/>
        <v>0</v>
      </c>
      <c r="O108" s="384">
        <f t="shared" si="18"/>
        <v>0</v>
      </c>
      <c r="P108" s="384">
        <f t="shared" si="18"/>
        <v>0</v>
      </c>
      <c r="Q108" s="384">
        <f t="shared" si="18"/>
        <v>0</v>
      </c>
      <c r="R108" s="384">
        <f t="shared" si="18"/>
        <v>0</v>
      </c>
      <c r="S108" s="384">
        <f t="shared" si="18"/>
        <v>0</v>
      </c>
      <c r="T108" s="384">
        <f t="shared" si="18"/>
        <v>0</v>
      </c>
      <c r="U108" s="384">
        <f t="shared" si="18"/>
        <v>0</v>
      </c>
      <c r="V108" s="384">
        <f t="shared" si="18"/>
        <v>0</v>
      </c>
      <c r="W108" s="384">
        <f t="shared" si="18"/>
        <v>0</v>
      </c>
      <c r="X108" s="384">
        <f t="shared" si="18"/>
        <v>0</v>
      </c>
      <c r="Y108" s="384">
        <f t="shared" si="18"/>
        <v>0</v>
      </c>
      <c r="Z108" s="70"/>
    </row>
    <row r="109" spans="3:26" ht="12.75" customHeight="1">
      <c r="C109" s="5"/>
      <c r="D109" s="54"/>
      <c r="E109" s="8" t="s">
        <v>185</v>
      </c>
      <c r="F109" s="384">
        <f t="shared" si="18"/>
        <v>0</v>
      </c>
      <c r="G109" s="384">
        <f t="shared" si="18"/>
        <v>0</v>
      </c>
      <c r="H109" s="384">
        <f t="shared" si="18"/>
        <v>0</v>
      </c>
      <c r="I109" s="384">
        <f t="shared" si="18"/>
        <v>0</v>
      </c>
      <c r="J109" s="384">
        <f t="shared" si="18"/>
        <v>0</v>
      </c>
      <c r="K109" s="384">
        <f t="shared" si="18"/>
        <v>0</v>
      </c>
      <c r="L109" s="384">
        <f t="shared" si="18"/>
        <v>0</v>
      </c>
      <c r="M109" s="384">
        <f t="shared" si="18"/>
        <v>0</v>
      </c>
      <c r="N109" s="384">
        <f t="shared" si="18"/>
        <v>0</v>
      </c>
      <c r="O109" s="384">
        <f t="shared" si="18"/>
        <v>0</v>
      </c>
      <c r="P109" s="384">
        <f t="shared" si="18"/>
        <v>0</v>
      </c>
      <c r="Q109" s="384">
        <f t="shared" si="18"/>
        <v>0</v>
      </c>
      <c r="R109" s="384">
        <f t="shared" si="18"/>
        <v>0</v>
      </c>
      <c r="S109" s="384">
        <f t="shared" si="18"/>
        <v>0</v>
      </c>
      <c r="T109" s="384">
        <f t="shared" si="18"/>
        <v>0</v>
      </c>
      <c r="U109" s="384">
        <f t="shared" si="18"/>
        <v>0</v>
      </c>
      <c r="V109" s="384">
        <f t="shared" si="18"/>
        <v>0</v>
      </c>
      <c r="W109" s="384">
        <f t="shared" si="18"/>
        <v>0</v>
      </c>
      <c r="X109" s="384">
        <f t="shared" si="18"/>
        <v>0</v>
      </c>
      <c r="Y109" s="384">
        <f t="shared" si="18"/>
        <v>0</v>
      </c>
      <c r="Z109" s="70"/>
    </row>
    <row r="110" spans="3:26" ht="12.75" customHeight="1">
      <c r="C110" s="5"/>
      <c r="D110" s="54"/>
      <c r="E110" s="8" t="s">
        <v>140</v>
      </c>
      <c r="F110" s="384">
        <f t="shared" si="18"/>
        <v>0</v>
      </c>
      <c r="G110" s="384">
        <f t="shared" si="18"/>
        <v>20.55300000000001</v>
      </c>
      <c r="H110" s="384">
        <f t="shared" si="18"/>
        <v>22.511580000000023</v>
      </c>
      <c r="I110" s="384">
        <f t="shared" si="18"/>
        <v>24.61669080000003</v>
      </c>
      <c r="J110" s="384">
        <f t="shared" si="18"/>
        <v>26.87828488800004</v>
      </c>
      <c r="K110" s="384">
        <f t="shared" si="18"/>
        <v>29.30695832688005</v>
      </c>
      <c r="L110" s="384">
        <f t="shared" si="18"/>
        <v>31.91399122591686</v>
      </c>
      <c r="M110" s="384">
        <f t="shared" si="18"/>
        <v>34.71139071487282</v>
      </c>
      <c r="N110" s="384">
        <f t="shared" si="18"/>
        <v>37.71193657378218</v>
      </c>
      <c r="O110" s="384">
        <f t="shared" si="18"/>
        <v>40.92922968086678</v>
      </c>
      <c r="P110" s="384">
        <f t="shared" si="18"/>
        <v>44.37774345088279</v>
      </c>
      <c r="Q110" s="384">
        <f t="shared" si="18"/>
        <v>48.072878446666294</v>
      </c>
      <c r="R110" s="384">
        <f t="shared" si="18"/>
        <v>52.03102035774606</v>
      </c>
      <c r="S110" s="384">
        <f t="shared" si="18"/>
        <v>56.269601551661765</v>
      </c>
      <c r="T110" s="384">
        <f t="shared" si="18"/>
        <v>60.807166416110476</v>
      </c>
      <c r="U110" s="384">
        <f t="shared" si="18"/>
        <v>65.66344072328008</v>
      </c>
      <c r="V110" s="384">
        <f t="shared" si="18"/>
        <v>70.85940526176799</v>
      </c>
      <c r="W110" s="384">
        <f t="shared" si="18"/>
        <v>76.41737399636878</v>
      </c>
      <c r="X110" s="384">
        <f t="shared" si="18"/>
        <v>82.36107703180141</v>
      </c>
      <c r="Y110" s="384">
        <f t="shared" si="18"/>
        <v>88.71574867318603</v>
      </c>
      <c r="Z110" s="70"/>
    </row>
    <row r="111" spans="3:26" ht="12.75" customHeight="1">
      <c r="C111" s="5"/>
      <c r="D111" s="54"/>
      <c r="E111" s="8"/>
      <c r="F111" s="384"/>
      <c r="G111" s="384"/>
      <c r="H111" s="384"/>
      <c r="I111" s="384"/>
      <c r="J111" s="384"/>
      <c r="K111" s="384"/>
      <c r="L111" s="384"/>
      <c r="M111" s="384"/>
      <c r="N111" s="384"/>
      <c r="O111" s="384"/>
      <c r="P111" s="384"/>
      <c r="Q111" s="384"/>
      <c r="R111" s="384"/>
      <c r="S111" s="384"/>
      <c r="T111" s="384"/>
      <c r="U111" s="384"/>
      <c r="V111" s="384"/>
      <c r="W111" s="384"/>
      <c r="X111" s="384"/>
      <c r="Y111" s="384"/>
      <c r="Z111" s="70"/>
    </row>
    <row r="112" spans="3:26" ht="12.75" customHeight="1">
      <c r="C112" s="5"/>
      <c r="D112" s="54"/>
      <c r="E112" s="14" t="s">
        <v>193</v>
      </c>
      <c r="F112" s="383"/>
      <c r="G112" s="383"/>
      <c r="H112" s="383"/>
      <c r="I112" s="383"/>
      <c r="J112" s="383"/>
      <c r="K112" s="383"/>
      <c r="L112" s="383"/>
      <c r="M112" s="383"/>
      <c r="N112" s="383"/>
      <c r="O112" s="383"/>
      <c r="P112" s="383"/>
      <c r="Q112" s="383"/>
      <c r="R112" s="383"/>
      <c r="S112" s="383"/>
      <c r="T112" s="383"/>
      <c r="U112" s="383"/>
      <c r="V112" s="383"/>
      <c r="W112" s="383"/>
      <c r="X112" s="383"/>
      <c r="Y112" s="383"/>
      <c r="Z112" s="70"/>
    </row>
    <row r="113" spans="3:26" ht="12.75" customHeight="1">
      <c r="C113" s="5"/>
      <c r="D113" s="54"/>
      <c r="E113" s="138" t="s">
        <v>194</v>
      </c>
      <c r="F113" s="383">
        <f>F114+F115</f>
        <v>0</v>
      </c>
      <c r="G113" s="383">
        <f aca="true" t="shared" si="19" ref="G113:Y113">G114+G115</f>
        <v>0</v>
      </c>
      <c r="H113" s="383">
        <f t="shared" si="19"/>
        <v>0</v>
      </c>
      <c r="I113" s="383">
        <f t="shared" si="19"/>
        <v>0</v>
      </c>
      <c r="J113" s="383">
        <f t="shared" si="19"/>
        <v>0</v>
      </c>
      <c r="K113" s="383">
        <f t="shared" si="19"/>
        <v>0</v>
      </c>
      <c r="L113" s="383">
        <f t="shared" si="19"/>
        <v>0</v>
      </c>
      <c r="M113" s="383">
        <f t="shared" si="19"/>
        <v>0</v>
      </c>
      <c r="N113" s="383">
        <f t="shared" si="19"/>
        <v>0</v>
      </c>
      <c r="O113" s="383">
        <f t="shared" si="19"/>
        <v>0</v>
      </c>
      <c r="P113" s="383">
        <f t="shared" si="19"/>
        <v>0</v>
      </c>
      <c r="Q113" s="383">
        <f t="shared" si="19"/>
        <v>0</v>
      </c>
      <c r="R113" s="383">
        <f t="shared" si="19"/>
        <v>0</v>
      </c>
      <c r="S113" s="383">
        <f t="shared" si="19"/>
        <v>0</v>
      </c>
      <c r="T113" s="383">
        <f t="shared" si="19"/>
        <v>0</v>
      </c>
      <c r="U113" s="383">
        <f t="shared" si="19"/>
        <v>0</v>
      </c>
      <c r="V113" s="383">
        <f t="shared" si="19"/>
        <v>0</v>
      </c>
      <c r="W113" s="383">
        <f t="shared" si="19"/>
        <v>0</v>
      </c>
      <c r="X113" s="383">
        <f t="shared" si="19"/>
        <v>0</v>
      </c>
      <c r="Y113" s="383">
        <f t="shared" si="19"/>
        <v>0</v>
      </c>
      <c r="Z113" s="70"/>
    </row>
    <row r="114" spans="3:26" ht="12.75" customHeight="1">
      <c r="C114" s="5"/>
      <c r="D114" s="54"/>
      <c r="E114" s="138" t="s">
        <v>195</v>
      </c>
      <c r="F114" s="383">
        <f>F102*('Airside-Freight'!$G40/exch2)*((1+'Airside-Freight'!$I40)^F$28)</f>
        <v>0</v>
      </c>
      <c r="G114" s="383">
        <f>G102*('Airside-Freight'!$G40/exch2)*((1+'Airside-Freight'!$I40)^G$28)</f>
        <v>0</v>
      </c>
      <c r="H114" s="383">
        <f>H102*('Airside-Freight'!$G40/exch2)*((1+'Airside-Freight'!$I40)^H$28)</f>
        <v>0</v>
      </c>
      <c r="I114" s="383">
        <f>I102*('Airside-Freight'!$G40/exch2)*((1+'Airside-Freight'!$I40)^I$28)</f>
        <v>0</v>
      </c>
      <c r="J114" s="383">
        <f>J102*('Airside-Freight'!$G40/exch2)*((1+'Airside-Freight'!$I40)^J$28)</f>
        <v>0</v>
      </c>
      <c r="K114" s="383">
        <f>K102*('Airside-Freight'!$G40/exch2)*((1+'Airside-Freight'!$I40)^K$28)</f>
        <v>0</v>
      </c>
      <c r="L114" s="383">
        <f>L102*('Airside-Freight'!$G40/exch2)*((1+'Airside-Freight'!$I40)^L$28)</f>
        <v>0</v>
      </c>
      <c r="M114" s="383">
        <f>M102*('Airside-Freight'!$G40/exch2)*((1+'Airside-Freight'!$I40)^M$28)</f>
        <v>0</v>
      </c>
      <c r="N114" s="383">
        <f>N102*('Airside-Freight'!$G40/exch2)*((1+'Airside-Freight'!$I40)^N$28)</f>
        <v>0</v>
      </c>
      <c r="O114" s="383">
        <f>O102*('Airside-Freight'!$G40/exch2)*((1+'Airside-Freight'!$I40)^O$28)</f>
        <v>0</v>
      </c>
      <c r="P114" s="383">
        <f>P102*('Airside-Freight'!$G40/exch2)*((1+'Airside-Freight'!$I40)^P$28)</f>
        <v>0</v>
      </c>
      <c r="Q114" s="383">
        <f>Q102*('Airside-Freight'!$G40/exch2)*((1+'Airside-Freight'!$I40)^Q$28)</f>
        <v>0</v>
      </c>
      <c r="R114" s="383">
        <f>R102*('Airside-Freight'!$G40/exch2)*((1+'Airside-Freight'!$I40)^R$28)</f>
        <v>0</v>
      </c>
      <c r="S114" s="383">
        <f>S102*('Airside-Freight'!$G40/exch2)*((1+'Airside-Freight'!$I40)^S$28)</f>
        <v>0</v>
      </c>
      <c r="T114" s="383">
        <f>T102*('Airside-Freight'!$G40/exch2)*((1+'Airside-Freight'!$I40)^T$28)</f>
        <v>0</v>
      </c>
      <c r="U114" s="383">
        <f>U102*('Airside-Freight'!$G40/exch2)*((1+'Airside-Freight'!$I40)^U$28)</f>
        <v>0</v>
      </c>
      <c r="V114" s="383">
        <f>V102*('Airside-Freight'!$G40/exch2)*((1+'Airside-Freight'!$I40)^V$28)</f>
        <v>0</v>
      </c>
      <c r="W114" s="383">
        <f>W102*('Airside-Freight'!$G40/exch2)*((1+'Airside-Freight'!$I40)^W$28)</f>
        <v>0</v>
      </c>
      <c r="X114" s="383">
        <f>X102*('Airside-Freight'!$G40/exch2)*((1+'Airside-Freight'!$I40)^X$28)</f>
        <v>0</v>
      </c>
      <c r="Y114" s="383">
        <f>Y102*('Airside-Freight'!$G40/exch2)*((1+'Airside-Freight'!$I40)^Y$28)</f>
        <v>0</v>
      </c>
      <c r="Z114" s="70"/>
    </row>
    <row r="115" spans="3:26" ht="12.75" customHeight="1">
      <c r="C115" s="5"/>
      <c r="D115" s="54"/>
      <c r="E115" s="138" t="s">
        <v>196</v>
      </c>
      <c r="F115" s="383">
        <f>F103*('Airside-Freight'!$G41/exch2)*((1+'Airside-Freight'!$I41)^F$28)</f>
        <v>0</v>
      </c>
      <c r="G115" s="383">
        <f>G103*('Airside-Freight'!$G41/exch2)*((1+'Airside-Freight'!$I41)^G$28)</f>
        <v>0</v>
      </c>
      <c r="H115" s="383">
        <f>H103*('Airside-Freight'!$G41/exch2)*((1+'Airside-Freight'!$I41)^H$28)</f>
        <v>0</v>
      </c>
      <c r="I115" s="383">
        <f>I103*('Airside-Freight'!$G41/exch2)*((1+'Airside-Freight'!$I41)^I$28)</f>
        <v>0</v>
      </c>
      <c r="J115" s="383">
        <f>J103*('Airside-Freight'!$G41/exch2)*((1+'Airside-Freight'!$I41)^J$28)</f>
        <v>0</v>
      </c>
      <c r="K115" s="383">
        <f>K103*('Airside-Freight'!$G41/exch2)*((1+'Airside-Freight'!$I41)^K$28)</f>
        <v>0</v>
      </c>
      <c r="L115" s="383">
        <f>L103*('Airside-Freight'!$G41/exch2)*((1+'Airside-Freight'!$I41)^L$28)</f>
        <v>0</v>
      </c>
      <c r="M115" s="383">
        <f>M103*('Airside-Freight'!$G41/exch2)*((1+'Airside-Freight'!$I41)^M$28)</f>
        <v>0</v>
      </c>
      <c r="N115" s="383">
        <f>N103*('Airside-Freight'!$G41/exch2)*((1+'Airside-Freight'!$I41)^N$28)</f>
        <v>0</v>
      </c>
      <c r="O115" s="383">
        <f>O103*('Airside-Freight'!$G41/exch2)*((1+'Airside-Freight'!$I41)^O$28)</f>
        <v>0</v>
      </c>
      <c r="P115" s="383">
        <f>P103*('Airside-Freight'!$G41/exch2)*((1+'Airside-Freight'!$I41)^P$28)</f>
        <v>0</v>
      </c>
      <c r="Q115" s="383">
        <f>Q103*('Airside-Freight'!$G41/exch2)*((1+'Airside-Freight'!$I41)^Q$28)</f>
        <v>0</v>
      </c>
      <c r="R115" s="383">
        <f>R103*('Airside-Freight'!$G41/exch2)*((1+'Airside-Freight'!$I41)^R$28)</f>
        <v>0</v>
      </c>
      <c r="S115" s="383">
        <f>S103*('Airside-Freight'!$G41/exch2)*((1+'Airside-Freight'!$I41)^S$28)</f>
        <v>0</v>
      </c>
      <c r="T115" s="383">
        <f>T103*('Airside-Freight'!$G41/exch2)*((1+'Airside-Freight'!$I41)^T$28)</f>
        <v>0</v>
      </c>
      <c r="U115" s="383">
        <f>U103*('Airside-Freight'!$G41/exch2)*((1+'Airside-Freight'!$I41)^U$28)</f>
        <v>0</v>
      </c>
      <c r="V115" s="383">
        <f>V103*('Airside-Freight'!$G41/exch2)*((1+'Airside-Freight'!$I41)^V$28)</f>
        <v>0</v>
      </c>
      <c r="W115" s="383">
        <f>W103*('Airside-Freight'!$G41/exch2)*((1+'Airside-Freight'!$I41)^W$28)</f>
        <v>0</v>
      </c>
      <c r="X115" s="383">
        <f>X103*('Airside-Freight'!$G41/exch2)*((1+'Airside-Freight'!$I41)^X$28)</f>
        <v>0</v>
      </c>
      <c r="Y115" s="383">
        <f>Y103*('Airside-Freight'!$G41/exch2)*((1+'Airside-Freight'!$I41)^Y$28)</f>
        <v>0</v>
      </c>
      <c r="Z115" s="70"/>
    </row>
    <row r="116" spans="3:26" ht="12.75" customHeight="1">
      <c r="C116" s="5"/>
      <c r="D116" s="54"/>
      <c r="E116" s="138" t="s">
        <v>197</v>
      </c>
      <c r="F116" s="383">
        <f>F117+F118</f>
        <v>0</v>
      </c>
      <c r="G116" s="383">
        <f aca="true" t="shared" si="20" ref="G116:Y116">G117+G118</f>
        <v>324.15243000000004</v>
      </c>
      <c r="H116" s="383">
        <f t="shared" si="20"/>
        <v>358.59267229800025</v>
      </c>
      <c r="I116" s="383">
        <f t="shared" si="20"/>
        <v>396.0467717715351</v>
      </c>
      <c r="J116" s="383">
        <f t="shared" si="20"/>
        <v>436.75685849109027</v>
      </c>
      <c r="K116" s="383">
        <f t="shared" si="20"/>
        <v>480.9836362385231</v>
      </c>
      <c r="L116" s="383">
        <f t="shared" si="20"/>
        <v>529.007768369238</v>
      </c>
      <c r="M116" s="383">
        <f t="shared" si="20"/>
        <v>581.1313652739598</v>
      </c>
      <c r="N116" s="383">
        <f t="shared" si="20"/>
        <v>637.6795808024309</v>
      </c>
      <c r="O116" s="383">
        <f t="shared" si="20"/>
        <v>699.0023255406745</v>
      </c>
      <c r="P116" s="383">
        <f t="shared" si="20"/>
        <v>765.4761054006509</v>
      </c>
      <c r="Q116" s="383">
        <f t="shared" si="20"/>
        <v>837.5059945888529</v>
      </c>
      <c r="R116" s="383">
        <f t="shared" si="20"/>
        <v>915.5277526715466</v>
      </c>
      <c r="S116" s="383">
        <f t="shared" si="20"/>
        <v>1000.0100961520607</v>
      </c>
      <c r="T116" s="383">
        <f t="shared" si="20"/>
        <v>1091.457135723051</v>
      </c>
      <c r="U116" s="383">
        <f t="shared" si="20"/>
        <v>1190.4109911575981</v>
      </c>
      <c r="V116" s="383">
        <f t="shared" si="20"/>
        <v>1297.4545966611115</v>
      </c>
      <c r="W116" s="383">
        <f t="shared" si="20"/>
        <v>1413.2147104253731</v>
      </c>
      <c r="X116" s="383">
        <f t="shared" si="20"/>
        <v>1538.3651431110861</v>
      </c>
      <c r="Y116" s="383">
        <f t="shared" si="20"/>
        <v>1673.630221040546</v>
      </c>
      <c r="Z116" s="70"/>
    </row>
    <row r="117" spans="3:26" ht="12.75" customHeight="1">
      <c r="C117" s="5"/>
      <c r="D117" s="54"/>
      <c r="E117" s="138" t="s">
        <v>198</v>
      </c>
      <c r="F117" s="383">
        <f>F105*('Airside-Freight'!$G43/exch2)*((1+'Airside-Freight'!$I43)^F$28)</f>
        <v>0</v>
      </c>
      <c r="G117" s="383">
        <f>G105*('Airside-Freight'!$G43/exch2)*((1+'Airside-Freight'!$I43)^G$28)</f>
        <v>235.16941</v>
      </c>
      <c r="H117" s="383">
        <f>H105*('Airside-Freight'!$G43/exch2)*((1+'Airside-Freight'!$I43)^H$28)</f>
        <v>265.12490809000013</v>
      </c>
      <c r="I117" s="383">
        <f>I105*('Airside-Freight'!$G43/exch2)*((1+'Airside-Freight'!$I43)^I$28)</f>
        <v>297.8682322474518</v>
      </c>
      <c r="J117" s="383">
        <f>J105*('Airside-Freight'!$G43/exch2)*((1+'Airside-Freight'!$I43)^J$28)</f>
        <v>333.63012057499304</v>
      </c>
      <c r="K117" s="383">
        <f>K105*('Airside-Freight'!$G43/exch2)*((1+'Airside-Freight'!$I43)^K$28)</f>
        <v>372.6593107314545</v>
      </c>
      <c r="L117" s="383">
        <f>L105*('Airside-Freight'!$G43/exch2)*((1+'Airside-Freight'!$I43)^L$28)</f>
        <v>415.2238968566131</v>
      </c>
      <c r="M117" s="383">
        <f>M105*('Airside-Freight'!$G43/exch2)*((1+'Airside-Freight'!$I43)^M$28)</f>
        <v>461.6127866370987</v>
      </c>
      <c r="N117" s="383">
        <f>N105*('Airside-Freight'!$G43/exch2)*((1+'Airside-Freight'!$I43)^N$28)</f>
        <v>512.137265802272</v>
      </c>
      <c r="O117" s="383">
        <f>O105*('Airside-Freight'!$G43/exch2)*((1+'Airside-Freight'!$I43)^O$28)</f>
        <v>567.1326778645077</v>
      </c>
      <c r="P117" s="383">
        <f>P105*('Airside-Freight'!$G43/exch2)*((1+'Airside-Freight'!$I43)^P$28)</f>
        <v>626.9602274816056</v>
      </c>
      <c r="Q117" s="383">
        <f>Q105*('Airside-Freight'!$G43/exch2)*((1+'Airside-Freight'!$I43)^Q$28)</f>
        <v>692.0089164226877</v>
      </c>
      <c r="R117" s="383">
        <f>R105*('Airside-Freight'!$G43/exch2)*((1+'Airside-Freight'!$I43)^R$28)</f>
        <v>762.6976217658067</v>
      </c>
      <c r="S117" s="383">
        <f>S105*('Airside-Freight'!$G43/exch2)*((1+'Airside-Freight'!$I43)^S$28)</f>
        <v>839.4773266486714</v>
      </c>
      <c r="T117" s="383">
        <f>T105*('Airside-Freight'!$G43/exch2)*((1+'Airside-Freight'!$I43)^T$28)</f>
        <v>922.8335146366907</v>
      </c>
      <c r="U117" s="383">
        <f>U105*('Airside-Freight'!$G43/exch2)*((1+'Airside-Freight'!$I43)^U$28)</f>
        <v>1013.2887395684853</v>
      </c>
      <c r="V117" s="383">
        <f>V105*('Airside-Freight'!$G43/exch2)*((1+'Airside-Freight'!$I43)^V$28)</f>
        <v>1111.4053835919074</v>
      </c>
      <c r="W117" s="383">
        <f>W105*('Airside-Freight'!$G43/exch2)*((1+'Airside-Freight'!$I43)^W$28)</f>
        <v>1217.788617017481</v>
      </c>
      <c r="X117" s="383">
        <f>X105*('Airside-Freight'!$G43/exch2)*((1+'Airside-Freight'!$I43)^X$28)</f>
        <v>1333.0895745954363</v>
      </c>
      <c r="Y117" s="383">
        <f>Y105*('Airside-Freight'!$G43/exch2)*((1+'Airside-Freight'!$I43)^Y$28)</f>
        <v>1458.0087638717077</v>
      </c>
      <c r="Z117" s="70"/>
    </row>
    <row r="118" spans="3:26" ht="12.75" customHeight="1">
      <c r="C118" s="5"/>
      <c r="D118" s="54"/>
      <c r="E118" s="138" t="s">
        <v>199</v>
      </c>
      <c r="F118" s="383">
        <f>F106*('Airside-Freight'!$G44/exch2)*((1+'Airside-Freight'!$I44)^F$28)</f>
        <v>0</v>
      </c>
      <c r="G118" s="383">
        <f>G106*('Airside-Freight'!$G44/exch2)*((1+'Airside-Freight'!$I44)^G$28)</f>
        <v>88.98302000000005</v>
      </c>
      <c r="H118" s="383">
        <f>H106*('Airside-Freight'!$G44/exch2)*((1+'Airside-Freight'!$I44)^H$28)</f>
        <v>93.46776420800012</v>
      </c>
      <c r="I118" s="383">
        <f>I106*('Airside-Freight'!$G44/exch2)*((1+'Airside-Freight'!$I44)^I$28)</f>
        <v>98.17853952408333</v>
      </c>
      <c r="J118" s="383">
        <f>J106*('Airside-Freight'!$G44/exch2)*((1+'Airside-Freight'!$I44)^J$28)</f>
        <v>103.12673791609726</v>
      </c>
      <c r="K118" s="383">
        <f>K106*('Airside-Freight'!$G44/exch2)*((1+'Airside-Freight'!$I44)^K$28)</f>
        <v>108.32432550706858</v>
      </c>
      <c r="L118" s="383">
        <f>L106*('Airside-Freight'!$G44/exch2)*((1+'Airside-Freight'!$I44)^L$28)</f>
        <v>113.78387151262483</v>
      </c>
      <c r="M118" s="383">
        <f>M106*('Airside-Freight'!$G44/exch2)*((1+'Airside-Freight'!$I44)^M$28)</f>
        <v>119.51857863686104</v>
      </c>
      <c r="N118" s="383">
        <f>N106*('Airside-Freight'!$G44/exch2)*((1+'Airside-Freight'!$I44)^N$28)</f>
        <v>125.54231500015881</v>
      </c>
      <c r="O118" s="383">
        <f>O106*('Airside-Freight'!$G44/exch2)*((1+'Airside-Freight'!$I44)^O$28)</f>
        <v>131.86964767616675</v>
      </c>
      <c r="P118" s="383">
        <f>P106*('Airside-Freight'!$G44/exch2)*((1+'Airside-Freight'!$I44)^P$28)</f>
        <v>138.51587791904538</v>
      </c>
      <c r="Q118" s="383">
        <f>Q106*('Airside-Freight'!$G44/exch2)*((1+'Airside-Freight'!$I44)^Q$28)</f>
        <v>145.49707816616527</v>
      </c>
      <c r="R118" s="383">
        <f>R106*('Airside-Freight'!$G44/exch2)*((1+'Airside-Freight'!$I44)^R$28)</f>
        <v>152.8301309057399</v>
      </c>
      <c r="S118" s="383">
        <f>S106*('Airside-Freight'!$G44/exch2)*((1+'Airside-Freight'!$I44)^S$28)</f>
        <v>160.53276950338937</v>
      </c>
      <c r="T118" s="383">
        <f>T106*('Airside-Freight'!$G44/exch2)*((1+'Airside-Freight'!$I44)^T$28)</f>
        <v>168.62362108636023</v>
      </c>
      <c r="U118" s="383">
        <f>U106*('Airside-Freight'!$G44/exch2)*((1+'Airside-Freight'!$I44)^U$28)</f>
        <v>177.12225158911275</v>
      </c>
      <c r="V118" s="383">
        <f>V106*('Airside-Freight'!$G44/exch2)*((1+'Airside-Freight'!$I44)^V$28)</f>
        <v>186.04921306920414</v>
      </c>
      <c r="W118" s="383">
        <f>W106*('Airside-Freight'!$G44/exch2)*((1+'Airside-Freight'!$I44)^W$28)</f>
        <v>195.42609340789198</v>
      </c>
      <c r="X118" s="383">
        <f>X106*('Airside-Freight'!$G44/exch2)*((1+'Airside-Freight'!$I44)^X$28)</f>
        <v>205.2755685156498</v>
      </c>
      <c r="Y118" s="383">
        <f>Y106*('Airside-Freight'!$G44/exch2)*((1+'Airside-Freight'!$I44)^Y$28)</f>
        <v>215.62145716883842</v>
      </c>
      <c r="Z118" s="70"/>
    </row>
    <row r="119" spans="3:26" ht="12.75" customHeight="1">
      <c r="C119" s="5"/>
      <c r="D119" s="54"/>
      <c r="E119" s="138" t="s">
        <v>200</v>
      </c>
      <c r="F119" s="383">
        <f>F120+F121</f>
        <v>0</v>
      </c>
      <c r="G119" s="383">
        <f aca="true" t="shared" si="21" ref="G119:Y119">G120+G121</f>
        <v>0</v>
      </c>
      <c r="H119" s="383">
        <f t="shared" si="21"/>
        <v>0</v>
      </c>
      <c r="I119" s="383">
        <f t="shared" si="21"/>
        <v>0</v>
      </c>
      <c r="J119" s="383">
        <f t="shared" si="21"/>
        <v>0</v>
      </c>
      <c r="K119" s="383">
        <f t="shared" si="21"/>
        <v>0</v>
      </c>
      <c r="L119" s="383">
        <f t="shared" si="21"/>
        <v>0</v>
      </c>
      <c r="M119" s="383">
        <f t="shared" si="21"/>
        <v>0</v>
      </c>
      <c r="N119" s="383">
        <f t="shared" si="21"/>
        <v>0</v>
      </c>
      <c r="O119" s="383">
        <f t="shared" si="21"/>
        <v>0</v>
      </c>
      <c r="P119" s="383">
        <f t="shared" si="21"/>
        <v>0</v>
      </c>
      <c r="Q119" s="383">
        <f t="shared" si="21"/>
        <v>0</v>
      </c>
      <c r="R119" s="383">
        <f t="shared" si="21"/>
        <v>0</v>
      </c>
      <c r="S119" s="383">
        <f t="shared" si="21"/>
        <v>0</v>
      </c>
      <c r="T119" s="383">
        <f t="shared" si="21"/>
        <v>0</v>
      </c>
      <c r="U119" s="383">
        <f t="shared" si="21"/>
        <v>0</v>
      </c>
      <c r="V119" s="383">
        <f t="shared" si="21"/>
        <v>0</v>
      </c>
      <c r="W119" s="383">
        <f t="shared" si="21"/>
        <v>0</v>
      </c>
      <c r="X119" s="383">
        <f t="shared" si="21"/>
        <v>0</v>
      </c>
      <c r="Y119" s="383">
        <f t="shared" si="21"/>
        <v>0</v>
      </c>
      <c r="Z119" s="70"/>
    </row>
    <row r="120" spans="3:26" ht="12.75" customHeight="1">
      <c r="C120" s="5"/>
      <c r="D120" s="54"/>
      <c r="E120" s="138" t="s">
        <v>201</v>
      </c>
      <c r="F120" s="383">
        <f>F108*('Airside-Freight'!$G46/exch2)*((1+'Airside-Freight'!$I46)^F$28)</f>
        <v>0</v>
      </c>
      <c r="G120" s="383">
        <f>G108*('Airside-Freight'!$G46/exch2)*((1+'Airside-Freight'!$I46)^G$28)</f>
        <v>0</v>
      </c>
      <c r="H120" s="383">
        <f>H108*('Airside-Freight'!$G46/exch2)*((1+'Airside-Freight'!$I46)^H$28)</f>
        <v>0</v>
      </c>
      <c r="I120" s="383">
        <f>I108*('Airside-Freight'!$G46/exch2)*((1+'Airside-Freight'!$I46)^I$28)</f>
        <v>0</v>
      </c>
      <c r="J120" s="383">
        <f>J108*('Airside-Freight'!$G46/exch2)*((1+'Airside-Freight'!$I46)^J$28)</f>
        <v>0</v>
      </c>
      <c r="K120" s="383">
        <f>K108*('Airside-Freight'!$G46/exch2)*((1+'Airside-Freight'!$I46)^K$28)</f>
        <v>0</v>
      </c>
      <c r="L120" s="383">
        <f>L108*('Airside-Freight'!$G46/exch2)*((1+'Airside-Freight'!$I46)^L$28)</f>
        <v>0</v>
      </c>
      <c r="M120" s="383">
        <f>M108*('Airside-Freight'!$G46/exch2)*((1+'Airside-Freight'!$I46)^M$28)</f>
        <v>0</v>
      </c>
      <c r="N120" s="383">
        <f>N108*('Airside-Freight'!$G46/exch2)*((1+'Airside-Freight'!$I46)^N$28)</f>
        <v>0</v>
      </c>
      <c r="O120" s="383">
        <f>O108*('Airside-Freight'!$G46/exch2)*((1+'Airside-Freight'!$I46)^O$28)</f>
        <v>0</v>
      </c>
      <c r="P120" s="383">
        <f>P108*('Airside-Freight'!$G46/exch2)*((1+'Airside-Freight'!$I46)^P$28)</f>
        <v>0</v>
      </c>
      <c r="Q120" s="383">
        <f>Q108*('Airside-Freight'!$G46/exch2)*((1+'Airside-Freight'!$I46)^Q$28)</f>
        <v>0</v>
      </c>
      <c r="R120" s="383">
        <f>R108*('Airside-Freight'!$G46/exch2)*((1+'Airside-Freight'!$I46)^R$28)</f>
        <v>0</v>
      </c>
      <c r="S120" s="383">
        <f>S108*('Airside-Freight'!$G46/exch2)*((1+'Airside-Freight'!$I46)^S$28)</f>
        <v>0</v>
      </c>
      <c r="T120" s="383">
        <f>T108*('Airside-Freight'!$G46/exch2)*((1+'Airside-Freight'!$I46)^T$28)</f>
        <v>0</v>
      </c>
      <c r="U120" s="383">
        <f>U108*('Airside-Freight'!$G46/exch2)*((1+'Airside-Freight'!$I46)^U$28)</f>
        <v>0</v>
      </c>
      <c r="V120" s="383">
        <f>V108*('Airside-Freight'!$G46/exch2)*((1+'Airside-Freight'!$I46)^V$28)</f>
        <v>0</v>
      </c>
      <c r="W120" s="383">
        <f>W108*('Airside-Freight'!$G46/exch2)*((1+'Airside-Freight'!$I46)^W$28)</f>
        <v>0</v>
      </c>
      <c r="X120" s="383">
        <f>X108*('Airside-Freight'!$G46/exch2)*((1+'Airside-Freight'!$I46)^X$28)</f>
        <v>0</v>
      </c>
      <c r="Y120" s="383">
        <f>Y108*('Airside-Freight'!$G46/exch2)*((1+'Airside-Freight'!$I46)^Y$28)</f>
        <v>0</v>
      </c>
      <c r="Z120" s="70"/>
    </row>
    <row r="121" spans="3:26" ht="12.75" customHeight="1">
      <c r="C121" s="5"/>
      <c r="D121" s="54"/>
      <c r="E121" s="138" t="s">
        <v>199</v>
      </c>
      <c r="F121" s="383">
        <f>F109*('Airside-Freight'!$G47/exch2)*((1+'Airside-Freight'!$I47)^F$28)</f>
        <v>0</v>
      </c>
      <c r="G121" s="383">
        <f>G109*('Airside-Freight'!$G47/exch2)*((1+'Airside-Freight'!$I47)^G$28)</f>
        <v>0</v>
      </c>
      <c r="H121" s="383">
        <f>H109*('Airside-Freight'!$G47/exch2)*((1+'Airside-Freight'!$I47)^H$28)</f>
        <v>0</v>
      </c>
      <c r="I121" s="383">
        <f>I109*('Airside-Freight'!$G47/exch2)*((1+'Airside-Freight'!$I47)^I$28)</f>
        <v>0</v>
      </c>
      <c r="J121" s="383">
        <f>J109*('Airside-Freight'!$G47/exch2)*((1+'Airside-Freight'!$I47)^J$28)</f>
        <v>0</v>
      </c>
      <c r="K121" s="383">
        <f>K109*('Airside-Freight'!$G47/exch2)*((1+'Airside-Freight'!$I47)^K$28)</f>
        <v>0</v>
      </c>
      <c r="L121" s="383">
        <f>L109*('Airside-Freight'!$G47/exch2)*((1+'Airside-Freight'!$I47)^L$28)</f>
        <v>0</v>
      </c>
      <c r="M121" s="383">
        <f>M109*('Airside-Freight'!$G47/exch2)*((1+'Airside-Freight'!$I47)^M$28)</f>
        <v>0</v>
      </c>
      <c r="N121" s="383">
        <f>N109*('Airside-Freight'!$G47/exch2)*((1+'Airside-Freight'!$I47)^N$28)</f>
        <v>0</v>
      </c>
      <c r="O121" s="383">
        <f>O109*('Airside-Freight'!$G47/exch2)*((1+'Airside-Freight'!$I47)^O$28)</f>
        <v>0</v>
      </c>
      <c r="P121" s="383">
        <f>P109*('Airside-Freight'!$G47/exch2)*((1+'Airside-Freight'!$I47)^P$28)</f>
        <v>0</v>
      </c>
      <c r="Q121" s="383">
        <f>Q109*('Airside-Freight'!$G47/exch2)*((1+'Airside-Freight'!$I47)^Q$28)</f>
        <v>0</v>
      </c>
      <c r="R121" s="383">
        <f>R109*('Airside-Freight'!$G47/exch2)*((1+'Airside-Freight'!$I47)^R$28)</f>
        <v>0</v>
      </c>
      <c r="S121" s="383">
        <f>S109*('Airside-Freight'!$G47/exch2)*((1+'Airside-Freight'!$I47)^S$28)</f>
        <v>0</v>
      </c>
      <c r="T121" s="383">
        <f>T109*('Airside-Freight'!$G47/exch2)*((1+'Airside-Freight'!$I47)^T$28)</f>
        <v>0</v>
      </c>
      <c r="U121" s="383">
        <f>U109*('Airside-Freight'!$G47/exch2)*((1+'Airside-Freight'!$I47)^U$28)</f>
        <v>0</v>
      </c>
      <c r="V121" s="383">
        <f>V109*('Airside-Freight'!$G47/exch2)*((1+'Airside-Freight'!$I47)^V$28)</f>
        <v>0</v>
      </c>
      <c r="W121" s="383">
        <f>W109*('Airside-Freight'!$G47/exch2)*((1+'Airside-Freight'!$I47)^W$28)</f>
        <v>0</v>
      </c>
      <c r="X121" s="383">
        <f>X109*('Airside-Freight'!$G47/exch2)*((1+'Airside-Freight'!$I47)^X$28)</f>
        <v>0</v>
      </c>
      <c r="Y121" s="383">
        <f>Y109*('Airside-Freight'!$G47/exch2)*((1+'Airside-Freight'!$I47)^Y$28)</f>
        <v>0</v>
      </c>
      <c r="Z121" s="70"/>
    </row>
    <row r="122" spans="3:26" ht="12.75" customHeight="1">
      <c r="C122" s="5"/>
      <c r="D122" s="54"/>
      <c r="E122" s="56" t="s">
        <v>209</v>
      </c>
      <c r="F122" s="383">
        <f>F113+F116+F119</f>
        <v>0</v>
      </c>
      <c r="G122" s="383">
        <v>0</v>
      </c>
      <c r="H122" s="383">
        <v>0</v>
      </c>
      <c r="I122" s="383">
        <v>0</v>
      </c>
      <c r="J122" s="383">
        <v>0</v>
      </c>
      <c r="K122" s="383">
        <v>0</v>
      </c>
      <c r="L122" s="383">
        <v>0</v>
      </c>
      <c r="M122" s="383">
        <v>0</v>
      </c>
      <c r="N122" s="383">
        <v>0</v>
      </c>
      <c r="O122" s="383">
        <v>0</v>
      </c>
      <c r="P122" s="383">
        <v>0</v>
      </c>
      <c r="Q122" s="383">
        <v>0</v>
      </c>
      <c r="R122" s="383">
        <v>0</v>
      </c>
      <c r="S122" s="383">
        <v>0</v>
      </c>
      <c r="T122" s="383">
        <v>0</v>
      </c>
      <c r="U122" s="383">
        <v>0</v>
      </c>
      <c r="V122" s="383">
        <v>0</v>
      </c>
      <c r="W122" s="383">
        <v>0</v>
      </c>
      <c r="X122" s="383">
        <v>0</v>
      </c>
      <c r="Y122" s="383">
        <v>0</v>
      </c>
      <c r="Z122" s="70"/>
    </row>
    <row r="123" spans="3:26" ht="12.75" customHeight="1">
      <c r="C123" s="5"/>
      <c r="D123" s="54"/>
      <c r="E123" s="14"/>
      <c r="F123" s="385"/>
      <c r="G123" s="385"/>
      <c r="H123" s="385"/>
      <c r="I123" s="385"/>
      <c r="J123" s="385"/>
      <c r="K123" s="385"/>
      <c r="L123" s="385"/>
      <c r="M123" s="385"/>
      <c r="N123" s="385"/>
      <c r="O123" s="385"/>
      <c r="P123" s="385"/>
      <c r="Q123" s="385"/>
      <c r="R123" s="385"/>
      <c r="S123" s="385"/>
      <c r="T123" s="385"/>
      <c r="U123" s="385"/>
      <c r="V123" s="385"/>
      <c r="W123" s="385"/>
      <c r="X123" s="385"/>
      <c r="Y123" s="385"/>
      <c r="Z123" s="70"/>
    </row>
    <row r="124" spans="3:26" ht="12.75" customHeight="1">
      <c r="C124" s="5"/>
      <c r="D124" s="54" t="s">
        <v>8</v>
      </c>
      <c r="E124" s="14" t="s">
        <v>127</v>
      </c>
      <c r="F124" s="385" t="s">
        <v>7</v>
      </c>
      <c r="G124" s="385" t="s">
        <v>7</v>
      </c>
      <c r="H124" s="385" t="s">
        <v>7</v>
      </c>
      <c r="I124" s="385" t="s">
        <v>7</v>
      </c>
      <c r="J124" s="385" t="s">
        <v>7</v>
      </c>
      <c r="K124" s="385" t="s">
        <v>7</v>
      </c>
      <c r="L124" s="385" t="s">
        <v>7</v>
      </c>
      <c r="M124" s="385" t="s">
        <v>7</v>
      </c>
      <c r="N124" s="385" t="s">
        <v>7</v>
      </c>
      <c r="O124" s="385" t="s">
        <v>7</v>
      </c>
      <c r="P124" s="385" t="s">
        <v>7</v>
      </c>
      <c r="Q124" s="385" t="s">
        <v>7</v>
      </c>
      <c r="R124" s="385" t="s">
        <v>7</v>
      </c>
      <c r="S124" s="385" t="s">
        <v>7</v>
      </c>
      <c r="T124" s="385" t="s">
        <v>7</v>
      </c>
      <c r="U124" s="385" t="s">
        <v>7</v>
      </c>
      <c r="V124" s="385" t="s">
        <v>7</v>
      </c>
      <c r="W124" s="385" t="s">
        <v>7</v>
      </c>
      <c r="X124" s="385" t="s">
        <v>7</v>
      </c>
      <c r="Y124" s="385" t="s">
        <v>7</v>
      </c>
      <c r="Z124" s="70"/>
    </row>
    <row r="125" spans="3:26" ht="12.75" customHeight="1">
      <c r="C125" s="5"/>
      <c r="D125" s="54"/>
      <c r="E125" s="147" t="s">
        <v>213</v>
      </c>
      <c r="F125" s="386"/>
      <c r="G125" s="386"/>
      <c r="H125" s="386"/>
      <c r="I125" s="386"/>
      <c r="J125" s="386"/>
      <c r="K125" s="386"/>
      <c r="L125" s="386"/>
      <c r="M125" s="386"/>
      <c r="N125" s="386"/>
      <c r="O125" s="386"/>
      <c r="P125" s="386"/>
      <c r="Q125" s="386"/>
      <c r="R125" s="386"/>
      <c r="S125" s="386"/>
      <c r="T125" s="386"/>
      <c r="U125" s="386"/>
      <c r="V125" s="386"/>
      <c r="W125" s="386"/>
      <c r="X125" s="386"/>
      <c r="Y125" s="386"/>
      <c r="Z125" s="70"/>
    </row>
    <row r="126" spans="3:26" ht="12.75" customHeight="1">
      <c r="C126" s="5"/>
      <c r="D126" s="54"/>
      <c r="E126" s="138" t="s">
        <v>134</v>
      </c>
      <c r="F126" s="386">
        <f>(Terminal!E25/exch2)</f>
        <v>0</v>
      </c>
      <c r="G126" s="386">
        <v>0</v>
      </c>
      <c r="H126" s="386">
        <v>0</v>
      </c>
      <c r="I126" s="386">
        <v>0</v>
      </c>
      <c r="J126" s="386">
        <v>0</v>
      </c>
      <c r="K126" s="386">
        <v>0</v>
      </c>
      <c r="L126" s="386">
        <v>0</v>
      </c>
      <c r="M126" s="386">
        <v>0</v>
      </c>
      <c r="N126" s="386">
        <v>0</v>
      </c>
      <c r="O126" s="386">
        <v>0</v>
      </c>
      <c r="P126" s="386">
        <v>0</v>
      </c>
      <c r="Q126" s="386">
        <v>0</v>
      </c>
      <c r="R126" s="386">
        <v>0</v>
      </c>
      <c r="S126" s="386">
        <v>0</v>
      </c>
      <c r="T126" s="386">
        <v>0</v>
      </c>
      <c r="U126" s="386">
        <v>0</v>
      </c>
      <c r="V126" s="386">
        <v>0</v>
      </c>
      <c r="W126" s="386">
        <v>0</v>
      </c>
      <c r="X126" s="386">
        <v>0</v>
      </c>
      <c r="Y126" s="386">
        <v>0</v>
      </c>
      <c r="Z126" s="70"/>
    </row>
    <row r="127" spans="3:26" ht="12.75" customHeight="1">
      <c r="C127" s="5"/>
      <c r="D127" s="54"/>
      <c r="E127" s="138" t="s">
        <v>135</v>
      </c>
      <c r="F127" s="386">
        <f>(Terminal!E26/exch2)</f>
        <v>0</v>
      </c>
      <c r="G127" s="386">
        <v>0</v>
      </c>
      <c r="H127" s="386">
        <v>0</v>
      </c>
      <c r="I127" s="386">
        <v>0</v>
      </c>
      <c r="J127" s="386">
        <v>0</v>
      </c>
      <c r="K127" s="386">
        <v>0</v>
      </c>
      <c r="L127" s="386">
        <v>0</v>
      </c>
      <c r="M127" s="386">
        <v>0</v>
      </c>
      <c r="N127" s="386">
        <v>0</v>
      </c>
      <c r="O127" s="386">
        <v>0</v>
      </c>
      <c r="P127" s="386">
        <v>0</v>
      </c>
      <c r="Q127" s="386">
        <v>0</v>
      </c>
      <c r="R127" s="386">
        <v>0</v>
      </c>
      <c r="S127" s="386">
        <v>0</v>
      </c>
      <c r="T127" s="386">
        <v>0</v>
      </c>
      <c r="U127" s="386">
        <v>0</v>
      </c>
      <c r="V127" s="386">
        <v>0</v>
      </c>
      <c r="W127" s="386">
        <v>0</v>
      </c>
      <c r="X127" s="386">
        <v>0</v>
      </c>
      <c r="Y127" s="386">
        <v>0</v>
      </c>
      <c r="Z127" s="70"/>
    </row>
    <row r="128" spans="3:26" ht="12.75" customHeight="1">
      <c r="C128" s="5"/>
      <c r="D128" s="54"/>
      <c r="E128" s="138" t="s">
        <v>136</v>
      </c>
      <c r="F128" s="386">
        <f>(Terminal!E27/exch2)</f>
        <v>0</v>
      </c>
      <c r="G128" s="386">
        <v>0</v>
      </c>
      <c r="H128" s="386">
        <v>0</v>
      </c>
      <c r="I128" s="386">
        <v>0</v>
      </c>
      <c r="J128" s="386">
        <v>0</v>
      </c>
      <c r="K128" s="386">
        <v>0</v>
      </c>
      <c r="L128" s="386">
        <v>0</v>
      </c>
      <c r="M128" s="386">
        <v>0</v>
      </c>
      <c r="N128" s="386">
        <v>0</v>
      </c>
      <c r="O128" s="386">
        <v>0</v>
      </c>
      <c r="P128" s="386">
        <v>0</v>
      </c>
      <c r="Q128" s="386">
        <v>0</v>
      </c>
      <c r="R128" s="386">
        <v>0</v>
      </c>
      <c r="S128" s="386">
        <v>0</v>
      </c>
      <c r="T128" s="386">
        <v>0</v>
      </c>
      <c r="U128" s="386">
        <v>0</v>
      </c>
      <c r="V128" s="386">
        <v>0</v>
      </c>
      <c r="W128" s="386">
        <v>0</v>
      </c>
      <c r="X128" s="386">
        <v>0</v>
      </c>
      <c r="Y128" s="386">
        <v>0</v>
      </c>
      <c r="Z128" s="70"/>
    </row>
    <row r="129" spans="3:26" ht="12.75" customHeight="1">
      <c r="C129" s="5"/>
      <c r="D129" s="54"/>
      <c r="E129" s="138" t="s">
        <v>137</v>
      </c>
      <c r="F129" s="386">
        <f>(Terminal!E28/exch2)</f>
        <v>0</v>
      </c>
      <c r="G129" s="386">
        <v>0</v>
      </c>
      <c r="H129" s="386">
        <v>0</v>
      </c>
      <c r="I129" s="386">
        <v>0</v>
      </c>
      <c r="J129" s="386">
        <v>0</v>
      </c>
      <c r="K129" s="386">
        <v>0</v>
      </c>
      <c r="L129" s="386">
        <v>0</v>
      </c>
      <c r="M129" s="386">
        <v>0</v>
      </c>
      <c r="N129" s="386">
        <v>0</v>
      </c>
      <c r="O129" s="386">
        <v>0</v>
      </c>
      <c r="P129" s="386">
        <v>0</v>
      </c>
      <c r="Q129" s="386">
        <v>0</v>
      </c>
      <c r="R129" s="386">
        <v>0</v>
      </c>
      <c r="S129" s="386">
        <v>0</v>
      </c>
      <c r="T129" s="386">
        <v>0</v>
      </c>
      <c r="U129" s="386">
        <v>0</v>
      </c>
      <c r="V129" s="386">
        <v>0</v>
      </c>
      <c r="W129" s="386">
        <v>0</v>
      </c>
      <c r="X129" s="386">
        <v>0</v>
      </c>
      <c r="Y129" s="386">
        <v>0</v>
      </c>
      <c r="Z129" s="70"/>
    </row>
    <row r="130" spans="3:26" ht="12.75" customHeight="1">
      <c r="C130" s="5"/>
      <c r="D130" s="54"/>
      <c r="E130" s="138" t="s">
        <v>138</v>
      </c>
      <c r="F130" s="386">
        <f>(Terminal!E29/exch2)</f>
        <v>0</v>
      </c>
      <c r="G130" s="386">
        <v>0</v>
      </c>
      <c r="H130" s="386">
        <v>0</v>
      </c>
      <c r="I130" s="386">
        <v>0</v>
      </c>
      <c r="J130" s="386">
        <v>0</v>
      </c>
      <c r="K130" s="386">
        <v>0</v>
      </c>
      <c r="L130" s="386">
        <v>0</v>
      </c>
      <c r="M130" s="386">
        <v>0</v>
      </c>
      <c r="N130" s="386">
        <v>0</v>
      </c>
      <c r="O130" s="386">
        <v>0</v>
      </c>
      <c r="P130" s="386">
        <v>0</v>
      </c>
      <c r="Q130" s="386">
        <v>0</v>
      </c>
      <c r="R130" s="386">
        <v>0</v>
      </c>
      <c r="S130" s="386">
        <v>0</v>
      </c>
      <c r="T130" s="386">
        <v>0</v>
      </c>
      <c r="U130" s="386">
        <v>0</v>
      </c>
      <c r="V130" s="386">
        <v>0</v>
      </c>
      <c r="W130" s="386">
        <v>0</v>
      </c>
      <c r="X130" s="386">
        <v>0</v>
      </c>
      <c r="Y130" s="386">
        <v>0</v>
      </c>
      <c r="Z130" s="70"/>
    </row>
    <row r="131" spans="3:26" ht="12.75" customHeight="1">
      <c r="C131" s="5"/>
      <c r="D131" s="54"/>
      <c r="E131" s="138" t="s">
        <v>139</v>
      </c>
      <c r="F131" s="386">
        <f>(Terminal!E30/exch2)</f>
        <v>0</v>
      </c>
      <c r="G131" s="386">
        <v>0</v>
      </c>
      <c r="H131" s="386">
        <v>0</v>
      </c>
      <c r="I131" s="386">
        <v>0</v>
      </c>
      <c r="J131" s="386">
        <v>0</v>
      </c>
      <c r="K131" s="386">
        <v>0</v>
      </c>
      <c r="L131" s="386">
        <v>0</v>
      </c>
      <c r="M131" s="386">
        <v>0</v>
      </c>
      <c r="N131" s="386">
        <v>0</v>
      </c>
      <c r="O131" s="386">
        <v>0</v>
      </c>
      <c r="P131" s="386">
        <v>0</v>
      </c>
      <c r="Q131" s="386">
        <v>0</v>
      </c>
      <c r="R131" s="386">
        <v>0</v>
      </c>
      <c r="S131" s="386">
        <v>0</v>
      </c>
      <c r="T131" s="386">
        <v>0</v>
      </c>
      <c r="U131" s="386">
        <v>0</v>
      </c>
      <c r="V131" s="386">
        <v>0</v>
      </c>
      <c r="W131" s="386">
        <v>0</v>
      </c>
      <c r="X131" s="386">
        <v>0</v>
      </c>
      <c r="Y131" s="386">
        <v>0</v>
      </c>
      <c r="Z131" s="70"/>
    </row>
    <row r="132" spans="3:26" ht="12.75" customHeight="1">
      <c r="C132" s="5"/>
      <c r="D132" s="54"/>
      <c r="E132" s="138" t="s">
        <v>140</v>
      </c>
      <c r="F132" s="386">
        <f>SUM(F126:F131)</f>
        <v>0</v>
      </c>
      <c r="G132" s="386">
        <v>0</v>
      </c>
      <c r="H132" s="386">
        <v>0</v>
      </c>
      <c r="I132" s="386">
        <v>0</v>
      </c>
      <c r="J132" s="386">
        <v>0</v>
      </c>
      <c r="K132" s="386">
        <v>0</v>
      </c>
      <c r="L132" s="386">
        <v>0</v>
      </c>
      <c r="M132" s="386">
        <v>0</v>
      </c>
      <c r="N132" s="386">
        <v>0</v>
      </c>
      <c r="O132" s="386">
        <v>0</v>
      </c>
      <c r="P132" s="386">
        <v>0</v>
      </c>
      <c r="Q132" s="386">
        <v>0</v>
      </c>
      <c r="R132" s="386">
        <v>0</v>
      </c>
      <c r="S132" s="386">
        <v>0</v>
      </c>
      <c r="T132" s="386">
        <v>0</v>
      </c>
      <c r="U132" s="386">
        <v>0</v>
      </c>
      <c r="V132" s="386">
        <v>0</v>
      </c>
      <c r="W132" s="386">
        <v>0</v>
      </c>
      <c r="X132" s="386">
        <v>0</v>
      </c>
      <c r="Y132" s="386">
        <v>0</v>
      </c>
      <c r="Z132" s="70"/>
    </row>
    <row r="133" spans="3:26" ht="12.75" customHeight="1">
      <c r="C133" s="5"/>
      <c r="D133" s="54"/>
      <c r="E133" s="138"/>
      <c r="F133" s="386"/>
      <c r="G133" s="386"/>
      <c r="H133" s="386"/>
      <c r="I133" s="386"/>
      <c r="J133" s="386"/>
      <c r="K133" s="386"/>
      <c r="L133" s="386"/>
      <c r="M133" s="386"/>
      <c r="N133" s="386"/>
      <c r="O133" s="386"/>
      <c r="P133" s="386"/>
      <c r="Q133" s="386"/>
      <c r="R133" s="386"/>
      <c r="S133" s="386"/>
      <c r="T133" s="386"/>
      <c r="U133" s="386"/>
      <c r="V133" s="386"/>
      <c r="W133" s="386"/>
      <c r="X133" s="386"/>
      <c r="Y133" s="386"/>
      <c r="Z133" s="70"/>
    </row>
    <row r="134" spans="3:26" ht="12.75" customHeight="1">
      <c r="C134" s="5"/>
      <c r="D134" s="54"/>
      <c r="E134" s="147" t="s">
        <v>214</v>
      </c>
      <c r="F134" s="386"/>
      <c r="G134" s="386"/>
      <c r="H134" s="386"/>
      <c r="I134" s="386"/>
      <c r="J134" s="386"/>
      <c r="K134" s="386"/>
      <c r="L134" s="386"/>
      <c r="M134" s="386"/>
      <c r="N134" s="386"/>
      <c r="O134" s="386"/>
      <c r="P134" s="386"/>
      <c r="Q134" s="386"/>
      <c r="R134" s="386"/>
      <c r="S134" s="386"/>
      <c r="T134" s="386"/>
      <c r="U134" s="386"/>
      <c r="V134" s="386"/>
      <c r="W134" s="386"/>
      <c r="X134" s="386"/>
      <c r="Y134" s="386"/>
      <c r="Z134" s="70"/>
    </row>
    <row r="135" spans="3:26" ht="12.75" customHeight="1">
      <c r="C135" s="5"/>
      <c r="D135" s="54"/>
      <c r="E135" s="138" t="s">
        <v>134</v>
      </c>
      <c r="F135" s="386">
        <f aca="true" t="shared" si="22" ref="F135:F140">F126</f>
        <v>0</v>
      </c>
      <c r="G135" s="386">
        <f>IF($J$20=1,(1+'Benefit Profile'!$D64+'Benefit Profile'!$E64)*F135,IF($J$20=2,(1+'Benefit Profile'!$F64+'Benefit Profile'!$G64)*F135,(1+'Benefit Profile'!$H64+'Benefit Profile'!$I64)*F135))</f>
        <v>0</v>
      </c>
      <c r="H135" s="386">
        <f>IF($J$20=1,(1+'Benefit Profile'!$E64)*G135,IF($J$20=2,(1+'Benefit Profile'!$G64)*G135,(1+'Benefit Profile'!$I64)*G135))</f>
        <v>0</v>
      </c>
      <c r="I135" s="386">
        <f>IF($J$20=1,(1+'Benefit Profile'!$E64)*H135,IF($J$20=2,(1+'Benefit Profile'!$G64)*H135,(1+'Benefit Profile'!$I64)*H135))</f>
        <v>0</v>
      </c>
      <c r="J135" s="386">
        <f>IF($J$20=1,(1+'Benefit Profile'!$E64)*I135,IF($J$20=2,(1+'Benefit Profile'!$G64)*I135,(1+'Benefit Profile'!$I64)*I135))</f>
        <v>0</v>
      </c>
      <c r="K135" s="386">
        <f>IF($J$20=1,(1+'Benefit Profile'!$E64)*J135,IF($J$20=2,(1+'Benefit Profile'!$G64)*J135,(1+'Benefit Profile'!$I64)*J135))</f>
        <v>0</v>
      </c>
      <c r="L135" s="386">
        <f>IF($J$20=1,(1+'Benefit Profile'!$E64)*K135,IF($J$20=2,(1+'Benefit Profile'!$G64)*K135,(1+'Benefit Profile'!$I64)*K135))</f>
        <v>0</v>
      </c>
      <c r="M135" s="386">
        <f>IF($J$20=1,(1+'Benefit Profile'!$E64)*L135,IF($J$20=2,(1+'Benefit Profile'!$G64)*L135,(1+'Benefit Profile'!$I64)*L135))</f>
        <v>0</v>
      </c>
      <c r="N135" s="386">
        <f>IF($J$20=1,(1+'Benefit Profile'!$E64)*M135,IF($J$20=2,(1+'Benefit Profile'!$G64)*M135,(1+'Benefit Profile'!$I64)*M135))</f>
        <v>0</v>
      </c>
      <c r="O135" s="386">
        <f>IF($J$20=1,(1+'Benefit Profile'!$E64)*N135,IF($J$20=2,(1+'Benefit Profile'!$G64)*N135,(1+'Benefit Profile'!$I64)*N135))</f>
        <v>0</v>
      </c>
      <c r="P135" s="386">
        <f>IF($J$20=1,(1+'Benefit Profile'!$E64)*O135,IF($J$20=2,(1+'Benefit Profile'!$G64)*O135,(1+'Benefit Profile'!$I64)*O135))</f>
        <v>0</v>
      </c>
      <c r="Q135" s="386">
        <f>IF($J$20=1,(1+'Benefit Profile'!$E64)*P135,IF($J$20=2,(1+'Benefit Profile'!$G64)*P135,(1+'Benefit Profile'!$I64)*P135))</f>
        <v>0</v>
      </c>
      <c r="R135" s="386">
        <f>IF($J$20=1,(1+'Benefit Profile'!$E64)*Q135,IF($J$20=2,(1+'Benefit Profile'!$G64)*Q135,(1+'Benefit Profile'!$I64)*Q135))</f>
        <v>0</v>
      </c>
      <c r="S135" s="386">
        <f>IF($J$20=1,(1+'Benefit Profile'!$E64)*R135,IF($J$20=2,(1+'Benefit Profile'!$G64)*R135,(1+'Benefit Profile'!$I64)*R135))</f>
        <v>0</v>
      </c>
      <c r="T135" s="386">
        <f>IF($J$20=1,(1+'Benefit Profile'!$E64)*S135,IF($J$20=2,(1+'Benefit Profile'!$G64)*S135,(1+'Benefit Profile'!$I64)*S135))</f>
        <v>0</v>
      </c>
      <c r="U135" s="386">
        <f>IF($J$20=1,(1+'Benefit Profile'!$E64)*T135,IF($J$20=2,(1+'Benefit Profile'!$G64)*T135,(1+'Benefit Profile'!$I64)*T135))</f>
        <v>0</v>
      </c>
      <c r="V135" s="386">
        <f>IF($J$20=1,(1+'Benefit Profile'!$E64)*U135,IF($J$20=2,(1+'Benefit Profile'!$G64)*U135,(1+'Benefit Profile'!$I64)*U135))</f>
        <v>0</v>
      </c>
      <c r="W135" s="386">
        <f>IF($J$20=1,(1+'Benefit Profile'!$E64)*V135,IF($J$20=2,(1+'Benefit Profile'!$G64)*V135,(1+'Benefit Profile'!$I64)*V135))</f>
        <v>0</v>
      </c>
      <c r="X135" s="386">
        <f>IF($J$20=1,(1+'Benefit Profile'!$E64)*W135,IF($J$20=2,(1+'Benefit Profile'!$G64)*W135,(1+'Benefit Profile'!$I64)*W135))</f>
        <v>0</v>
      </c>
      <c r="Y135" s="386">
        <f>IF($J$20=1,(1+'Benefit Profile'!$E64)*X135,IF($J$20=2,(1+'Benefit Profile'!$G64)*X135,(1+'Benefit Profile'!$I64)*X135))</f>
        <v>0</v>
      </c>
      <c r="Z135" s="70"/>
    </row>
    <row r="136" spans="3:26" ht="12.75" customHeight="1">
      <c r="C136" s="5"/>
      <c r="D136" s="54"/>
      <c r="E136" s="138" t="s">
        <v>135</v>
      </c>
      <c r="F136" s="386">
        <f t="shared" si="22"/>
        <v>0</v>
      </c>
      <c r="G136" s="386">
        <f>IF($J$20=1,(1+'Benefit Profile'!$D65+'Benefit Profile'!$E65)*F136,IF($J$20=2,(1+'Benefit Profile'!$F65+'Benefit Profile'!$G65)*F136,(1+'Benefit Profile'!$H65+'Benefit Profile'!$I65)*F136))</f>
        <v>0</v>
      </c>
      <c r="H136" s="386">
        <f>IF($J$20=1,(1+'Benefit Profile'!$E65)*G136,IF($J$20=2,(1+'Benefit Profile'!$G65)*G136,(1+'Benefit Profile'!$I65)*G136))</f>
        <v>0</v>
      </c>
      <c r="I136" s="386">
        <f>IF($J$20=1,(1+'Benefit Profile'!$E65)*H136,IF($J$20=2,(1+'Benefit Profile'!$G65)*H136,(1+'Benefit Profile'!$I65)*H136))</f>
        <v>0</v>
      </c>
      <c r="J136" s="386">
        <f>IF($J$20=1,(1+'Benefit Profile'!$E65)*I136,IF($J$20=2,(1+'Benefit Profile'!$G65)*I136,(1+'Benefit Profile'!$I65)*I136))</f>
        <v>0</v>
      </c>
      <c r="K136" s="386">
        <f>IF($J$20=1,(1+'Benefit Profile'!$E65)*J136,IF($J$20=2,(1+'Benefit Profile'!$G65)*J136,(1+'Benefit Profile'!$I65)*J136))</f>
        <v>0</v>
      </c>
      <c r="L136" s="386">
        <f>IF($J$20=1,(1+'Benefit Profile'!$E65)*K136,IF($J$20=2,(1+'Benefit Profile'!$G65)*K136,(1+'Benefit Profile'!$I65)*K136))</f>
        <v>0</v>
      </c>
      <c r="M136" s="386">
        <f>IF($J$20=1,(1+'Benefit Profile'!$E65)*L136,IF($J$20=2,(1+'Benefit Profile'!$G65)*L136,(1+'Benefit Profile'!$I65)*L136))</f>
        <v>0</v>
      </c>
      <c r="N136" s="386">
        <f>IF($J$20=1,(1+'Benefit Profile'!$E65)*M136,IF($J$20=2,(1+'Benefit Profile'!$G65)*M136,(1+'Benefit Profile'!$I65)*M136))</f>
        <v>0</v>
      </c>
      <c r="O136" s="386">
        <f>IF($J$20=1,(1+'Benefit Profile'!$E65)*N136,IF($J$20=2,(1+'Benefit Profile'!$G65)*N136,(1+'Benefit Profile'!$I65)*N136))</f>
        <v>0</v>
      </c>
      <c r="P136" s="386">
        <f>IF($J$20=1,(1+'Benefit Profile'!$E65)*O136,IF($J$20=2,(1+'Benefit Profile'!$G65)*O136,(1+'Benefit Profile'!$I65)*O136))</f>
        <v>0</v>
      </c>
      <c r="Q136" s="386">
        <f>IF($J$20=1,(1+'Benefit Profile'!$E65)*P136,IF($J$20=2,(1+'Benefit Profile'!$G65)*P136,(1+'Benefit Profile'!$I65)*P136))</f>
        <v>0</v>
      </c>
      <c r="R136" s="386">
        <f>IF($J$20=1,(1+'Benefit Profile'!$E65)*Q136,IF($J$20=2,(1+'Benefit Profile'!$G65)*Q136,(1+'Benefit Profile'!$I65)*Q136))</f>
        <v>0</v>
      </c>
      <c r="S136" s="386">
        <f>IF($J$20=1,(1+'Benefit Profile'!$E65)*R136,IF($J$20=2,(1+'Benefit Profile'!$G65)*R136,(1+'Benefit Profile'!$I65)*R136))</f>
        <v>0</v>
      </c>
      <c r="T136" s="386">
        <f>IF($J$20=1,(1+'Benefit Profile'!$E65)*S136,IF($J$20=2,(1+'Benefit Profile'!$G65)*S136,(1+'Benefit Profile'!$I65)*S136))</f>
        <v>0</v>
      </c>
      <c r="U136" s="386">
        <f>IF($J$20=1,(1+'Benefit Profile'!$E65)*T136,IF($J$20=2,(1+'Benefit Profile'!$G65)*T136,(1+'Benefit Profile'!$I65)*T136))</f>
        <v>0</v>
      </c>
      <c r="V136" s="386">
        <f>IF($J$20=1,(1+'Benefit Profile'!$E65)*U136,IF($J$20=2,(1+'Benefit Profile'!$G65)*U136,(1+'Benefit Profile'!$I65)*U136))</f>
        <v>0</v>
      </c>
      <c r="W136" s="386">
        <f>IF($J$20=1,(1+'Benefit Profile'!$E65)*V136,IF($J$20=2,(1+'Benefit Profile'!$G65)*V136,(1+'Benefit Profile'!$I65)*V136))</f>
        <v>0</v>
      </c>
      <c r="X136" s="386">
        <f>IF($J$20=1,(1+'Benefit Profile'!$E65)*W136,IF($J$20=2,(1+'Benefit Profile'!$G65)*W136,(1+'Benefit Profile'!$I65)*W136))</f>
        <v>0</v>
      </c>
      <c r="Y136" s="386">
        <f>IF($J$20=1,(1+'Benefit Profile'!$E65)*X136,IF($J$20=2,(1+'Benefit Profile'!$G65)*X136,(1+'Benefit Profile'!$I65)*X136))</f>
        <v>0</v>
      </c>
      <c r="Z136" s="70"/>
    </row>
    <row r="137" spans="3:26" ht="12.75" customHeight="1">
      <c r="C137" s="5"/>
      <c r="D137" s="54"/>
      <c r="E137" s="138" t="s">
        <v>136</v>
      </c>
      <c r="F137" s="386">
        <f t="shared" si="22"/>
        <v>0</v>
      </c>
      <c r="G137" s="386">
        <f>IF($J$20=1,(1+'Benefit Profile'!$D66+'Benefit Profile'!$E66)*F137,IF($J$20=2,(1+'Benefit Profile'!$F66+'Benefit Profile'!$G66)*F137,(1+'Benefit Profile'!$H66+'Benefit Profile'!$I66)*F137))</f>
        <v>0</v>
      </c>
      <c r="H137" s="386">
        <f>IF($J$20=1,(1+'Benefit Profile'!$E66)*G137,IF($J$20=2,(1+'Benefit Profile'!$G66)*G137,(1+'Benefit Profile'!$I66)*G137))</f>
        <v>0</v>
      </c>
      <c r="I137" s="386">
        <f>IF($J$20=1,(1+'Benefit Profile'!$E66)*H137,IF($J$20=2,(1+'Benefit Profile'!$G66)*H137,(1+'Benefit Profile'!$I66)*H137))</f>
        <v>0</v>
      </c>
      <c r="J137" s="386">
        <f>IF($J$20=1,(1+'Benefit Profile'!$E66)*I137,IF($J$20=2,(1+'Benefit Profile'!$G66)*I137,(1+'Benefit Profile'!$I66)*I137))</f>
        <v>0</v>
      </c>
      <c r="K137" s="386">
        <f>IF($J$20=1,(1+'Benefit Profile'!$E66)*J137,IF($J$20=2,(1+'Benefit Profile'!$G66)*J137,(1+'Benefit Profile'!$I66)*J137))</f>
        <v>0</v>
      </c>
      <c r="L137" s="386">
        <f>IF($J$20=1,(1+'Benefit Profile'!$E66)*K137,IF($J$20=2,(1+'Benefit Profile'!$G66)*K137,(1+'Benefit Profile'!$I66)*K137))</f>
        <v>0</v>
      </c>
      <c r="M137" s="386">
        <f>IF($J$20=1,(1+'Benefit Profile'!$E66)*L137,IF($J$20=2,(1+'Benefit Profile'!$G66)*L137,(1+'Benefit Profile'!$I66)*L137))</f>
        <v>0</v>
      </c>
      <c r="N137" s="386">
        <f>IF($J$20=1,(1+'Benefit Profile'!$E66)*M137,IF($J$20=2,(1+'Benefit Profile'!$G66)*M137,(1+'Benefit Profile'!$I66)*M137))</f>
        <v>0</v>
      </c>
      <c r="O137" s="386">
        <f>IF($J$20=1,(1+'Benefit Profile'!$E66)*N137,IF($J$20=2,(1+'Benefit Profile'!$G66)*N137,(1+'Benefit Profile'!$I66)*N137))</f>
        <v>0</v>
      </c>
      <c r="P137" s="386">
        <f>IF($J$20=1,(1+'Benefit Profile'!$E66)*O137,IF($J$20=2,(1+'Benefit Profile'!$G66)*O137,(1+'Benefit Profile'!$I66)*O137))</f>
        <v>0</v>
      </c>
      <c r="Q137" s="386">
        <f>IF($J$20=1,(1+'Benefit Profile'!$E66)*P137,IF($J$20=2,(1+'Benefit Profile'!$G66)*P137,(1+'Benefit Profile'!$I66)*P137))</f>
        <v>0</v>
      </c>
      <c r="R137" s="386">
        <f>IF($J$20=1,(1+'Benefit Profile'!$E66)*Q137,IF($J$20=2,(1+'Benefit Profile'!$G66)*Q137,(1+'Benefit Profile'!$I66)*Q137))</f>
        <v>0</v>
      </c>
      <c r="S137" s="386">
        <f>IF($J$20=1,(1+'Benefit Profile'!$E66)*R137,IF($J$20=2,(1+'Benefit Profile'!$G66)*R137,(1+'Benefit Profile'!$I66)*R137))</f>
        <v>0</v>
      </c>
      <c r="T137" s="386">
        <f>IF($J$20=1,(1+'Benefit Profile'!$E66)*S137,IF($J$20=2,(1+'Benefit Profile'!$G66)*S137,(1+'Benefit Profile'!$I66)*S137))</f>
        <v>0</v>
      </c>
      <c r="U137" s="386">
        <f>IF($J$20=1,(1+'Benefit Profile'!$E66)*T137,IF($J$20=2,(1+'Benefit Profile'!$G66)*T137,(1+'Benefit Profile'!$I66)*T137))</f>
        <v>0</v>
      </c>
      <c r="V137" s="386">
        <f>IF($J$20=1,(1+'Benefit Profile'!$E66)*U137,IF($J$20=2,(1+'Benefit Profile'!$G66)*U137,(1+'Benefit Profile'!$I66)*U137))</f>
        <v>0</v>
      </c>
      <c r="W137" s="386">
        <f>IF($J$20=1,(1+'Benefit Profile'!$E66)*V137,IF($J$20=2,(1+'Benefit Profile'!$G66)*V137,(1+'Benefit Profile'!$I66)*V137))</f>
        <v>0</v>
      </c>
      <c r="X137" s="386">
        <f>IF($J$20=1,(1+'Benefit Profile'!$E66)*W137,IF($J$20=2,(1+'Benefit Profile'!$G66)*W137,(1+'Benefit Profile'!$I66)*W137))</f>
        <v>0</v>
      </c>
      <c r="Y137" s="386">
        <f>IF($J$20=1,(1+'Benefit Profile'!$E66)*X137,IF($J$20=2,(1+'Benefit Profile'!$G66)*X137,(1+'Benefit Profile'!$I66)*X137))</f>
        <v>0</v>
      </c>
      <c r="Z137" s="70"/>
    </row>
    <row r="138" spans="3:26" ht="12.75" customHeight="1">
      <c r="C138" s="5"/>
      <c r="D138" s="54"/>
      <c r="E138" s="138" t="s">
        <v>137</v>
      </c>
      <c r="F138" s="386">
        <f t="shared" si="22"/>
        <v>0</v>
      </c>
      <c r="G138" s="386">
        <f>IF($J$20=1,(1+'Benefit Profile'!$D67+'Benefit Profile'!$E67)*F138,IF($J$20=2,(1+'Benefit Profile'!$F67+'Benefit Profile'!$G67)*F138,(1+'Benefit Profile'!$H67+'Benefit Profile'!$I67)*F138))</f>
        <v>0</v>
      </c>
      <c r="H138" s="386">
        <f>IF($J$20=1,(1+'Benefit Profile'!$E67)*G138,IF($J$20=2,(1+'Benefit Profile'!$G67)*G138,(1+'Benefit Profile'!$I67)*G138))</f>
        <v>0</v>
      </c>
      <c r="I138" s="386">
        <f>IF($J$20=1,(1+'Benefit Profile'!$E67)*H138,IF($J$20=2,(1+'Benefit Profile'!$G67)*H138,(1+'Benefit Profile'!$I67)*H138))</f>
        <v>0</v>
      </c>
      <c r="J138" s="386">
        <f>IF($J$20=1,(1+'Benefit Profile'!$E67)*I138,IF($J$20=2,(1+'Benefit Profile'!$G67)*I138,(1+'Benefit Profile'!$I67)*I138))</f>
        <v>0</v>
      </c>
      <c r="K138" s="386">
        <f>IF($J$20=1,(1+'Benefit Profile'!$E67)*J138,IF($J$20=2,(1+'Benefit Profile'!$G67)*J138,(1+'Benefit Profile'!$I67)*J138))</f>
        <v>0</v>
      </c>
      <c r="L138" s="386">
        <f>IF($J$20=1,(1+'Benefit Profile'!$E67)*K138,IF($J$20=2,(1+'Benefit Profile'!$G67)*K138,(1+'Benefit Profile'!$I67)*K138))</f>
        <v>0</v>
      </c>
      <c r="M138" s="386">
        <f>IF($J$20=1,(1+'Benefit Profile'!$E67)*L138,IF($J$20=2,(1+'Benefit Profile'!$G67)*L138,(1+'Benefit Profile'!$I67)*L138))</f>
        <v>0</v>
      </c>
      <c r="N138" s="386">
        <f>IF($J$20=1,(1+'Benefit Profile'!$E67)*M138,IF($J$20=2,(1+'Benefit Profile'!$G67)*M138,(1+'Benefit Profile'!$I67)*M138))</f>
        <v>0</v>
      </c>
      <c r="O138" s="386">
        <f>IF($J$20=1,(1+'Benefit Profile'!$E67)*N138,IF($J$20=2,(1+'Benefit Profile'!$G67)*N138,(1+'Benefit Profile'!$I67)*N138))</f>
        <v>0</v>
      </c>
      <c r="P138" s="386">
        <f>IF($J$20=1,(1+'Benefit Profile'!$E67)*O138,IF($J$20=2,(1+'Benefit Profile'!$G67)*O138,(1+'Benefit Profile'!$I67)*O138))</f>
        <v>0</v>
      </c>
      <c r="Q138" s="386">
        <f>IF($J$20=1,(1+'Benefit Profile'!$E67)*P138,IF($J$20=2,(1+'Benefit Profile'!$G67)*P138,(1+'Benefit Profile'!$I67)*P138))</f>
        <v>0</v>
      </c>
      <c r="R138" s="386">
        <f>IF($J$20=1,(1+'Benefit Profile'!$E67)*Q138,IF($J$20=2,(1+'Benefit Profile'!$G67)*Q138,(1+'Benefit Profile'!$I67)*Q138))</f>
        <v>0</v>
      </c>
      <c r="S138" s="386">
        <f>IF($J$20=1,(1+'Benefit Profile'!$E67)*R138,IF($J$20=2,(1+'Benefit Profile'!$G67)*R138,(1+'Benefit Profile'!$I67)*R138))</f>
        <v>0</v>
      </c>
      <c r="T138" s="386">
        <f>IF($J$20=1,(1+'Benefit Profile'!$E67)*S138,IF($J$20=2,(1+'Benefit Profile'!$G67)*S138,(1+'Benefit Profile'!$I67)*S138))</f>
        <v>0</v>
      </c>
      <c r="U138" s="386">
        <f>IF($J$20=1,(1+'Benefit Profile'!$E67)*T138,IF($J$20=2,(1+'Benefit Profile'!$G67)*T138,(1+'Benefit Profile'!$I67)*T138))</f>
        <v>0</v>
      </c>
      <c r="V138" s="386">
        <f>IF($J$20=1,(1+'Benefit Profile'!$E67)*U138,IF($J$20=2,(1+'Benefit Profile'!$G67)*U138,(1+'Benefit Profile'!$I67)*U138))</f>
        <v>0</v>
      </c>
      <c r="W138" s="386">
        <f>IF($J$20=1,(1+'Benefit Profile'!$E67)*V138,IF($J$20=2,(1+'Benefit Profile'!$G67)*V138,(1+'Benefit Profile'!$I67)*V138))</f>
        <v>0</v>
      </c>
      <c r="X138" s="386">
        <f>IF($J$20=1,(1+'Benefit Profile'!$E67)*W138,IF($J$20=2,(1+'Benefit Profile'!$G67)*W138,(1+'Benefit Profile'!$I67)*W138))</f>
        <v>0</v>
      </c>
      <c r="Y138" s="386">
        <f>IF($J$20=1,(1+'Benefit Profile'!$E67)*X138,IF($J$20=2,(1+'Benefit Profile'!$G67)*X138,(1+'Benefit Profile'!$I67)*X138))</f>
        <v>0</v>
      </c>
      <c r="Z138" s="70"/>
    </row>
    <row r="139" spans="3:26" ht="12.75" customHeight="1">
      <c r="C139" s="5"/>
      <c r="D139" s="54"/>
      <c r="E139" s="138" t="s">
        <v>138</v>
      </c>
      <c r="F139" s="386">
        <f t="shared" si="22"/>
        <v>0</v>
      </c>
      <c r="G139" s="386">
        <f>IF($J$20=1,(1+'Benefit Profile'!$D68+'Benefit Profile'!$E68)*F139,IF($J$20=2,(1+'Benefit Profile'!$F68+'Benefit Profile'!$G68)*F139,(1+'Benefit Profile'!$H68+'Benefit Profile'!$I68)*F139))</f>
        <v>0</v>
      </c>
      <c r="H139" s="386">
        <f>IF($J$20=1,(1+'Benefit Profile'!$E68)*G139,IF($J$20=2,(1+'Benefit Profile'!$G68)*G139,(1+'Benefit Profile'!$I68)*G139))</f>
        <v>0</v>
      </c>
      <c r="I139" s="386">
        <f>IF($J$20=1,(1+'Benefit Profile'!$E68)*H139,IF($J$20=2,(1+'Benefit Profile'!$G68)*H139,(1+'Benefit Profile'!$I68)*H139))</f>
        <v>0</v>
      </c>
      <c r="J139" s="386">
        <f>IF($J$20=1,(1+'Benefit Profile'!$E68)*I139,IF($J$20=2,(1+'Benefit Profile'!$G68)*I139,(1+'Benefit Profile'!$I68)*I139))</f>
        <v>0</v>
      </c>
      <c r="K139" s="386">
        <f>IF($J$20=1,(1+'Benefit Profile'!$E68)*J139,IF($J$20=2,(1+'Benefit Profile'!$G68)*J139,(1+'Benefit Profile'!$I68)*J139))</f>
        <v>0</v>
      </c>
      <c r="L139" s="386">
        <f>IF($J$20=1,(1+'Benefit Profile'!$E68)*K139,IF($J$20=2,(1+'Benefit Profile'!$G68)*K139,(1+'Benefit Profile'!$I68)*K139))</f>
        <v>0</v>
      </c>
      <c r="M139" s="386">
        <f>IF($J$20=1,(1+'Benefit Profile'!$E68)*L139,IF($J$20=2,(1+'Benefit Profile'!$G68)*L139,(1+'Benefit Profile'!$I68)*L139))</f>
        <v>0</v>
      </c>
      <c r="N139" s="386">
        <f>IF($J$20=1,(1+'Benefit Profile'!$E68)*M139,IF($J$20=2,(1+'Benefit Profile'!$G68)*M139,(1+'Benefit Profile'!$I68)*M139))</f>
        <v>0</v>
      </c>
      <c r="O139" s="386">
        <f>IF($J$20=1,(1+'Benefit Profile'!$E68)*N139,IF($J$20=2,(1+'Benefit Profile'!$G68)*N139,(1+'Benefit Profile'!$I68)*N139))</f>
        <v>0</v>
      </c>
      <c r="P139" s="386">
        <f>IF($J$20=1,(1+'Benefit Profile'!$E68)*O139,IF($J$20=2,(1+'Benefit Profile'!$G68)*O139,(1+'Benefit Profile'!$I68)*O139))</f>
        <v>0</v>
      </c>
      <c r="Q139" s="386">
        <f>IF($J$20=1,(1+'Benefit Profile'!$E68)*P139,IF($J$20=2,(1+'Benefit Profile'!$G68)*P139,(1+'Benefit Profile'!$I68)*P139))</f>
        <v>0</v>
      </c>
      <c r="R139" s="386">
        <f>IF($J$20=1,(1+'Benefit Profile'!$E68)*Q139,IF($J$20=2,(1+'Benefit Profile'!$G68)*Q139,(1+'Benefit Profile'!$I68)*Q139))</f>
        <v>0</v>
      </c>
      <c r="S139" s="386">
        <f>IF($J$20=1,(1+'Benefit Profile'!$E68)*R139,IF($J$20=2,(1+'Benefit Profile'!$G68)*R139,(1+'Benefit Profile'!$I68)*R139))</f>
        <v>0</v>
      </c>
      <c r="T139" s="386">
        <f>IF($J$20=1,(1+'Benefit Profile'!$E68)*S139,IF($J$20=2,(1+'Benefit Profile'!$G68)*S139,(1+'Benefit Profile'!$I68)*S139))</f>
        <v>0</v>
      </c>
      <c r="U139" s="386">
        <f>IF($J$20=1,(1+'Benefit Profile'!$E68)*T139,IF($J$20=2,(1+'Benefit Profile'!$G68)*T139,(1+'Benefit Profile'!$I68)*T139))</f>
        <v>0</v>
      </c>
      <c r="V139" s="386">
        <f>IF($J$20=1,(1+'Benefit Profile'!$E68)*U139,IF($J$20=2,(1+'Benefit Profile'!$G68)*U139,(1+'Benefit Profile'!$I68)*U139))</f>
        <v>0</v>
      </c>
      <c r="W139" s="386">
        <f>IF($J$20=1,(1+'Benefit Profile'!$E68)*V139,IF($J$20=2,(1+'Benefit Profile'!$G68)*V139,(1+'Benefit Profile'!$I68)*V139))</f>
        <v>0</v>
      </c>
      <c r="X139" s="386">
        <f>IF($J$20=1,(1+'Benefit Profile'!$E68)*W139,IF($J$20=2,(1+'Benefit Profile'!$G68)*W139,(1+'Benefit Profile'!$I68)*W139))</f>
        <v>0</v>
      </c>
      <c r="Y139" s="386">
        <f>IF($J$20=1,(1+'Benefit Profile'!$E68)*X139,IF($J$20=2,(1+'Benefit Profile'!$G68)*X139,(1+'Benefit Profile'!$I68)*X139))</f>
        <v>0</v>
      </c>
      <c r="Z139" s="70"/>
    </row>
    <row r="140" spans="3:26" ht="12.75" customHeight="1">
      <c r="C140" s="5"/>
      <c r="D140" s="54"/>
      <c r="E140" s="138" t="s">
        <v>139</v>
      </c>
      <c r="F140" s="386">
        <f t="shared" si="22"/>
        <v>0</v>
      </c>
      <c r="G140" s="386">
        <f>IF($J$20=1,(1+'Benefit Profile'!$D69+'Benefit Profile'!$E69)*F140,IF($J$20=2,(1+'Benefit Profile'!$F69+'Benefit Profile'!$G69)*F140,(1+'Benefit Profile'!$H69+'Benefit Profile'!$I69)*F140))</f>
        <v>0</v>
      </c>
      <c r="H140" s="386">
        <f>IF($J$20=1,(1+'Benefit Profile'!$E69)*G140,IF($J$20=2,(1+'Benefit Profile'!$G69)*G140,(1+'Benefit Profile'!$I69)*G140))</f>
        <v>0</v>
      </c>
      <c r="I140" s="386">
        <f>IF($J$20=1,(1+'Benefit Profile'!$E69)*H140,IF($J$20=2,(1+'Benefit Profile'!$G69)*H140,(1+'Benefit Profile'!$I69)*H140))</f>
        <v>0</v>
      </c>
      <c r="J140" s="386">
        <f>IF($J$20=1,(1+'Benefit Profile'!$E69)*I140,IF($J$20=2,(1+'Benefit Profile'!$G69)*I140,(1+'Benefit Profile'!$I69)*I140))</f>
        <v>0</v>
      </c>
      <c r="K140" s="386">
        <f>IF($J$20=1,(1+'Benefit Profile'!$E69)*J140,IF($J$20=2,(1+'Benefit Profile'!$G69)*J140,(1+'Benefit Profile'!$I69)*J140))</f>
        <v>0</v>
      </c>
      <c r="L140" s="386">
        <f>IF($J$20=1,(1+'Benefit Profile'!$E69)*K140,IF($J$20=2,(1+'Benefit Profile'!$G69)*K140,(1+'Benefit Profile'!$I69)*K140))</f>
        <v>0</v>
      </c>
      <c r="M140" s="386">
        <f>IF($J$20=1,(1+'Benefit Profile'!$E69)*L140,IF($J$20=2,(1+'Benefit Profile'!$G69)*L140,(1+'Benefit Profile'!$I69)*L140))</f>
        <v>0</v>
      </c>
      <c r="N140" s="386">
        <f>IF($J$20=1,(1+'Benefit Profile'!$E69)*M140,IF($J$20=2,(1+'Benefit Profile'!$G69)*M140,(1+'Benefit Profile'!$I69)*M140))</f>
        <v>0</v>
      </c>
      <c r="O140" s="386">
        <f>IF($J$20=1,(1+'Benefit Profile'!$E69)*N140,IF($J$20=2,(1+'Benefit Profile'!$G69)*N140,(1+'Benefit Profile'!$I69)*N140))</f>
        <v>0</v>
      </c>
      <c r="P140" s="386">
        <f>IF($J$20=1,(1+'Benefit Profile'!$E69)*O140,IF($J$20=2,(1+'Benefit Profile'!$G69)*O140,(1+'Benefit Profile'!$I69)*O140))</f>
        <v>0</v>
      </c>
      <c r="Q140" s="386">
        <f>IF($J$20=1,(1+'Benefit Profile'!$E69)*P140,IF($J$20=2,(1+'Benefit Profile'!$G69)*P140,(1+'Benefit Profile'!$I69)*P140))</f>
        <v>0</v>
      </c>
      <c r="R140" s="386">
        <f>IF($J$20=1,(1+'Benefit Profile'!$E69)*Q140,IF($J$20=2,(1+'Benefit Profile'!$G69)*Q140,(1+'Benefit Profile'!$I69)*Q140))</f>
        <v>0</v>
      </c>
      <c r="S140" s="386">
        <f>IF($J$20=1,(1+'Benefit Profile'!$E69)*R140,IF($J$20=2,(1+'Benefit Profile'!$G69)*R140,(1+'Benefit Profile'!$I69)*R140))</f>
        <v>0</v>
      </c>
      <c r="T140" s="386">
        <f>IF($J$20=1,(1+'Benefit Profile'!$E69)*S140,IF($J$20=2,(1+'Benefit Profile'!$G69)*S140,(1+'Benefit Profile'!$I69)*S140))</f>
        <v>0</v>
      </c>
      <c r="U140" s="386">
        <f>IF($J$20=1,(1+'Benefit Profile'!$E69)*T140,IF($J$20=2,(1+'Benefit Profile'!$G69)*T140,(1+'Benefit Profile'!$I69)*T140))</f>
        <v>0</v>
      </c>
      <c r="V140" s="386">
        <f>IF($J$20=1,(1+'Benefit Profile'!$E69)*U140,IF($J$20=2,(1+'Benefit Profile'!$G69)*U140,(1+'Benefit Profile'!$I69)*U140))</f>
        <v>0</v>
      </c>
      <c r="W140" s="386">
        <f>IF($J$20=1,(1+'Benefit Profile'!$E69)*V140,IF($J$20=2,(1+'Benefit Profile'!$G69)*V140,(1+'Benefit Profile'!$I69)*V140))</f>
        <v>0</v>
      </c>
      <c r="X140" s="386">
        <f>IF($J$20=1,(1+'Benefit Profile'!$E69)*W140,IF($J$20=2,(1+'Benefit Profile'!$G69)*W140,(1+'Benefit Profile'!$I69)*W140))</f>
        <v>0</v>
      </c>
      <c r="Y140" s="386">
        <f>IF($J$20=1,(1+'Benefit Profile'!$E69)*X140,IF($J$20=2,(1+'Benefit Profile'!$G69)*X140,(1+'Benefit Profile'!$I69)*X140))</f>
        <v>0</v>
      </c>
      <c r="Z140" s="70"/>
    </row>
    <row r="141" spans="3:26" ht="12.75" customHeight="1">
      <c r="C141" s="5"/>
      <c r="D141" s="54"/>
      <c r="E141" s="138" t="s">
        <v>140</v>
      </c>
      <c r="F141" s="386">
        <f>SUM(F135:F140)</f>
        <v>0</v>
      </c>
      <c r="G141" s="386">
        <f>SUM(G135:G140)</f>
        <v>0</v>
      </c>
      <c r="H141" s="386">
        <f>SUM(H135:H140)</f>
        <v>0</v>
      </c>
      <c r="I141" s="386">
        <f aca="true" t="shared" si="23" ref="I141:Y141">SUM(I135:I140)</f>
        <v>0</v>
      </c>
      <c r="J141" s="386">
        <f t="shared" si="23"/>
        <v>0</v>
      </c>
      <c r="K141" s="386">
        <f t="shared" si="23"/>
        <v>0</v>
      </c>
      <c r="L141" s="386">
        <f t="shared" si="23"/>
        <v>0</v>
      </c>
      <c r="M141" s="386">
        <f t="shared" si="23"/>
        <v>0</v>
      </c>
      <c r="N141" s="386">
        <f t="shared" si="23"/>
        <v>0</v>
      </c>
      <c r="O141" s="386">
        <f t="shared" si="23"/>
        <v>0</v>
      </c>
      <c r="P141" s="386">
        <f t="shared" si="23"/>
        <v>0</v>
      </c>
      <c r="Q141" s="386">
        <f t="shared" si="23"/>
        <v>0</v>
      </c>
      <c r="R141" s="386">
        <f t="shared" si="23"/>
        <v>0</v>
      </c>
      <c r="S141" s="386">
        <f t="shared" si="23"/>
        <v>0</v>
      </c>
      <c r="T141" s="386">
        <f t="shared" si="23"/>
        <v>0</v>
      </c>
      <c r="U141" s="386">
        <f t="shared" si="23"/>
        <v>0</v>
      </c>
      <c r="V141" s="386">
        <f t="shared" si="23"/>
        <v>0</v>
      </c>
      <c r="W141" s="386">
        <f t="shared" si="23"/>
        <v>0</v>
      </c>
      <c r="X141" s="386">
        <f t="shared" si="23"/>
        <v>0</v>
      </c>
      <c r="Y141" s="386">
        <f t="shared" si="23"/>
        <v>0</v>
      </c>
      <c r="Z141" s="70"/>
    </row>
    <row r="142" spans="3:26" ht="12.75" customHeight="1">
      <c r="C142" s="5"/>
      <c r="D142" s="54"/>
      <c r="E142" s="138"/>
      <c r="F142" s="386"/>
      <c r="G142" s="386"/>
      <c r="H142" s="386"/>
      <c r="I142" s="386"/>
      <c r="J142" s="386"/>
      <c r="K142" s="386"/>
      <c r="L142" s="386"/>
      <c r="M142" s="386"/>
      <c r="N142" s="386"/>
      <c r="O142" s="386"/>
      <c r="P142" s="386"/>
      <c r="Q142" s="386"/>
      <c r="R142" s="386"/>
      <c r="S142" s="386"/>
      <c r="T142" s="386"/>
      <c r="U142" s="386"/>
      <c r="V142" s="386"/>
      <c r="W142" s="386"/>
      <c r="X142" s="386"/>
      <c r="Y142" s="386"/>
      <c r="Z142" s="70"/>
    </row>
    <row r="143" spans="3:26" ht="12.75" customHeight="1">
      <c r="C143" s="5"/>
      <c r="D143" s="54"/>
      <c r="E143" s="147" t="s">
        <v>215</v>
      </c>
      <c r="F143" s="386"/>
      <c r="G143" s="386"/>
      <c r="H143" s="386"/>
      <c r="I143" s="386"/>
      <c r="J143" s="386"/>
      <c r="K143" s="386"/>
      <c r="L143" s="386"/>
      <c r="M143" s="386"/>
      <c r="N143" s="386"/>
      <c r="O143" s="386"/>
      <c r="P143" s="386"/>
      <c r="Q143" s="386"/>
      <c r="R143" s="386"/>
      <c r="S143" s="386"/>
      <c r="T143" s="386"/>
      <c r="U143" s="386"/>
      <c r="V143" s="386"/>
      <c r="W143" s="386"/>
      <c r="X143" s="386"/>
      <c r="Y143" s="386"/>
      <c r="Z143" s="70"/>
    </row>
    <row r="144" spans="3:26" ht="12.75" customHeight="1">
      <c r="C144" s="5"/>
      <c r="D144" s="54"/>
      <c r="E144" s="138" t="s">
        <v>134</v>
      </c>
      <c r="F144" s="385">
        <f aca="true" t="shared" si="24" ref="F144:Y149">F135*F$53-F126*F$43</f>
        <v>0</v>
      </c>
      <c r="G144" s="383">
        <f t="shared" si="24"/>
        <v>0</v>
      </c>
      <c r="H144" s="383">
        <f t="shared" si="24"/>
        <v>0</v>
      </c>
      <c r="I144" s="383">
        <f t="shared" si="24"/>
        <v>0</v>
      </c>
      <c r="J144" s="383">
        <f t="shared" si="24"/>
        <v>0</v>
      </c>
      <c r="K144" s="383">
        <f t="shared" si="24"/>
        <v>0</v>
      </c>
      <c r="L144" s="383">
        <f t="shared" si="24"/>
        <v>0</v>
      </c>
      <c r="M144" s="383">
        <f t="shared" si="24"/>
        <v>0</v>
      </c>
      <c r="N144" s="383">
        <f t="shared" si="24"/>
        <v>0</v>
      </c>
      <c r="O144" s="383">
        <f t="shared" si="24"/>
        <v>0</v>
      </c>
      <c r="P144" s="383">
        <f t="shared" si="24"/>
        <v>0</v>
      </c>
      <c r="Q144" s="383">
        <f t="shared" si="24"/>
        <v>0</v>
      </c>
      <c r="R144" s="383">
        <f t="shared" si="24"/>
        <v>0</v>
      </c>
      <c r="S144" s="383">
        <f t="shared" si="24"/>
        <v>0</v>
      </c>
      <c r="T144" s="383">
        <f t="shared" si="24"/>
        <v>0</v>
      </c>
      <c r="U144" s="383">
        <f t="shared" si="24"/>
        <v>0</v>
      </c>
      <c r="V144" s="383">
        <f t="shared" si="24"/>
        <v>0</v>
      </c>
      <c r="W144" s="383">
        <f t="shared" si="24"/>
        <v>0</v>
      </c>
      <c r="X144" s="383">
        <f t="shared" si="24"/>
        <v>0</v>
      </c>
      <c r="Y144" s="383">
        <f t="shared" si="24"/>
        <v>0</v>
      </c>
      <c r="Z144" s="70"/>
    </row>
    <row r="145" spans="3:26" ht="12.75" customHeight="1">
      <c r="C145" s="5"/>
      <c r="D145" s="54"/>
      <c r="E145" s="138" t="s">
        <v>135</v>
      </c>
      <c r="F145" s="385">
        <f t="shared" si="24"/>
        <v>0</v>
      </c>
      <c r="G145" s="383">
        <f t="shared" si="24"/>
        <v>0</v>
      </c>
      <c r="H145" s="383">
        <f t="shared" si="24"/>
        <v>0</v>
      </c>
      <c r="I145" s="383">
        <f t="shared" si="24"/>
        <v>0</v>
      </c>
      <c r="J145" s="383">
        <f t="shared" si="24"/>
        <v>0</v>
      </c>
      <c r="K145" s="383">
        <f t="shared" si="24"/>
        <v>0</v>
      </c>
      <c r="L145" s="383">
        <f t="shared" si="24"/>
        <v>0</v>
      </c>
      <c r="M145" s="383">
        <f t="shared" si="24"/>
        <v>0</v>
      </c>
      <c r="N145" s="383">
        <f t="shared" si="24"/>
        <v>0</v>
      </c>
      <c r="O145" s="383">
        <f t="shared" si="24"/>
        <v>0</v>
      </c>
      <c r="P145" s="383">
        <f t="shared" si="24"/>
        <v>0</v>
      </c>
      <c r="Q145" s="383">
        <f t="shared" si="24"/>
        <v>0</v>
      </c>
      <c r="R145" s="383">
        <f t="shared" si="24"/>
        <v>0</v>
      </c>
      <c r="S145" s="383">
        <f t="shared" si="24"/>
        <v>0</v>
      </c>
      <c r="T145" s="383">
        <f t="shared" si="24"/>
        <v>0</v>
      </c>
      <c r="U145" s="383">
        <f t="shared" si="24"/>
        <v>0</v>
      </c>
      <c r="V145" s="383">
        <f t="shared" si="24"/>
        <v>0</v>
      </c>
      <c r="W145" s="383">
        <f t="shared" si="24"/>
        <v>0</v>
      </c>
      <c r="X145" s="383">
        <f t="shared" si="24"/>
        <v>0</v>
      </c>
      <c r="Y145" s="383">
        <f t="shared" si="24"/>
        <v>0</v>
      </c>
      <c r="Z145" s="70"/>
    </row>
    <row r="146" spans="3:26" ht="12.75" customHeight="1">
      <c r="C146" s="5"/>
      <c r="D146" s="54"/>
      <c r="E146" s="138" t="s">
        <v>136</v>
      </c>
      <c r="F146" s="385">
        <f t="shared" si="24"/>
        <v>0</v>
      </c>
      <c r="G146" s="383">
        <f t="shared" si="24"/>
        <v>0</v>
      </c>
      <c r="H146" s="383">
        <f t="shared" si="24"/>
        <v>0</v>
      </c>
      <c r="I146" s="383">
        <f t="shared" si="24"/>
        <v>0</v>
      </c>
      <c r="J146" s="383">
        <f t="shared" si="24"/>
        <v>0</v>
      </c>
      <c r="K146" s="383">
        <f t="shared" si="24"/>
        <v>0</v>
      </c>
      <c r="L146" s="383">
        <f t="shared" si="24"/>
        <v>0</v>
      </c>
      <c r="M146" s="383">
        <f t="shared" si="24"/>
        <v>0</v>
      </c>
      <c r="N146" s="383">
        <f t="shared" si="24"/>
        <v>0</v>
      </c>
      <c r="O146" s="383">
        <f t="shared" si="24"/>
        <v>0</v>
      </c>
      <c r="P146" s="383">
        <f t="shared" si="24"/>
        <v>0</v>
      </c>
      <c r="Q146" s="383">
        <f t="shared" si="24"/>
        <v>0</v>
      </c>
      <c r="R146" s="383">
        <f t="shared" si="24"/>
        <v>0</v>
      </c>
      <c r="S146" s="383">
        <f t="shared" si="24"/>
        <v>0</v>
      </c>
      <c r="T146" s="383">
        <f t="shared" si="24"/>
        <v>0</v>
      </c>
      <c r="U146" s="383">
        <f t="shared" si="24"/>
        <v>0</v>
      </c>
      <c r="V146" s="383">
        <f t="shared" si="24"/>
        <v>0</v>
      </c>
      <c r="W146" s="383">
        <f t="shared" si="24"/>
        <v>0</v>
      </c>
      <c r="X146" s="383">
        <f t="shared" si="24"/>
        <v>0</v>
      </c>
      <c r="Y146" s="383">
        <f t="shared" si="24"/>
        <v>0</v>
      </c>
      <c r="Z146" s="70"/>
    </row>
    <row r="147" spans="3:26" ht="12.75" customHeight="1">
      <c r="C147" s="5"/>
      <c r="D147" s="54"/>
      <c r="E147" s="138" t="s">
        <v>137</v>
      </c>
      <c r="F147" s="385">
        <f t="shared" si="24"/>
        <v>0</v>
      </c>
      <c r="G147" s="383">
        <f t="shared" si="24"/>
        <v>0</v>
      </c>
      <c r="H147" s="383">
        <f t="shared" si="24"/>
        <v>0</v>
      </c>
      <c r="I147" s="383">
        <f t="shared" si="24"/>
        <v>0</v>
      </c>
      <c r="J147" s="383">
        <f t="shared" si="24"/>
        <v>0</v>
      </c>
      <c r="K147" s="383">
        <f t="shared" si="24"/>
        <v>0</v>
      </c>
      <c r="L147" s="383">
        <f t="shared" si="24"/>
        <v>0</v>
      </c>
      <c r="M147" s="383">
        <f t="shared" si="24"/>
        <v>0</v>
      </c>
      <c r="N147" s="383">
        <f t="shared" si="24"/>
        <v>0</v>
      </c>
      <c r="O147" s="383">
        <f t="shared" si="24"/>
        <v>0</v>
      </c>
      <c r="P147" s="383">
        <f t="shared" si="24"/>
        <v>0</v>
      </c>
      <c r="Q147" s="383">
        <f t="shared" si="24"/>
        <v>0</v>
      </c>
      <c r="R147" s="383">
        <f t="shared" si="24"/>
        <v>0</v>
      </c>
      <c r="S147" s="383">
        <f t="shared" si="24"/>
        <v>0</v>
      </c>
      <c r="T147" s="383">
        <f t="shared" si="24"/>
        <v>0</v>
      </c>
      <c r="U147" s="383">
        <f t="shared" si="24"/>
        <v>0</v>
      </c>
      <c r="V147" s="383">
        <f t="shared" si="24"/>
        <v>0</v>
      </c>
      <c r="W147" s="383">
        <f t="shared" si="24"/>
        <v>0</v>
      </c>
      <c r="X147" s="383">
        <f t="shared" si="24"/>
        <v>0</v>
      </c>
      <c r="Y147" s="383">
        <f t="shared" si="24"/>
        <v>0</v>
      </c>
      <c r="Z147" s="70"/>
    </row>
    <row r="148" spans="3:26" ht="12.75" customHeight="1">
      <c r="C148" s="5"/>
      <c r="D148" s="54"/>
      <c r="E148" s="138" t="s">
        <v>138</v>
      </c>
      <c r="F148" s="385">
        <f t="shared" si="24"/>
        <v>0</v>
      </c>
      <c r="G148" s="383">
        <f t="shared" si="24"/>
        <v>0</v>
      </c>
      <c r="H148" s="383">
        <f t="shared" si="24"/>
        <v>0</v>
      </c>
      <c r="I148" s="383">
        <f t="shared" si="24"/>
        <v>0</v>
      </c>
      <c r="J148" s="383">
        <f t="shared" si="24"/>
        <v>0</v>
      </c>
      <c r="K148" s="383">
        <f t="shared" si="24"/>
        <v>0</v>
      </c>
      <c r="L148" s="383">
        <f t="shared" si="24"/>
        <v>0</v>
      </c>
      <c r="M148" s="383">
        <f t="shared" si="24"/>
        <v>0</v>
      </c>
      <c r="N148" s="383">
        <f t="shared" si="24"/>
        <v>0</v>
      </c>
      <c r="O148" s="383">
        <f t="shared" si="24"/>
        <v>0</v>
      </c>
      <c r="P148" s="383">
        <f t="shared" si="24"/>
        <v>0</v>
      </c>
      <c r="Q148" s="383">
        <f t="shared" si="24"/>
        <v>0</v>
      </c>
      <c r="R148" s="383">
        <f t="shared" si="24"/>
        <v>0</v>
      </c>
      <c r="S148" s="383">
        <f t="shared" si="24"/>
        <v>0</v>
      </c>
      <c r="T148" s="383">
        <f t="shared" si="24"/>
        <v>0</v>
      </c>
      <c r="U148" s="383">
        <f t="shared" si="24"/>
        <v>0</v>
      </c>
      <c r="V148" s="383">
        <f t="shared" si="24"/>
        <v>0</v>
      </c>
      <c r="W148" s="383">
        <f t="shared" si="24"/>
        <v>0</v>
      </c>
      <c r="X148" s="383">
        <f t="shared" si="24"/>
        <v>0</v>
      </c>
      <c r="Y148" s="383">
        <f t="shared" si="24"/>
        <v>0</v>
      </c>
      <c r="Z148" s="70"/>
    </row>
    <row r="149" spans="3:26" ht="12.75" customHeight="1">
      <c r="C149" s="5"/>
      <c r="D149" s="54"/>
      <c r="E149" s="138" t="s">
        <v>139</v>
      </c>
      <c r="F149" s="385">
        <f t="shared" si="24"/>
        <v>0</v>
      </c>
      <c r="G149" s="383">
        <f t="shared" si="24"/>
        <v>0</v>
      </c>
      <c r="H149" s="383">
        <f t="shared" si="24"/>
        <v>0</v>
      </c>
      <c r="I149" s="383">
        <f t="shared" si="24"/>
        <v>0</v>
      </c>
      <c r="J149" s="383">
        <f t="shared" si="24"/>
        <v>0</v>
      </c>
      <c r="K149" s="383">
        <f t="shared" si="24"/>
        <v>0</v>
      </c>
      <c r="L149" s="383">
        <f t="shared" si="24"/>
        <v>0</v>
      </c>
      <c r="M149" s="383">
        <f t="shared" si="24"/>
        <v>0</v>
      </c>
      <c r="N149" s="383">
        <f t="shared" si="24"/>
        <v>0</v>
      </c>
      <c r="O149" s="383">
        <f t="shared" si="24"/>
        <v>0</v>
      </c>
      <c r="P149" s="383">
        <f t="shared" si="24"/>
        <v>0</v>
      </c>
      <c r="Q149" s="383">
        <f t="shared" si="24"/>
        <v>0</v>
      </c>
      <c r="R149" s="383">
        <f t="shared" si="24"/>
        <v>0</v>
      </c>
      <c r="S149" s="383">
        <f t="shared" si="24"/>
        <v>0</v>
      </c>
      <c r="T149" s="383">
        <f t="shared" si="24"/>
        <v>0</v>
      </c>
      <c r="U149" s="383">
        <f t="shared" si="24"/>
        <v>0</v>
      </c>
      <c r="V149" s="383">
        <f t="shared" si="24"/>
        <v>0</v>
      </c>
      <c r="W149" s="383">
        <f t="shared" si="24"/>
        <v>0</v>
      </c>
      <c r="X149" s="383">
        <f t="shared" si="24"/>
        <v>0</v>
      </c>
      <c r="Y149" s="383">
        <f t="shared" si="24"/>
        <v>0</v>
      </c>
      <c r="Z149" s="70"/>
    </row>
    <row r="150" spans="3:26" ht="12.75" customHeight="1">
      <c r="C150" s="5"/>
      <c r="D150" s="54"/>
      <c r="E150" s="138" t="s">
        <v>140</v>
      </c>
      <c r="F150" s="385">
        <f>SUM(F144:F149)</f>
        <v>0</v>
      </c>
      <c r="G150" s="383">
        <f aca="true" t="shared" si="25" ref="G150:Y150">SUM(G144:G149)</f>
        <v>0</v>
      </c>
      <c r="H150" s="383">
        <f t="shared" si="25"/>
        <v>0</v>
      </c>
      <c r="I150" s="383">
        <f t="shared" si="25"/>
        <v>0</v>
      </c>
      <c r="J150" s="383">
        <f t="shared" si="25"/>
        <v>0</v>
      </c>
      <c r="K150" s="383">
        <f t="shared" si="25"/>
        <v>0</v>
      </c>
      <c r="L150" s="383">
        <f t="shared" si="25"/>
        <v>0</v>
      </c>
      <c r="M150" s="383">
        <f t="shared" si="25"/>
        <v>0</v>
      </c>
      <c r="N150" s="383">
        <f t="shared" si="25"/>
        <v>0</v>
      </c>
      <c r="O150" s="383">
        <f t="shared" si="25"/>
        <v>0</v>
      </c>
      <c r="P150" s="383">
        <f t="shared" si="25"/>
        <v>0</v>
      </c>
      <c r="Q150" s="383">
        <f t="shared" si="25"/>
        <v>0</v>
      </c>
      <c r="R150" s="383">
        <f t="shared" si="25"/>
        <v>0</v>
      </c>
      <c r="S150" s="383">
        <f t="shared" si="25"/>
        <v>0</v>
      </c>
      <c r="T150" s="383">
        <f t="shared" si="25"/>
        <v>0</v>
      </c>
      <c r="U150" s="383">
        <f t="shared" si="25"/>
        <v>0</v>
      </c>
      <c r="V150" s="383">
        <f t="shared" si="25"/>
        <v>0</v>
      </c>
      <c r="W150" s="383">
        <f t="shared" si="25"/>
        <v>0</v>
      </c>
      <c r="X150" s="383">
        <f t="shared" si="25"/>
        <v>0</v>
      </c>
      <c r="Y150" s="383">
        <f t="shared" si="25"/>
        <v>0</v>
      </c>
      <c r="Z150" s="70"/>
    </row>
    <row r="151" spans="3:26" ht="12.75" customHeight="1">
      <c r="C151" s="5"/>
      <c r="D151" s="6"/>
      <c r="E151" s="387"/>
      <c r="F151" s="387"/>
      <c r="G151" s="387"/>
      <c r="H151" s="387"/>
      <c r="I151" s="387"/>
      <c r="J151" s="387"/>
      <c r="K151" s="387"/>
      <c r="L151" s="387"/>
      <c r="M151" s="387"/>
      <c r="N151" s="387"/>
      <c r="O151" s="387"/>
      <c r="P151" s="387"/>
      <c r="Q151" s="387"/>
      <c r="R151" s="387"/>
      <c r="S151" s="387"/>
      <c r="T151" s="387"/>
      <c r="U151" s="387"/>
      <c r="V151" s="387"/>
      <c r="W151" s="387"/>
      <c r="X151" s="387"/>
      <c r="Y151" s="387"/>
      <c r="Z151" s="70"/>
    </row>
    <row r="152" spans="3:26" ht="12.75" customHeight="1">
      <c r="C152" s="5"/>
      <c r="D152" s="6"/>
      <c r="E152" s="8" t="s">
        <v>253</v>
      </c>
      <c r="F152" s="387"/>
      <c r="G152" s="11"/>
      <c r="H152" s="387"/>
      <c r="I152" s="387"/>
      <c r="J152" s="387"/>
      <c r="K152" s="387"/>
      <c r="L152" s="387"/>
      <c r="M152" s="387"/>
      <c r="N152" s="387"/>
      <c r="O152" s="387"/>
      <c r="P152" s="387"/>
      <c r="Q152" s="387"/>
      <c r="R152" s="387"/>
      <c r="S152" s="387"/>
      <c r="T152" s="387"/>
      <c r="U152" s="387"/>
      <c r="V152" s="387"/>
      <c r="W152" s="387"/>
      <c r="X152" s="387"/>
      <c r="Y152" s="387"/>
      <c r="Z152" s="70"/>
    </row>
    <row r="153" spans="3:26" ht="12.75" customHeight="1">
      <c r="C153" s="5"/>
      <c r="D153" s="6"/>
      <c r="E153" s="8"/>
      <c r="F153" s="387"/>
      <c r="G153" s="11"/>
      <c r="H153" s="387"/>
      <c r="I153" s="387"/>
      <c r="J153" s="387"/>
      <c r="K153" s="387"/>
      <c r="L153" s="387"/>
      <c r="M153" s="387"/>
      <c r="N153" s="387"/>
      <c r="O153" s="387"/>
      <c r="P153" s="387"/>
      <c r="Q153" s="387"/>
      <c r="R153" s="387"/>
      <c r="S153" s="387"/>
      <c r="T153" s="387"/>
      <c r="U153" s="387"/>
      <c r="V153" s="387"/>
      <c r="W153" s="387"/>
      <c r="X153" s="387"/>
      <c r="Y153" s="387"/>
      <c r="Z153" s="70"/>
    </row>
    <row r="154" spans="3:26" s="177" customFormat="1" ht="12.75" customHeight="1">
      <c r="C154" s="178"/>
      <c r="D154" s="179"/>
      <c r="E154" s="8" t="s">
        <v>251</v>
      </c>
      <c r="F154" s="11"/>
      <c r="G154" s="11"/>
      <c r="H154" s="11"/>
      <c r="I154" s="11"/>
      <c r="J154" s="11"/>
      <c r="K154" s="11"/>
      <c r="L154" s="11"/>
      <c r="M154" s="11"/>
      <c r="N154" s="11"/>
      <c r="O154" s="11"/>
      <c r="P154" s="11"/>
      <c r="Q154" s="11"/>
      <c r="R154" s="11"/>
      <c r="S154" s="11"/>
      <c r="T154" s="11"/>
      <c r="U154" s="11"/>
      <c r="V154" s="11"/>
      <c r="W154" s="11"/>
      <c r="X154" s="11"/>
      <c r="Y154" s="11"/>
      <c r="Z154" s="70"/>
    </row>
    <row r="155" spans="3:26" s="177" customFormat="1" ht="12.75" customHeight="1">
      <c r="C155" s="178"/>
      <c r="D155" s="179"/>
      <c r="E155" s="8" t="s">
        <v>255</v>
      </c>
      <c r="F155" s="11">
        <f>'Induced Production'!E7*'Induced Production'!E8</f>
        <v>666000</v>
      </c>
      <c r="G155" s="11">
        <f>F155*(1+'Benefit Profile'!$D72+'Benefit Profile'!$E72)</f>
        <v>692640</v>
      </c>
      <c r="H155" s="11">
        <f>G155*(1+'Benefit Profile'!$E72)</f>
        <v>720345.6</v>
      </c>
      <c r="I155" s="11">
        <f>H155*(1+'Benefit Profile'!$E72)</f>
        <v>749159.424</v>
      </c>
      <c r="J155" s="11">
        <f>I155*(1+'Benefit Profile'!$E72)</f>
        <v>779125.80096</v>
      </c>
      <c r="K155" s="11">
        <f>J155*(1+'Benefit Profile'!$E72)</f>
        <v>810290.8329984001</v>
      </c>
      <c r="L155" s="11">
        <f>K155*(1+'Benefit Profile'!$E72)</f>
        <v>842702.4663183361</v>
      </c>
      <c r="M155" s="11">
        <f>L155*(1+'Benefit Profile'!$E72)</f>
        <v>876410.5649710696</v>
      </c>
      <c r="N155" s="11">
        <f>M155*(1+'Benefit Profile'!$E72)</f>
        <v>911466.9875699123</v>
      </c>
      <c r="O155" s="11">
        <f>N155*(1+'Benefit Profile'!$E72)</f>
        <v>947925.6670727088</v>
      </c>
      <c r="P155" s="11">
        <f>O155*(1+'Benefit Profile'!$E72)</f>
        <v>985842.6937556172</v>
      </c>
      <c r="Q155" s="11">
        <f>P155*(1+'Benefit Profile'!$E72)</f>
        <v>1025276.401505842</v>
      </c>
      <c r="R155" s="11">
        <f>Q155*(1+'Benefit Profile'!$E72)</f>
        <v>1066287.4575660757</v>
      </c>
      <c r="S155" s="11">
        <f>R155*(1+'Benefit Profile'!$E72)</f>
        <v>1108938.9558687187</v>
      </c>
      <c r="T155" s="11">
        <f>S155*(1+'Benefit Profile'!$E72)</f>
        <v>1153296.5141034676</v>
      </c>
      <c r="U155" s="11">
        <f>T155*(1+'Benefit Profile'!$E72)</f>
        <v>1199428.3746676063</v>
      </c>
      <c r="V155" s="11">
        <f>U155*(1+'Benefit Profile'!$E72)</f>
        <v>1247405.5096543105</v>
      </c>
      <c r="W155" s="11">
        <f>V155*(1+'Benefit Profile'!$E72)</f>
        <v>1297301.730040483</v>
      </c>
      <c r="X155" s="11">
        <f>W155*(1+'Benefit Profile'!$E72)</f>
        <v>1349193.7992421023</v>
      </c>
      <c r="Y155" s="11">
        <f>X155*(1+'Benefit Profile'!$E72)</f>
        <v>1403161.5512117865</v>
      </c>
      <c r="Z155" s="70"/>
    </row>
    <row r="156" spans="3:26" s="177" customFormat="1" ht="12.75" customHeight="1">
      <c r="C156" s="178"/>
      <c r="D156" s="179"/>
      <c r="E156" s="8" t="s">
        <v>257</v>
      </c>
      <c r="F156" s="11">
        <f>'Induced Production'!E9*'Induced Production'!E10</f>
        <v>70000</v>
      </c>
      <c r="G156" s="11">
        <f>F156*(1+'Benefit Profile'!$D72+'Benefit Profile'!$E72)</f>
        <v>72800</v>
      </c>
      <c r="H156" s="11">
        <f>G156*(1+'Benefit Profile'!$E72)</f>
        <v>75712</v>
      </c>
      <c r="I156" s="11">
        <f>H156*(1+'Benefit Profile'!$E72)</f>
        <v>78740.48</v>
      </c>
      <c r="J156" s="11">
        <f>I156*(1+'Benefit Profile'!$E72)</f>
        <v>81890.0992</v>
      </c>
      <c r="K156" s="11">
        <f>J156*(1+'Benefit Profile'!$E72)</f>
        <v>85165.703168</v>
      </c>
      <c r="L156" s="11">
        <f>K156*(1+'Benefit Profile'!$E72)</f>
        <v>88572.33129471999</v>
      </c>
      <c r="M156" s="11">
        <f>L156*(1+'Benefit Profile'!$E72)</f>
        <v>92115.22454650879</v>
      </c>
      <c r="N156" s="11">
        <f>M156*(1+'Benefit Profile'!$E72)</f>
        <v>95799.83352836914</v>
      </c>
      <c r="O156" s="11">
        <f>N156*(1+'Benefit Profile'!$E72)</f>
        <v>99631.82686950392</v>
      </c>
      <c r="P156" s="11">
        <f>O156*(1+'Benefit Profile'!$E72)</f>
        <v>103617.09994428407</v>
      </c>
      <c r="Q156" s="11">
        <f>P156*(1+'Benefit Profile'!$E72)</f>
        <v>107761.78394205544</v>
      </c>
      <c r="R156" s="11">
        <f>Q156*(1+'Benefit Profile'!$E72)</f>
        <v>112072.25529973766</v>
      </c>
      <c r="S156" s="11">
        <f>R156*(1+'Benefit Profile'!$E72)</f>
        <v>116555.14551172717</v>
      </c>
      <c r="T156" s="11">
        <f>S156*(1+'Benefit Profile'!$E72)</f>
        <v>121217.35133219625</v>
      </c>
      <c r="U156" s="11">
        <f>T156*(1+'Benefit Profile'!$E72)</f>
        <v>126066.0453854841</v>
      </c>
      <c r="V156" s="11">
        <f>U156*(1+'Benefit Profile'!$E72)</f>
        <v>131108.68720090349</v>
      </c>
      <c r="W156" s="11">
        <f>V156*(1+'Benefit Profile'!$E72)</f>
        <v>136353.03468893963</v>
      </c>
      <c r="X156" s="11">
        <f>W156*(1+'Benefit Profile'!$E72)</f>
        <v>141807.15607649722</v>
      </c>
      <c r="Y156" s="11">
        <f>X156*(1+'Benefit Profile'!$E72)</f>
        <v>147479.44231955713</v>
      </c>
      <c r="Z156" s="70"/>
    </row>
    <row r="157" spans="3:26" s="177" customFormat="1" ht="12.75" customHeight="1">
      <c r="C157" s="178"/>
      <c r="D157" s="179"/>
      <c r="E157" s="8" t="s">
        <v>254</v>
      </c>
      <c r="F157" s="11">
        <f>F155+F156</f>
        <v>736000</v>
      </c>
      <c r="G157" s="11">
        <f>G155+G156</f>
        <v>765440</v>
      </c>
      <c r="H157" s="11">
        <f aca="true" t="shared" si="26" ref="H157:Y157">H155+H156</f>
        <v>796057.6</v>
      </c>
      <c r="I157" s="11">
        <f t="shared" si="26"/>
        <v>827899.904</v>
      </c>
      <c r="J157" s="11">
        <f t="shared" si="26"/>
        <v>861015.90016</v>
      </c>
      <c r="K157" s="11">
        <f t="shared" si="26"/>
        <v>895456.5361664001</v>
      </c>
      <c r="L157" s="11">
        <f t="shared" si="26"/>
        <v>931274.797613056</v>
      </c>
      <c r="M157" s="11">
        <f t="shared" si="26"/>
        <v>968525.7895175783</v>
      </c>
      <c r="N157" s="11">
        <f t="shared" si="26"/>
        <v>1007266.8210982815</v>
      </c>
      <c r="O157" s="11">
        <f t="shared" si="26"/>
        <v>1047557.4939422128</v>
      </c>
      <c r="P157" s="11">
        <f t="shared" si="26"/>
        <v>1089459.7936999013</v>
      </c>
      <c r="Q157" s="11">
        <f t="shared" si="26"/>
        <v>1133038.1854478975</v>
      </c>
      <c r="R157" s="11">
        <f t="shared" si="26"/>
        <v>1178359.7128658134</v>
      </c>
      <c r="S157" s="11">
        <f t="shared" si="26"/>
        <v>1225494.1013804458</v>
      </c>
      <c r="T157" s="11">
        <f t="shared" si="26"/>
        <v>1274513.8654356638</v>
      </c>
      <c r="U157" s="11">
        <f t="shared" si="26"/>
        <v>1325494.4200530904</v>
      </c>
      <c r="V157" s="11">
        <f t="shared" si="26"/>
        <v>1378514.196855214</v>
      </c>
      <c r="W157" s="11">
        <f t="shared" si="26"/>
        <v>1433654.7647294225</v>
      </c>
      <c r="X157" s="11">
        <f t="shared" si="26"/>
        <v>1491000.9553185995</v>
      </c>
      <c r="Y157" s="11">
        <f t="shared" si="26"/>
        <v>1550640.9935313435</v>
      </c>
      <c r="Z157" s="70"/>
    </row>
    <row r="158" spans="3:26" s="177" customFormat="1" ht="12.75" customHeight="1">
      <c r="C158" s="178"/>
      <c r="D158" s="179"/>
      <c r="E158" s="8" t="s">
        <v>256</v>
      </c>
      <c r="F158" s="11"/>
      <c r="G158" s="11"/>
      <c r="H158" s="11"/>
      <c r="I158" s="11"/>
      <c r="J158" s="11"/>
      <c r="K158" s="11"/>
      <c r="L158" s="11"/>
      <c r="M158" s="11"/>
      <c r="N158" s="11"/>
      <c r="O158" s="11"/>
      <c r="P158" s="11"/>
      <c r="Q158" s="11"/>
      <c r="R158" s="11"/>
      <c r="S158" s="11"/>
      <c r="T158" s="11"/>
      <c r="U158" s="11"/>
      <c r="V158" s="11"/>
      <c r="W158" s="11"/>
      <c r="X158" s="11"/>
      <c r="Y158" s="11"/>
      <c r="Z158" s="70"/>
    </row>
    <row r="159" spans="3:26" s="177" customFormat="1" ht="12.75" customHeight="1">
      <c r="C159" s="178"/>
      <c r="D159" s="179"/>
      <c r="E159" s="8" t="s">
        <v>255</v>
      </c>
      <c r="F159" s="11">
        <f>F155</f>
        <v>666000</v>
      </c>
      <c r="G159" s="11">
        <f>IF($J$20=1,(1+'Benefit Profile'!$D73+'Benefit Profile'!$E73)*F159,IF($J$20=2,(1+'Benefit Profile'!$F73+'Benefit Profile'!$G73)*F159,(1+'Benefit Profile'!$H73+'Benefit Profile'!$I73)*F159))</f>
        <v>832500</v>
      </c>
      <c r="H159" s="11">
        <f>IF($J$20=1,(1+'Benefit Profile'!$E73)*G159,IF($J$20=2,(1+'Benefit Profile'!$G73)*G159,(1+'Benefit Profile'!$I73)*G159))</f>
        <v>874125</v>
      </c>
      <c r="I159" s="11">
        <f>IF($J$20=1,(1+'Benefit Profile'!$E73)*H159,IF($J$20=2,(1+'Benefit Profile'!$G73)*H159,(1+'Benefit Profile'!$I73)*H159))</f>
        <v>917831.25</v>
      </c>
      <c r="J159" s="11">
        <f>IF($J$20=1,(1+'Benefit Profile'!$E73)*I159,IF($J$20=2,(1+'Benefit Profile'!$G73)*I159,(1+'Benefit Profile'!$I73)*I159))</f>
        <v>963722.8125</v>
      </c>
      <c r="K159" s="11">
        <f>IF($J$20=1,(1+'Benefit Profile'!$E73)*J159,IF($J$20=2,(1+'Benefit Profile'!$G73)*J159,(1+'Benefit Profile'!$I73)*J159))</f>
        <v>1011908.953125</v>
      </c>
      <c r="L159" s="11">
        <f>IF($J$20=1,(1+'Benefit Profile'!$E73)*K159,IF($J$20=2,(1+'Benefit Profile'!$G73)*K159,(1+'Benefit Profile'!$I73)*K159))</f>
        <v>1062504.40078125</v>
      </c>
      <c r="M159" s="11">
        <f>IF($J$20=1,(1+'Benefit Profile'!$E73)*L159,IF($J$20=2,(1+'Benefit Profile'!$G73)*L159,(1+'Benefit Profile'!$I73)*L159))</f>
        <v>1115629.6208203128</v>
      </c>
      <c r="N159" s="11">
        <f>IF($J$20=1,(1+'Benefit Profile'!$E73)*M159,IF($J$20=2,(1+'Benefit Profile'!$G73)*M159,(1+'Benefit Profile'!$I73)*M159))</f>
        <v>1171411.1018613284</v>
      </c>
      <c r="O159" s="11">
        <f>IF($J$20=1,(1+'Benefit Profile'!$E73)*N159,IF($J$20=2,(1+'Benefit Profile'!$G73)*N159,(1+'Benefit Profile'!$I73)*N159))</f>
        <v>1229981.656954395</v>
      </c>
      <c r="P159" s="11">
        <f>IF($J$20=1,(1+'Benefit Profile'!$E73)*O159,IF($J$20=2,(1+'Benefit Profile'!$G73)*O159,(1+'Benefit Profile'!$I73)*O159))</f>
        <v>1291480.7398021147</v>
      </c>
      <c r="Q159" s="11">
        <f>IF($J$20=1,(1+'Benefit Profile'!$E73)*P159,IF($J$20=2,(1+'Benefit Profile'!$G73)*P159,(1+'Benefit Profile'!$I73)*P159))</f>
        <v>1356054.7767922205</v>
      </c>
      <c r="R159" s="11">
        <f>IF($J$20=1,(1+'Benefit Profile'!$E73)*Q159,IF($J$20=2,(1+'Benefit Profile'!$G73)*Q159,(1+'Benefit Profile'!$I73)*Q159))</f>
        <v>1423857.5156318317</v>
      </c>
      <c r="S159" s="11">
        <f>IF($J$20=1,(1+'Benefit Profile'!$E73)*R159,IF($J$20=2,(1+'Benefit Profile'!$G73)*R159,(1+'Benefit Profile'!$I73)*R159))</f>
        <v>1495050.3914134235</v>
      </c>
      <c r="T159" s="11">
        <f>IF($J$20=1,(1+'Benefit Profile'!$E73)*S159,IF($J$20=2,(1+'Benefit Profile'!$G73)*S159,(1+'Benefit Profile'!$I73)*S159))</f>
        <v>1569802.9109840947</v>
      </c>
      <c r="U159" s="11">
        <f>IF($J$20=1,(1+'Benefit Profile'!$E73)*T159,IF($J$20=2,(1+'Benefit Profile'!$G73)*T159,(1+'Benefit Profile'!$I73)*T159))</f>
        <v>1648293.0565332996</v>
      </c>
      <c r="V159" s="11">
        <f>IF($J$20=1,(1+'Benefit Profile'!$E73)*U159,IF($J$20=2,(1+'Benefit Profile'!$G73)*U159,(1+'Benefit Profile'!$I73)*U159))</f>
        <v>1730707.7093599646</v>
      </c>
      <c r="W159" s="11">
        <f>IF($J$20=1,(1+'Benefit Profile'!$E73)*V159,IF($J$20=2,(1+'Benefit Profile'!$G73)*V159,(1+'Benefit Profile'!$I73)*V159))</f>
        <v>1817243.0948279628</v>
      </c>
      <c r="X159" s="11">
        <f>IF($J$20=1,(1+'Benefit Profile'!$E73)*W159,IF($J$20=2,(1+'Benefit Profile'!$G73)*W159,(1+'Benefit Profile'!$I73)*W159))</f>
        <v>1908105.249569361</v>
      </c>
      <c r="Y159" s="11">
        <f>IF($J$20=1,(1+'Benefit Profile'!$E73)*X159,IF($J$20=2,(1+'Benefit Profile'!$G73)*X159,(1+'Benefit Profile'!$I73)*X159))</f>
        <v>2003510.5120478293</v>
      </c>
      <c r="Z159" s="70"/>
    </row>
    <row r="160" spans="3:26" s="177" customFormat="1" ht="12.75" customHeight="1">
      <c r="C160" s="178"/>
      <c r="D160" s="179"/>
      <c r="E160" s="8" t="s">
        <v>257</v>
      </c>
      <c r="F160" s="11">
        <f>F156</f>
        <v>70000</v>
      </c>
      <c r="G160" s="11">
        <f>IF($J$20=1,(1+'Benefit Profile'!$D73+'Benefit Profile'!$E73)*F160,IF($J$20=2,(1+'Benefit Profile'!$F73+'Benefit Profile'!$G73)*F160,(1+'Benefit Profile'!$H73+'Benefit Profile'!$I73)*F160))</f>
        <v>87500</v>
      </c>
      <c r="H160" s="11">
        <f>IF($J$20=1,(1+'Benefit Profile'!$E73)*G160,IF($J$20=2,(1+'Benefit Profile'!$G73)*G160,(1+'Benefit Profile'!$I73)*G160))</f>
        <v>91875</v>
      </c>
      <c r="I160" s="11">
        <f>IF($J$20=1,(1+'Benefit Profile'!$E73)*H160,IF($J$20=2,(1+'Benefit Profile'!$G73)*H160,(1+'Benefit Profile'!$I73)*H160))</f>
        <v>96468.75</v>
      </c>
      <c r="J160" s="11">
        <f>IF($J$20=1,(1+'Benefit Profile'!$E73)*I160,IF($J$20=2,(1+'Benefit Profile'!$G73)*I160,(1+'Benefit Profile'!$I73)*I160))</f>
        <v>101292.1875</v>
      </c>
      <c r="K160" s="11">
        <f>IF($J$20=1,(1+'Benefit Profile'!$E73)*J160,IF($J$20=2,(1+'Benefit Profile'!$G73)*J160,(1+'Benefit Profile'!$I73)*J160))</f>
        <v>106356.796875</v>
      </c>
      <c r="L160" s="11">
        <f>IF($J$20=1,(1+'Benefit Profile'!$E73)*K160,IF($J$20=2,(1+'Benefit Profile'!$G73)*K160,(1+'Benefit Profile'!$I73)*K160))</f>
        <v>111674.63671875</v>
      </c>
      <c r="M160" s="11">
        <f>IF($J$20=1,(1+'Benefit Profile'!$E73)*L160,IF($J$20=2,(1+'Benefit Profile'!$G73)*L160,(1+'Benefit Profile'!$I73)*L160))</f>
        <v>117258.3685546875</v>
      </c>
      <c r="N160" s="11">
        <f>IF($J$20=1,(1+'Benefit Profile'!$E73)*M160,IF($J$20=2,(1+'Benefit Profile'!$G73)*M160,(1+'Benefit Profile'!$I73)*M160))</f>
        <v>123121.28698242188</v>
      </c>
      <c r="O160" s="11">
        <f>IF($J$20=1,(1+'Benefit Profile'!$E73)*N160,IF($J$20=2,(1+'Benefit Profile'!$G73)*N160,(1+'Benefit Profile'!$I73)*N160))</f>
        <v>129277.35133154297</v>
      </c>
      <c r="P160" s="11">
        <f>IF($J$20=1,(1+'Benefit Profile'!$E73)*O160,IF($J$20=2,(1+'Benefit Profile'!$G73)*O160,(1+'Benefit Profile'!$I73)*O160))</f>
        <v>135741.21889812013</v>
      </c>
      <c r="Q160" s="11">
        <f>IF($J$20=1,(1+'Benefit Profile'!$E73)*P160,IF($J$20=2,(1+'Benefit Profile'!$G73)*P160,(1+'Benefit Profile'!$I73)*P160))</f>
        <v>142528.27984302613</v>
      </c>
      <c r="R160" s="11">
        <f>IF($J$20=1,(1+'Benefit Profile'!$E73)*Q160,IF($J$20=2,(1+'Benefit Profile'!$G73)*Q160,(1+'Benefit Profile'!$I73)*Q160))</f>
        <v>149654.69383517746</v>
      </c>
      <c r="S160" s="11">
        <f>IF($J$20=1,(1+'Benefit Profile'!$E73)*R160,IF($J$20=2,(1+'Benefit Profile'!$G73)*R160,(1+'Benefit Profile'!$I73)*R160))</f>
        <v>157137.42852693633</v>
      </c>
      <c r="T160" s="11">
        <f>IF($J$20=1,(1+'Benefit Profile'!$E73)*S160,IF($J$20=2,(1+'Benefit Profile'!$G73)*S160,(1+'Benefit Profile'!$I73)*S160))</f>
        <v>164994.29995328316</v>
      </c>
      <c r="U160" s="11">
        <f>IF($J$20=1,(1+'Benefit Profile'!$E73)*T160,IF($J$20=2,(1+'Benefit Profile'!$G73)*T160,(1+'Benefit Profile'!$I73)*T160))</f>
        <v>173244.0149509473</v>
      </c>
      <c r="V160" s="11">
        <f>IF($J$20=1,(1+'Benefit Profile'!$E73)*U160,IF($J$20=2,(1+'Benefit Profile'!$G73)*U160,(1+'Benefit Profile'!$I73)*U160))</f>
        <v>181906.2156984947</v>
      </c>
      <c r="W160" s="11">
        <f>IF($J$20=1,(1+'Benefit Profile'!$E73)*V160,IF($J$20=2,(1+'Benefit Profile'!$G73)*V160,(1+'Benefit Profile'!$I73)*V160))</f>
        <v>191001.52648341944</v>
      </c>
      <c r="X160" s="11">
        <f>IF($J$20=1,(1+'Benefit Profile'!$E73)*W160,IF($J$20=2,(1+'Benefit Profile'!$G73)*W160,(1+'Benefit Profile'!$I73)*W160))</f>
        <v>200551.60280759042</v>
      </c>
      <c r="Y160" s="11">
        <f>IF($J$20=1,(1+'Benefit Profile'!$E73)*X160,IF($J$20=2,(1+'Benefit Profile'!$G73)*X160,(1+'Benefit Profile'!$I73)*X160))</f>
        <v>210579.18294796994</v>
      </c>
      <c r="Z160" s="70"/>
    </row>
    <row r="161" spans="3:26" s="177" customFormat="1" ht="12.75" customHeight="1">
      <c r="C161" s="178"/>
      <c r="D161" s="179"/>
      <c r="E161" s="8" t="s">
        <v>254</v>
      </c>
      <c r="F161" s="11">
        <f>F159+F160</f>
        <v>736000</v>
      </c>
      <c r="G161" s="11">
        <f>G159+G160</f>
        <v>920000</v>
      </c>
      <c r="H161" s="11">
        <f>H159+H160</f>
        <v>966000</v>
      </c>
      <c r="I161" s="11">
        <f aca="true" t="shared" si="27" ref="I161:Y161">I159+I160</f>
        <v>1014300</v>
      </c>
      <c r="J161" s="11">
        <f t="shared" si="27"/>
        <v>1065015</v>
      </c>
      <c r="K161" s="11">
        <f t="shared" si="27"/>
        <v>1118265.75</v>
      </c>
      <c r="L161" s="11">
        <f t="shared" si="27"/>
        <v>1174179.0375</v>
      </c>
      <c r="M161" s="11">
        <f t="shared" si="27"/>
        <v>1232887.9893750004</v>
      </c>
      <c r="N161" s="11">
        <f t="shared" si="27"/>
        <v>1294532.38884375</v>
      </c>
      <c r="O161" s="11">
        <f t="shared" si="27"/>
        <v>1359259.0082859378</v>
      </c>
      <c r="P161" s="11">
        <f t="shared" si="27"/>
        <v>1427221.9587002348</v>
      </c>
      <c r="Q161" s="11">
        <f t="shared" si="27"/>
        <v>1498583.0566352466</v>
      </c>
      <c r="R161" s="11">
        <f t="shared" si="27"/>
        <v>1573512.2094670092</v>
      </c>
      <c r="S161" s="11">
        <f t="shared" si="27"/>
        <v>1652187.8199403598</v>
      </c>
      <c r="T161" s="11">
        <f t="shared" si="27"/>
        <v>1734797.210937378</v>
      </c>
      <c r="U161" s="11">
        <f t="shared" si="27"/>
        <v>1821537.071484247</v>
      </c>
      <c r="V161" s="11">
        <f t="shared" si="27"/>
        <v>1912613.9250584594</v>
      </c>
      <c r="W161" s="11">
        <f t="shared" si="27"/>
        <v>2008244.6213113822</v>
      </c>
      <c r="X161" s="11">
        <f t="shared" si="27"/>
        <v>2108656.8523769514</v>
      </c>
      <c r="Y161" s="11">
        <f t="shared" si="27"/>
        <v>2214089.694995799</v>
      </c>
      <c r="Z161" s="70"/>
    </row>
    <row r="162" spans="3:26" ht="12.75" customHeight="1">
      <c r="C162" s="5"/>
      <c r="D162" s="6"/>
      <c r="E162" s="8"/>
      <c r="F162" s="11"/>
      <c r="G162" s="11"/>
      <c r="H162" s="11"/>
      <c r="I162" s="11"/>
      <c r="J162" s="11"/>
      <c r="K162" s="11"/>
      <c r="L162" s="11"/>
      <c r="M162" s="11"/>
      <c r="N162" s="11"/>
      <c r="O162" s="11"/>
      <c r="P162" s="11"/>
      <c r="Q162" s="11"/>
      <c r="R162" s="11"/>
      <c r="S162" s="11"/>
      <c r="T162" s="11"/>
      <c r="U162" s="11"/>
      <c r="V162" s="11"/>
      <c r="W162" s="11"/>
      <c r="X162" s="11"/>
      <c r="Y162" s="11"/>
      <c r="Z162" s="70"/>
    </row>
    <row r="163" spans="3:26" ht="12.75" customHeight="1">
      <c r="C163" s="5"/>
      <c r="D163" s="6"/>
      <c r="E163" s="8" t="s">
        <v>252</v>
      </c>
      <c r="F163" s="11">
        <f>F161-F157</f>
        <v>0</v>
      </c>
      <c r="G163" s="11">
        <f aca="true" t="shared" si="28" ref="G163:Y163">G161-G157</f>
        <v>154560</v>
      </c>
      <c r="H163" s="11">
        <f t="shared" si="28"/>
        <v>169942.40000000002</v>
      </c>
      <c r="I163" s="11">
        <f t="shared" si="28"/>
        <v>186400.09600000002</v>
      </c>
      <c r="J163" s="11">
        <f t="shared" si="28"/>
        <v>203999.09984000004</v>
      </c>
      <c r="K163" s="11">
        <f t="shared" si="28"/>
        <v>222809.21383359993</v>
      </c>
      <c r="L163" s="11">
        <f t="shared" si="28"/>
        <v>242904.23988694407</v>
      </c>
      <c r="M163" s="11">
        <f t="shared" si="28"/>
        <v>264362.19985742203</v>
      </c>
      <c r="N163" s="11">
        <f t="shared" si="28"/>
        <v>287265.5677454686</v>
      </c>
      <c r="O163" s="11">
        <f t="shared" si="28"/>
        <v>311701.51434372505</v>
      </c>
      <c r="P163" s="11">
        <f t="shared" si="28"/>
        <v>337762.16500033345</v>
      </c>
      <c r="Q163" s="11">
        <f t="shared" si="28"/>
        <v>365544.8711873491</v>
      </c>
      <c r="R163" s="11">
        <f t="shared" si="28"/>
        <v>395152.4966011958</v>
      </c>
      <c r="S163" s="11">
        <f t="shared" si="28"/>
        <v>426693.71855991404</v>
      </c>
      <c r="T163" s="11">
        <f t="shared" si="28"/>
        <v>460283.34550171415</v>
      </c>
      <c r="U163" s="11">
        <f t="shared" si="28"/>
        <v>496042.65143115656</v>
      </c>
      <c r="V163" s="11">
        <f t="shared" si="28"/>
        <v>534099.7282032454</v>
      </c>
      <c r="W163" s="11">
        <f t="shared" si="28"/>
        <v>574589.8565819596</v>
      </c>
      <c r="X163" s="11">
        <f t="shared" si="28"/>
        <v>617655.8970583519</v>
      </c>
      <c r="Y163" s="11">
        <f t="shared" si="28"/>
        <v>663448.7014644556</v>
      </c>
      <c r="Z163" s="70"/>
    </row>
    <row r="164" spans="3:26" ht="12.75" customHeight="1">
      <c r="C164" s="5"/>
      <c r="D164" s="6"/>
      <c r="E164" s="387"/>
      <c r="F164" s="387"/>
      <c r="G164" s="387"/>
      <c r="H164" s="387"/>
      <c r="I164" s="387"/>
      <c r="J164" s="387"/>
      <c r="K164" s="387"/>
      <c r="L164" s="387"/>
      <c r="M164" s="387"/>
      <c r="N164" s="387"/>
      <c r="O164" s="387"/>
      <c r="P164" s="387"/>
      <c r="Q164" s="387"/>
      <c r="R164" s="387"/>
      <c r="S164" s="387"/>
      <c r="T164" s="387"/>
      <c r="U164" s="387"/>
      <c r="V164" s="387"/>
      <c r="W164" s="387"/>
      <c r="X164" s="387"/>
      <c r="Y164" s="387"/>
      <c r="Z164" s="70"/>
    </row>
    <row r="165" spans="3:26" ht="12.75" customHeight="1">
      <c r="C165" s="5"/>
      <c r="D165" s="6"/>
      <c r="E165" s="8" t="s">
        <v>219</v>
      </c>
      <c r="F165" s="11">
        <f>IF($L$22=2,(F73+F122+F150)*'ERR &amp; Sensitivity Analysis'!$G$11,(F73+F122+F150+F163)*'ERR &amp; Sensitivity Analysis'!$G$11)</f>
        <v>0</v>
      </c>
      <c r="G165" s="11">
        <f>IF($L$22=2,(G73+G122+G150)*'ERR &amp; Sensitivity Analysis'!$G$11,(G73+G122+G150+G163)*'ERR &amp; Sensitivity Analysis'!$G$11)</f>
        <v>0</v>
      </c>
      <c r="H165" s="11">
        <f>IF($L$22=2,(H73+H122+H150)*'ERR &amp; Sensitivity Analysis'!$G$11,(H73+H122+H150+H163)*'ERR &amp; Sensitivity Analysis'!$G$11)</f>
        <v>0</v>
      </c>
      <c r="I165" s="11">
        <f>IF($L$22=2,(I73+I122+I150)*'ERR &amp; Sensitivity Analysis'!$G$11,(I73+I122+I150+I163)*'ERR &amp; Sensitivity Analysis'!$G$11)</f>
        <v>443951.07668207906</v>
      </c>
      <c r="J165" s="11">
        <f>IF($L$22=2,(J73+J122+J150)*'ERR &amp; Sensitivity Analysis'!$G$11,(J73+J122+J150+J163)*'ERR &amp; Sensitivity Analysis'!$G$11)</f>
        <v>569441.2476908806</v>
      </c>
      <c r="K165" s="11">
        <f>IF($L$22=2,(K73+K122+K150)*'ERR &amp; Sensitivity Analysis'!$G$11,(K73+K122+K150+K163)*'ERR &amp; Sensitivity Analysis'!$G$11)</f>
        <v>714312.0260007185</v>
      </c>
      <c r="L165" s="11">
        <f>IF($L$22=2,(L73+L122+L150)*'ERR &amp; Sensitivity Analysis'!$G$11,(L73+L122+L150+L163)*'ERR &amp; Sensitivity Analysis'!$G$11)</f>
        <v>881080.8675644606</v>
      </c>
      <c r="M165" s="11">
        <f>IF($L$22=2,(M73+M122+M150)*'ERR &amp; Sensitivity Analysis'!$G$11,(M73+M122+M150+M163)*'ERR &amp; Sensitivity Analysis'!$G$11)</f>
        <v>1072566.4989765934</v>
      </c>
      <c r="N165" s="11">
        <f>IF($L$22=2,(N73+N122+N150)*'ERR &amp; Sensitivity Analysis'!$G$11,(N73+N122+N150+N163)*'ERR &amp; Sensitivity Analysis'!$G$11)</f>
        <v>1291923.3158121288</v>
      </c>
      <c r="O165" s="11">
        <f>IF($L$22=2,(O73+O122+O150)*'ERR &amp; Sensitivity Analysis'!$G$11,(O73+O122+O150+O163)*'ERR &amp; Sensitivity Analysis'!$G$11)</f>
        <v>1542679.5928905942</v>
      </c>
      <c r="P165" s="11">
        <f>IF($L$22=2,(P73+P122+P150)*'ERR &amp; Sensitivity Analysis'!$G$11,(P73+P122+P150+P163)*'ERR &amp; Sensitivity Analysis'!$G$11)</f>
        <v>1828779.9204323024</v>
      </c>
      <c r="Q165" s="11">
        <f>IF($L$22=2,(Q73+Q122+Q150)*'ERR &amp; Sensitivity Analysis'!$G$11,(Q73+Q122+Q150+Q163)*'ERR &amp; Sensitivity Analysis'!$G$11)</f>
        <v>2154632.3243922256</v>
      </c>
      <c r="R165" s="11">
        <f>IF($L$22=2,(R73+R122+R150)*'ERR &amp; Sensitivity Analysis'!$G$11,(R73+R122+R150+R163)*'ERR &amp; Sensitivity Analysis'!$G$11)</f>
        <v>2525160.5782704293</v>
      </c>
      <c r="S165" s="11">
        <f>IF($L$22=2,(S73+S122+S150)*'ERR &amp; Sensitivity Analysis'!$G$11,(S73+S122+S150+S163)*'ERR &amp; Sensitivity Analysis'!$G$11)</f>
        <v>2945862.2679007724</v>
      </c>
      <c r="T165" s="11">
        <f>IF($L$22=2,(T73+T122+T150)*'ERR &amp; Sensitivity Analysis'!$G$11,(T73+T122+T150+T163)*'ERR &amp; Sensitivity Analysis'!$G$11)</f>
        <v>3422873.2306567645</v>
      </c>
      <c r="U165" s="11">
        <f>IF($L$22=2,(U73+U122+U150)*'ERR &amp; Sensitivity Analysis'!$G$11,(U73+U122+U150+U163)*'ERR &amp; Sensitivity Analysis'!$G$11)</f>
        <v>3963039.0567872426</v>
      </c>
      <c r="V165" s="11">
        <f>IF($L$22=2,(V73+V122+V150)*'ERR &amp; Sensitivity Analysis'!$G$11,(V73+V122+V150+V163)*'ERR &amp; Sensitivity Analysis'!$G$11)</f>
        <v>4573994.413870077</v>
      </c>
      <c r="W165" s="11">
        <f>IF($L$22=2,(W73+W122+W150)*'ERR &amp; Sensitivity Analysis'!$G$11,(W73+W122+W150+W163)*'ERR &amp; Sensitivity Analysis'!$G$11)</f>
        <v>5264251.036383889</v>
      </c>
      <c r="X165" s="11">
        <f>IF($L$22=2,(X73+X122+X150)*'ERR &amp; Sensitivity Analysis'!$G$11,(X73+X122+X150+X163)*'ERR &amp; Sensitivity Analysis'!$G$11)</f>
        <v>6043295.311957051</v>
      </c>
      <c r="Y165" s="11">
        <f>IF($L$22=2,(Y73+Y122+Y150)*'ERR &amp; Sensitivity Analysis'!$G$11,(Y73+Y122+Y150+Y163)*'ERR &amp; Sensitivity Analysis'!$G$11)</f>
        <v>6921696.494855812</v>
      </c>
      <c r="Z165" s="70"/>
    </row>
    <row r="166" spans="3:26" ht="12.75" customHeight="1">
      <c r="C166" s="5"/>
      <c r="D166" s="6"/>
      <c r="E166" s="8" t="s">
        <v>220</v>
      </c>
      <c r="F166" s="11">
        <f>F165-F30</f>
        <v>-1320000</v>
      </c>
      <c r="G166" s="11">
        <f aca="true" t="shared" si="29" ref="G166:Y166">G165-G30</f>
        <v>-3250000</v>
      </c>
      <c r="H166" s="11">
        <f t="shared" si="29"/>
        <v>-2050000</v>
      </c>
      <c r="I166" s="11">
        <f t="shared" si="29"/>
        <v>243951.07668207906</v>
      </c>
      <c r="J166" s="11">
        <f t="shared" si="29"/>
        <v>519441.24769088055</v>
      </c>
      <c r="K166" s="11">
        <f t="shared" si="29"/>
        <v>714312.0260007185</v>
      </c>
      <c r="L166" s="11">
        <f t="shared" si="29"/>
        <v>841480.8675644606</v>
      </c>
      <c r="M166" s="11">
        <f t="shared" si="29"/>
        <v>1032966.4989765934</v>
      </c>
      <c r="N166" s="11">
        <f t="shared" si="29"/>
        <v>1252323.3158121288</v>
      </c>
      <c r="O166" s="11">
        <f t="shared" si="29"/>
        <v>1503079.5928905942</v>
      </c>
      <c r="P166" s="11">
        <f t="shared" si="29"/>
        <v>1789179.9204323024</v>
      </c>
      <c r="Q166" s="11">
        <f t="shared" si="29"/>
        <v>2115032.3243922256</v>
      </c>
      <c r="R166" s="11">
        <f t="shared" si="29"/>
        <v>2485560.5782704293</v>
      </c>
      <c r="S166" s="11">
        <f t="shared" si="29"/>
        <v>2906262.2679007724</v>
      </c>
      <c r="T166" s="11">
        <f t="shared" si="29"/>
        <v>3383273.2306567645</v>
      </c>
      <c r="U166" s="11">
        <f t="shared" si="29"/>
        <v>3923439.0567872426</v>
      </c>
      <c r="V166" s="11">
        <f t="shared" si="29"/>
        <v>4534394.413870077</v>
      </c>
      <c r="W166" s="11">
        <f t="shared" si="29"/>
        <v>5224651.036383889</v>
      </c>
      <c r="X166" s="11">
        <f t="shared" si="29"/>
        <v>6003695.311957051</v>
      </c>
      <c r="Y166" s="11">
        <f t="shared" si="29"/>
        <v>6882096.494855812</v>
      </c>
      <c r="Z166" s="70"/>
    </row>
    <row r="167" spans="3:26" ht="12.75" customHeight="1">
      <c r="C167" s="5"/>
      <c r="D167" s="6"/>
      <c r="E167" s="8"/>
      <c r="F167" s="11"/>
      <c r="G167" s="11"/>
      <c r="H167" s="11"/>
      <c r="I167" s="11"/>
      <c r="J167" s="11"/>
      <c r="K167" s="11"/>
      <c r="L167" s="11"/>
      <c r="M167" s="11"/>
      <c r="N167" s="11"/>
      <c r="O167" s="11"/>
      <c r="P167" s="11"/>
      <c r="Q167" s="11"/>
      <c r="R167" s="11"/>
      <c r="S167" s="11"/>
      <c r="T167" s="11"/>
      <c r="U167" s="11"/>
      <c r="V167" s="11"/>
      <c r="W167" s="11"/>
      <c r="X167" s="11"/>
      <c r="Y167" s="11"/>
      <c r="Z167" s="70"/>
    </row>
    <row r="168" spans="3:26" ht="12.75" customHeight="1">
      <c r="C168" s="5"/>
      <c r="D168" s="6"/>
      <c r="E168" s="388" t="s">
        <v>321</v>
      </c>
      <c r="F168" s="11">
        <f>889154*(1+0.024)^6</f>
        <v>1025124.7675071963</v>
      </c>
      <c r="G168" s="11">
        <f>F168*(1+0.024)</f>
        <v>1049727.761927369</v>
      </c>
      <c r="H168" s="11">
        <f aca="true" t="shared" si="30" ref="H168:Y168">G168*(1+0.024)</f>
        <v>1074921.228213626</v>
      </c>
      <c r="I168" s="11">
        <f t="shared" si="30"/>
        <v>1100719.337690753</v>
      </c>
      <c r="J168" s="11">
        <f t="shared" si="30"/>
        <v>1127136.601795331</v>
      </c>
      <c r="K168" s="11">
        <f t="shared" si="30"/>
        <v>1154187.8802384192</v>
      </c>
      <c r="L168" s="11">
        <f t="shared" si="30"/>
        <v>1181888.3893641413</v>
      </c>
      <c r="M168" s="11">
        <f t="shared" si="30"/>
        <v>1210253.7107088808</v>
      </c>
      <c r="N168" s="11">
        <f t="shared" si="30"/>
        <v>1239299.799765894</v>
      </c>
      <c r="O168" s="11">
        <f t="shared" si="30"/>
        <v>1269042.9949602755</v>
      </c>
      <c r="P168" s="11">
        <f t="shared" si="30"/>
        <v>1299500.0268393222</v>
      </c>
      <c r="Q168" s="11">
        <f t="shared" si="30"/>
        <v>1330688.0274834658</v>
      </c>
      <c r="R168" s="11">
        <f t="shared" si="30"/>
        <v>1362624.540143069</v>
      </c>
      <c r="S168" s="11">
        <f t="shared" si="30"/>
        <v>1395327.529106503</v>
      </c>
      <c r="T168" s="11">
        <f t="shared" si="30"/>
        <v>1428815.389805059</v>
      </c>
      <c r="U168" s="11">
        <f t="shared" si="30"/>
        <v>1463106.9591603803</v>
      </c>
      <c r="V168" s="11">
        <f t="shared" si="30"/>
        <v>1498221.5261802294</v>
      </c>
      <c r="W168" s="11">
        <f t="shared" si="30"/>
        <v>1534178.8428085549</v>
      </c>
      <c r="X168" s="11">
        <f t="shared" si="30"/>
        <v>1570999.1350359602</v>
      </c>
      <c r="Y168" s="11">
        <f t="shared" si="30"/>
        <v>1608703.1142768234</v>
      </c>
      <c r="Z168" s="70"/>
    </row>
    <row r="169" spans="3:26" ht="12.75" customHeight="1">
      <c r="C169" s="5"/>
      <c r="D169" s="6"/>
      <c r="E169" s="8"/>
      <c r="F169" s="12"/>
      <c r="G169" s="12"/>
      <c r="H169" s="12"/>
      <c r="I169" s="12"/>
      <c r="J169" s="12"/>
      <c r="K169" s="12"/>
      <c r="L169" s="12"/>
      <c r="M169" s="12"/>
      <c r="N169" s="12"/>
      <c r="O169" s="12"/>
      <c r="P169" s="12"/>
      <c r="Q169" s="12"/>
      <c r="R169" s="12"/>
      <c r="S169" s="12"/>
      <c r="T169" s="12"/>
      <c r="U169" s="12"/>
      <c r="V169" s="12"/>
      <c r="W169" s="12"/>
      <c r="X169" s="12"/>
      <c r="Y169" s="12"/>
      <c r="Z169" s="7"/>
    </row>
    <row r="170" spans="3:26" ht="12.75" customHeight="1">
      <c r="C170" s="5"/>
      <c r="D170" s="6"/>
      <c r="E170" s="389" t="s">
        <v>307</v>
      </c>
      <c r="F170" s="390">
        <f>F172</f>
        <v>235.27829358828316</v>
      </c>
      <c r="G170" s="390">
        <f>F170+(G172-F172)+G171</f>
        <v>250.4906643779333</v>
      </c>
      <c r="H170" s="390">
        <f aca="true" t="shared" si="31" ref="H170:Y170">G170+(H172-G172)+H171</f>
        <v>266.68211745812107</v>
      </c>
      <c r="I170" s="390">
        <f t="shared" si="31"/>
        <v>283.9154049178408</v>
      </c>
      <c r="J170" s="390">
        <f t="shared" si="31"/>
        <v>302.25729217267866</v>
      </c>
      <c r="K170" s="390">
        <f t="shared" si="31"/>
        <v>321.77881438342996</v>
      </c>
      <c r="L170" s="390">
        <f t="shared" si="31"/>
        <v>342.55554925203734</v>
      </c>
      <c r="M170" s="390">
        <f t="shared" si="31"/>
        <v>364.6679072408533</v>
      </c>
      <c r="N170" s="390">
        <f t="shared" si="31"/>
        <v>388.20144032805064</v>
      </c>
      <c r="O170" s="390">
        <f t="shared" si="31"/>
        <v>413.24717048309117</v>
      </c>
      <c r="P170" s="390">
        <f t="shared" si="31"/>
        <v>439.9019391217929</v>
      </c>
      <c r="Q170" s="390">
        <f t="shared" si="31"/>
        <v>468.2687788809985</v>
      </c>
      <c r="R170" s="390">
        <f t="shared" si="31"/>
        <v>498.4573091384512</v>
      </c>
      <c r="S170" s="390">
        <f t="shared" si="31"/>
        <v>530.5841567945571</v>
      </c>
      <c r="T170" s="390">
        <f t="shared" si="31"/>
        <v>564.7734039296076</v>
      </c>
      <c r="U170" s="390">
        <f t="shared" si="31"/>
        <v>601.1570640531188</v>
      </c>
      <c r="V170" s="390">
        <f t="shared" si="31"/>
        <v>639.8755887716152</v>
      </c>
      <c r="W170" s="390">
        <f t="shared" si="31"/>
        <v>681.078406817869</v>
      </c>
      <c r="X170" s="390">
        <f t="shared" si="31"/>
        <v>724.9244975087383</v>
      </c>
      <c r="Y170" s="390">
        <f t="shared" si="31"/>
        <v>771.5830008308176</v>
      </c>
      <c r="Z170" s="7"/>
    </row>
    <row r="171" spans="3:26" ht="12.75" customHeight="1">
      <c r="C171" s="5"/>
      <c r="D171" s="6"/>
      <c r="E171" s="391" t="s">
        <v>308</v>
      </c>
      <c r="F171" s="390">
        <f>F163</f>
        <v>0</v>
      </c>
      <c r="G171" s="390">
        <f>G163/1000000</f>
        <v>0.15456</v>
      </c>
      <c r="H171" s="390">
        <f aca="true" t="shared" si="32" ref="H171:Y171">H163/1000000</f>
        <v>0.16994240000000002</v>
      </c>
      <c r="I171" s="390">
        <f t="shared" si="32"/>
        <v>0.18640009600000002</v>
      </c>
      <c r="J171" s="390">
        <f t="shared" si="32"/>
        <v>0.20399909984000003</v>
      </c>
      <c r="K171" s="390">
        <f t="shared" si="32"/>
        <v>0.22280921383359995</v>
      </c>
      <c r="L171" s="390">
        <f t="shared" si="32"/>
        <v>0.24290423988694407</v>
      </c>
      <c r="M171" s="390">
        <f t="shared" si="32"/>
        <v>0.26436219985742204</v>
      </c>
      <c r="N171" s="390">
        <f t="shared" si="32"/>
        <v>0.2872655677454686</v>
      </c>
      <c r="O171" s="390">
        <f t="shared" si="32"/>
        <v>0.31170151434372506</v>
      </c>
      <c r="P171" s="390">
        <f t="shared" si="32"/>
        <v>0.33776216500033346</v>
      </c>
      <c r="Q171" s="390">
        <f t="shared" si="32"/>
        <v>0.3655448711873491</v>
      </c>
      <c r="R171" s="390">
        <f t="shared" si="32"/>
        <v>0.3951524966011958</v>
      </c>
      <c r="S171" s="390">
        <f t="shared" si="32"/>
        <v>0.42669371855991406</v>
      </c>
      <c r="T171" s="390">
        <f t="shared" si="32"/>
        <v>0.4602833455017142</v>
      </c>
      <c r="U171" s="390">
        <f t="shared" si="32"/>
        <v>0.49604265143115656</v>
      </c>
      <c r="V171" s="390">
        <f t="shared" si="32"/>
        <v>0.5340997282032455</v>
      </c>
      <c r="W171" s="390">
        <f t="shared" si="32"/>
        <v>0.5745898565819596</v>
      </c>
      <c r="X171" s="390">
        <f t="shared" si="32"/>
        <v>0.6176558970583519</v>
      </c>
      <c r="Y171" s="390">
        <f t="shared" si="32"/>
        <v>0.6634487014644556</v>
      </c>
      <c r="Z171" s="7"/>
    </row>
    <row r="172" spans="3:26" ht="12.75" customHeight="1">
      <c r="C172" s="5"/>
      <c r="D172" s="6"/>
      <c r="E172" s="389" t="s">
        <v>309</v>
      </c>
      <c r="F172" s="390">
        <f>253922/1300*(1+0.064)^3</f>
        <v>235.27829358828316</v>
      </c>
      <c r="G172" s="390">
        <f>F172*(1+0.064)</f>
        <v>250.3361043779333</v>
      </c>
      <c r="H172" s="390">
        <f aca="true" t="shared" si="33" ref="H172:Y172">G172*(1+0.064)</f>
        <v>266.35761505812104</v>
      </c>
      <c r="I172" s="390">
        <f t="shared" si="33"/>
        <v>283.4045024218408</v>
      </c>
      <c r="J172" s="390">
        <f t="shared" si="33"/>
        <v>301.5423905768386</v>
      </c>
      <c r="K172" s="390">
        <f t="shared" si="33"/>
        <v>320.8411035737563</v>
      </c>
      <c r="L172" s="390">
        <f t="shared" si="33"/>
        <v>341.3749342024767</v>
      </c>
      <c r="M172" s="390">
        <f t="shared" si="33"/>
        <v>363.22292999143525</v>
      </c>
      <c r="N172" s="390">
        <f t="shared" si="33"/>
        <v>386.4691975108871</v>
      </c>
      <c r="O172" s="390">
        <f t="shared" si="33"/>
        <v>411.2032261515839</v>
      </c>
      <c r="P172" s="390">
        <f t="shared" si="33"/>
        <v>437.5202326252853</v>
      </c>
      <c r="Q172" s="390">
        <f t="shared" si="33"/>
        <v>465.52152751330357</v>
      </c>
      <c r="R172" s="390">
        <f t="shared" si="33"/>
        <v>495.314905274155</v>
      </c>
      <c r="S172" s="390">
        <f t="shared" si="33"/>
        <v>527.015059211701</v>
      </c>
      <c r="T172" s="390">
        <f t="shared" si="33"/>
        <v>560.7440230012498</v>
      </c>
      <c r="U172" s="390">
        <f t="shared" si="33"/>
        <v>596.6316404733299</v>
      </c>
      <c r="V172" s="390">
        <f t="shared" si="33"/>
        <v>634.816065463623</v>
      </c>
      <c r="W172" s="390">
        <f t="shared" si="33"/>
        <v>675.4442936532948</v>
      </c>
      <c r="X172" s="390">
        <f t="shared" si="33"/>
        <v>718.6727284471058</v>
      </c>
      <c r="Y172" s="390">
        <f t="shared" si="33"/>
        <v>764.6677830677206</v>
      </c>
      <c r="Z172" s="7"/>
    </row>
    <row r="173" spans="3:26" ht="12.75" customHeight="1">
      <c r="C173" s="5"/>
      <c r="D173" s="6"/>
      <c r="E173" s="389"/>
      <c r="F173" s="390"/>
      <c r="G173" s="390"/>
      <c r="H173" s="390"/>
      <c r="I173" s="390"/>
      <c r="J173" s="390"/>
      <c r="K173" s="390"/>
      <c r="L173" s="390"/>
      <c r="M173" s="390"/>
      <c r="N173" s="390"/>
      <c r="O173" s="390"/>
      <c r="P173" s="390"/>
      <c r="Q173" s="390"/>
      <c r="R173" s="390"/>
      <c r="S173" s="390"/>
      <c r="T173" s="390"/>
      <c r="U173" s="390"/>
      <c r="V173" s="390"/>
      <c r="W173" s="390"/>
      <c r="X173" s="390"/>
      <c r="Y173" s="390"/>
      <c r="Z173" s="7"/>
    </row>
    <row r="174" spans="3:26" ht="12.75" customHeight="1">
      <c r="C174" s="5"/>
      <c r="D174" s="6"/>
      <c r="E174" s="389" t="s">
        <v>310</v>
      </c>
      <c r="F174" s="390">
        <f>(F170/F168)*1000000</f>
        <v>229.51186142971767</v>
      </c>
      <c r="G174" s="390">
        <f aca="true" t="shared" si="34" ref="G174:Y174">(G170/G168)*1000000</f>
        <v>238.62440669189888</v>
      </c>
      <c r="H174" s="390">
        <f t="shared" si="34"/>
        <v>248.09456773061478</v>
      </c>
      <c r="I174" s="390">
        <f t="shared" si="34"/>
        <v>257.9362378728435</v>
      </c>
      <c r="J174" s="390">
        <f t="shared" si="34"/>
        <v>268.1638513834399</v>
      </c>
      <c r="K174" s="390">
        <f t="shared" si="34"/>
        <v>278.7924045060675</v>
      </c>
      <c r="L174" s="390">
        <f t="shared" si="34"/>
        <v>289.837477324177</v>
      </c>
      <c r="M174" s="390">
        <f t="shared" si="34"/>
        <v>301.3152564739973</v>
      </c>
      <c r="N174" s="390">
        <f t="shared" si="34"/>
        <v>313.24255874275343</v>
      </c>
      <c r="O174" s="390">
        <f t="shared" si="34"/>
        <v>325.6368555866202</v>
      </c>
      <c r="P174" s="390">
        <f t="shared" si="34"/>
        <v>338.5162986042669</v>
      </c>
      <c r="Q174" s="390">
        <f t="shared" si="34"/>
        <v>351.89974600325087</v>
      </c>
      <c r="R174" s="390">
        <f t="shared" si="34"/>
        <v>365.80679009796455</v>
      </c>
      <c r="S174" s="390">
        <f t="shared" si="34"/>
        <v>380.25778587936003</v>
      </c>
      <c r="T174" s="390">
        <f t="shared" si="34"/>
        <v>395.2738806982354</v>
      </c>
      <c r="U174" s="390">
        <f t="shared" si="34"/>
        <v>410.87704510550566</v>
      </c>
      <c r="V174" s="390">
        <f t="shared" si="34"/>
        <v>427.09010489456887</v>
      </c>
      <c r="W174" s="390">
        <f t="shared" si="34"/>
        <v>443.93677439264394</v>
      </c>
      <c r="X174" s="390">
        <f t="shared" si="34"/>
        <v>461.441691049782</v>
      </c>
      <c r="Y174" s="390">
        <f t="shared" si="34"/>
        <v>479.6304513761541</v>
      </c>
      <c r="Z174" s="7"/>
    </row>
    <row r="175" spans="3:26" ht="12.75" customHeight="1">
      <c r="C175" s="5"/>
      <c r="D175" s="6"/>
      <c r="E175" s="391" t="s">
        <v>311</v>
      </c>
      <c r="F175" s="390">
        <f>F174-F176</f>
        <v>0</v>
      </c>
      <c r="G175" s="390">
        <f aca="true" t="shared" si="35" ref="G175:Y175">G174-G176</f>
        <v>0.14723817508286174</v>
      </c>
      <c r="H175" s="390">
        <f t="shared" si="35"/>
        <v>0.3018848186106595</v>
      </c>
      <c r="I175" s="390">
        <f t="shared" si="35"/>
        <v>0.4641532845892016</v>
      </c>
      <c r="J175" s="390">
        <f t="shared" si="35"/>
        <v>0.6342634909569256</v>
      </c>
      <c r="K175" s="390">
        <f t="shared" si="35"/>
        <v>0.8124420865344177</v>
      </c>
      <c r="L175" s="390">
        <f t="shared" si="35"/>
        <v>0.9989226226309142</v>
      </c>
      <c r="M175" s="390">
        <f t="shared" si="35"/>
        <v>1.1939457294220688</v>
      </c>
      <c r="N175" s="390">
        <f t="shared" si="35"/>
        <v>1.3977592972182151</v>
      </c>
      <c r="O175" s="390">
        <f t="shared" si="35"/>
        <v>1.610618662743775</v>
      </c>
      <c r="P175" s="390">
        <f t="shared" si="35"/>
        <v>1.8327868005516166</v>
      </c>
      <c r="Q175" s="390">
        <f t="shared" si="35"/>
        <v>2.0645345197029314</v>
      </c>
      <c r="R175" s="390">
        <f t="shared" si="35"/>
        <v>2.3061406658404735</v>
      </c>
      <c r="S175" s="390">
        <f t="shared" si="35"/>
        <v>2.5578923287936277</v>
      </c>
      <c r="T175" s="390">
        <f t="shared" si="35"/>
        <v>2.820085055850029</v>
      </c>
      <c r="U175" s="390">
        <f t="shared" si="35"/>
        <v>3.0930230708395356</v>
      </c>
      <c r="V175" s="390">
        <f t="shared" si="35"/>
        <v>3.3770194991735707</v>
      </c>
      <c r="W175" s="390">
        <f t="shared" si="35"/>
        <v>3.6723965989910425</v>
      </c>
      <c r="X175" s="390">
        <f t="shared" si="35"/>
        <v>3.979485998564485</v>
      </c>
      <c r="Y175" s="390">
        <f t="shared" si="35"/>
        <v>4.298628940123422</v>
      </c>
      <c r="Z175" s="7"/>
    </row>
    <row r="176" spans="3:26" ht="12.75" customHeight="1">
      <c r="C176" s="5"/>
      <c r="D176" s="6"/>
      <c r="E176" s="389" t="s">
        <v>312</v>
      </c>
      <c r="F176" s="390">
        <f>(F172/F168)*1000000</f>
        <v>229.51186142971767</v>
      </c>
      <c r="G176" s="390">
        <f aca="true" t="shared" si="36" ref="G176:Y176">(G172/G168)*1000000</f>
        <v>238.47716851681602</v>
      </c>
      <c r="H176" s="390">
        <f t="shared" si="36"/>
        <v>247.79268291200412</v>
      </c>
      <c r="I176" s="390">
        <f t="shared" si="36"/>
        <v>257.4720845882543</v>
      </c>
      <c r="J176" s="390">
        <f t="shared" si="36"/>
        <v>267.529587892483</v>
      </c>
      <c r="K176" s="390">
        <f t="shared" si="36"/>
        <v>277.9799624195331</v>
      </c>
      <c r="L176" s="390">
        <f t="shared" si="36"/>
        <v>288.83855470154606</v>
      </c>
      <c r="M176" s="390">
        <f t="shared" si="36"/>
        <v>300.1213107445752</v>
      </c>
      <c r="N176" s="390">
        <f t="shared" si="36"/>
        <v>311.8447994455352</v>
      </c>
      <c r="O176" s="390">
        <f t="shared" si="36"/>
        <v>324.0262369238764</v>
      </c>
      <c r="P176" s="390">
        <f t="shared" si="36"/>
        <v>336.6835118037153</v>
      </c>
      <c r="Q176" s="390">
        <f t="shared" si="36"/>
        <v>349.83521148354794</v>
      </c>
      <c r="R176" s="390">
        <f t="shared" si="36"/>
        <v>363.5006494321241</v>
      </c>
      <c r="S176" s="390">
        <f t="shared" si="36"/>
        <v>377.6998935505664</v>
      </c>
      <c r="T176" s="390">
        <f t="shared" si="36"/>
        <v>392.4537956423854</v>
      </c>
      <c r="U176" s="390">
        <f t="shared" si="36"/>
        <v>407.7840220346661</v>
      </c>
      <c r="V176" s="390">
        <f t="shared" si="36"/>
        <v>423.7130853953953</v>
      </c>
      <c r="W176" s="390">
        <f t="shared" si="36"/>
        <v>440.2643777936529</v>
      </c>
      <c r="X176" s="390">
        <f t="shared" si="36"/>
        <v>457.4622050512175</v>
      </c>
      <c r="Y176" s="390">
        <f t="shared" si="36"/>
        <v>475.3318224360307</v>
      </c>
      <c r="Z176" s="7"/>
    </row>
    <row r="177" spans="3:26" ht="12.75" customHeight="1">
      <c r="C177" s="5"/>
      <c r="D177" s="6"/>
      <c r="E177" s="8"/>
      <c r="F177" s="392"/>
      <c r="G177" s="392"/>
      <c r="H177" s="392"/>
      <c r="I177" s="392"/>
      <c r="J177" s="392"/>
      <c r="K177" s="392"/>
      <c r="L177" s="392"/>
      <c r="M177" s="392"/>
      <c r="N177" s="392"/>
      <c r="O177" s="393"/>
      <c r="P177" s="392"/>
      <c r="Q177" s="392"/>
      <c r="R177" s="392"/>
      <c r="S177" s="392"/>
      <c r="T177" s="392"/>
      <c r="U177" s="392"/>
      <c r="V177" s="392"/>
      <c r="W177" s="392"/>
      <c r="X177" s="392"/>
      <c r="Y177" s="392"/>
      <c r="Z177" s="7"/>
    </row>
    <row r="178" spans="3:26" ht="12.75" customHeight="1">
      <c r="C178" s="5"/>
      <c r="D178" s="6"/>
      <c r="E178" s="389" t="s">
        <v>313</v>
      </c>
      <c r="F178" s="394">
        <v>0.06399999999999996</v>
      </c>
      <c r="G178" s="395">
        <f aca="true" t="shared" si="37" ref="G178:Y178">(G170-F170)/F170</f>
        <v>0.06465692417962915</v>
      </c>
      <c r="H178" s="395">
        <f t="shared" si="37"/>
        <v>0.06463894820350886</v>
      </c>
      <c r="I178" s="395">
        <f t="shared" si="37"/>
        <v>0.0646210837981141</v>
      </c>
      <c r="J178" s="395">
        <f t="shared" si="37"/>
        <v>0.06460335345363032</v>
      </c>
      <c r="K178" s="395">
        <f t="shared" si="37"/>
        <v>0.06458577746934462</v>
      </c>
      <c r="L178" s="395">
        <f t="shared" si="37"/>
        <v>0.06456837411256643</v>
      </c>
      <c r="M178" s="395">
        <f t="shared" si="37"/>
        <v>0.06455115976692781</v>
      </c>
      <c r="N178" s="395">
        <f t="shared" si="37"/>
        <v>0.0645341490707436</v>
      </c>
      <c r="O178" s="395">
        <f t="shared" si="37"/>
        <v>0.06451735504606983</v>
      </c>
      <c r="P178" s="395">
        <f t="shared" si="37"/>
        <v>0.06450078921905739</v>
      </c>
      <c r="Q178" s="395">
        <f t="shared" si="37"/>
        <v>0.0644844617321677</v>
      </c>
      <c r="R178" s="395">
        <f t="shared" si="37"/>
        <v>0.06446838144877581</v>
      </c>
      <c r="S178" s="395">
        <f t="shared" si="37"/>
        <v>0.06445255605065742</v>
      </c>
      <c r="T178" s="395">
        <f t="shared" si="37"/>
        <v>0.0644369921288258</v>
      </c>
      <c r="U178" s="395">
        <f t="shared" si="37"/>
        <v>0.06442169526815388</v>
      </c>
      <c r="V178" s="395">
        <f t="shared" si="37"/>
        <v>0.06440667012618716</v>
      </c>
      <c r="W178" s="395">
        <f t="shared" si="37"/>
        <v>0.06439192050653451</v>
      </c>
      <c r="X178" s="395">
        <f t="shared" si="37"/>
        <v>0.06437744942719124</v>
      </c>
      <c r="Y178" s="395">
        <f t="shared" si="37"/>
        <v>0.06436325918412877</v>
      </c>
      <c r="Z178" s="7"/>
    </row>
    <row r="179" spans="3:26" ht="12.75" customHeight="1">
      <c r="C179" s="5"/>
      <c r="D179" s="6"/>
      <c r="E179" s="391" t="s">
        <v>314</v>
      </c>
      <c r="F179" s="396">
        <f>F178-F181</f>
        <v>0</v>
      </c>
      <c r="G179" s="396">
        <f aca="true" t="shared" si="38" ref="G179:Y179">G178-G181</f>
        <v>0.000656924179629037</v>
      </c>
      <c r="H179" s="396">
        <f t="shared" si="38"/>
        <v>0.0006389482035088628</v>
      </c>
      <c r="I179" s="396">
        <f t="shared" si="38"/>
        <v>0.0006210837981140971</v>
      </c>
      <c r="J179" s="396">
        <f t="shared" si="38"/>
        <v>0.0006033534536302732</v>
      </c>
      <c r="K179" s="396">
        <f t="shared" si="38"/>
        <v>0.0005857774693445728</v>
      </c>
      <c r="L179" s="396">
        <f t="shared" si="38"/>
        <v>0.000568374112566411</v>
      </c>
      <c r="M179" s="396">
        <f t="shared" si="38"/>
        <v>0.0005511597669277113</v>
      </c>
      <c r="N179" s="396">
        <f t="shared" si="38"/>
        <v>0.0005341490707435892</v>
      </c>
      <c r="O179" s="396">
        <f t="shared" si="38"/>
        <v>0.0005173550460697424</v>
      </c>
      <c r="P179" s="396">
        <f t="shared" si="38"/>
        <v>0.0005007892190573571</v>
      </c>
      <c r="Q179" s="396">
        <f t="shared" si="38"/>
        <v>0.0004844617321676792</v>
      </c>
      <c r="R179" s="396">
        <f t="shared" si="38"/>
        <v>0.0004683814487757565</v>
      </c>
      <c r="S179" s="396">
        <f t="shared" si="38"/>
        <v>0.0004525560506573323</v>
      </c>
      <c r="T179" s="396">
        <f t="shared" si="38"/>
        <v>0.0004369921288258083</v>
      </c>
      <c r="U179" s="396">
        <f t="shared" si="38"/>
        <v>0.0004216952681538183</v>
      </c>
      <c r="V179" s="396">
        <f t="shared" si="38"/>
        <v>0.0004066701261871558</v>
      </c>
      <c r="W179" s="396">
        <f t="shared" si="38"/>
        <v>0.0003919205065345266</v>
      </c>
      <c r="X179" s="396">
        <f t="shared" si="38"/>
        <v>0.0003774494271911316</v>
      </c>
      <c r="Y179" s="396">
        <f t="shared" si="38"/>
        <v>0.0003632591841286753</v>
      </c>
      <c r="Z179" s="7"/>
    </row>
    <row r="180" spans="3:26" ht="12.75" customHeight="1">
      <c r="C180" s="5"/>
      <c r="D180" s="6"/>
      <c r="E180" s="389" t="s">
        <v>315</v>
      </c>
      <c r="F180" s="397">
        <f>F179/F181</f>
        <v>0</v>
      </c>
      <c r="G180" s="397">
        <f aca="true" t="shared" si="39" ref="G180:Y180">G179/G181</f>
        <v>0.010264440306703686</v>
      </c>
      <c r="H180" s="397">
        <f t="shared" si="39"/>
        <v>0.009983565679825982</v>
      </c>
      <c r="I180" s="397">
        <f t="shared" si="39"/>
        <v>0.009704434345532767</v>
      </c>
      <c r="J180" s="397">
        <f t="shared" si="39"/>
        <v>0.009427397712973011</v>
      </c>
      <c r="K180" s="397">
        <f t="shared" si="39"/>
        <v>0.009152772958508942</v>
      </c>
      <c r="L180" s="397">
        <f t="shared" si="39"/>
        <v>0.00888084550885017</v>
      </c>
      <c r="M180" s="397">
        <f t="shared" si="39"/>
        <v>0.008611871358245475</v>
      </c>
      <c r="N180" s="397">
        <f t="shared" si="39"/>
        <v>0.00834607923036858</v>
      </c>
      <c r="O180" s="397">
        <f t="shared" si="39"/>
        <v>0.008083672594839714</v>
      </c>
      <c r="P180" s="397">
        <f t="shared" si="39"/>
        <v>0.0078248315477712</v>
      </c>
      <c r="Q180" s="397">
        <f t="shared" si="39"/>
        <v>0.0075697145651199855</v>
      </c>
      <c r="R180" s="397">
        <f t="shared" si="39"/>
        <v>0.007318460137121189</v>
      </c>
      <c r="S180" s="397">
        <f t="shared" si="39"/>
        <v>0.0070711882915208074</v>
      </c>
      <c r="T180" s="397">
        <f t="shared" si="39"/>
        <v>0.006828002012903256</v>
      </c>
      <c r="U180" s="397">
        <f t="shared" si="39"/>
        <v>0.006588988564903405</v>
      </c>
      <c r="V180" s="397">
        <f t="shared" si="39"/>
        <v>0.0063542207216743096</v>
      </c>
      <c r="W180" s="397">
        <f t="shared" si="39"/>
        <v>0.006123757914601979</v>
      </c>
      <c r="X180" s="397">
        <f t="shared" si="39"/>
        <v>0.005897647299861421</v>
      </c>
      <c r="Y180" s="397">
        <f t="shared" si="39"/>
        <v>0.005675924752010543</v>
      </c>
      <c r="Z180" s="7"/>
    </row>
    <row r="181" spans="3:26" ht="12.75" customHeight="1">
      <c r="C181" s="5"/>
      <c r="D181" s="6"/>
      <c r="E181" s="389" t="s">
        <v>316</v>
      </c>
      <c r="F181" s="397">
        <v>0.06399999999999996</v>
      </c>
      <c r="G181" s="396">
        <f>(G172-F172)/F172</f>
        <v>0.06400000000000011</v>
      </c>
      <c r="H181" s="396">
        <f aca="true" t="shared" si="40" ref="H181:Y181">(H172-G172)/G172</f>
        <v>0.064</v>
      </c>
      <c r="I181" s="396">
        <f t="shared" si="40"/>
        <v>0.064</v>
      </c>
      <c r="J181" s="396">
        <f t="shared" si="40"/>
        <v>0.06400000000000004</v>
      </c>
      <c r="K181" s="396">
        <f t="shared" si="40"/>
        <v>0.06400000000000004</v>
      </c>
      <c r="L181" s="396">
        <f t="shared" si="40"/>
        <v>0.06400000000000002</v>
      </c>
      <c r="M181" s="396">
        <f t="shared" si="40"/>
        <v>0.0640000000000001</v>
      </c>
      <c r="N181" s="396">
        <f t="shared" si="40"/>
        <v>0.06400000000000002</v>
      </c>
      <c r="O181" s="396">
        <f t="shared" si="40"/>
        <v>0.06400000000000008</v>
      </c>
      <c r="P181" s="396">
        <f t="shared" si="40"/>
        <v>0.06400000000000003</v>
      </c>
      <c r="Q181" s="396">
        <f t="shared" si="40"/>
        <v>0.06400000000000002</v>
      </c>
      <c r="R181" s="396">
        <f t="shared" si="40"/>
        <v>0.06400000000000006</v>
      </c>
      <c r="S181" s="396">
        <f t="shared" si="40"/>
        <v>0.06400000000000008</v>
      </c>
      <c r="T181" s="396">
        <f t="shared" si="40"/>
        <v>0.06399999999999999</v>
      </c>
      <c r="U181" s="396">
        <f t="shared" si="40"/>
        <v>0.06400000000000006</v>
      </c>
      <c r="V181" s="396">
        <f t="shared" si="40"/>
        <v>0.064</v>
      </c>
      <c r="W181" s="396">
        <f t="shared" si="40"/>
        <v>0.06399999999999999</v>
      </c>
      <c r="X181" s="396">
        <f t="shared" si="40"/>
        <v>0.06400000000000011</v>
      </c>
      <c r="Y181" s="396">
        <f t="shared" si="40"/>
        <v>0.0640000000000001</v>
      </c>
      <c r="Z181" s="7"/>
    </row>
    <row r="182" spans="3:26" ht="12.75" customHeight="1">
      <c r="C182" s="5"/>
      <c r="D182" s="6"/>
      <c r="E182" s="389"/>
      <c r="F182" s="397"/>
      <c r="G182" s="396"/>
      <c r="H182" s="396"/>
      <c r="I182" s="396"/>
      <c r="J182" s="396"/>
      <c r="K182" s="396"/>
      <c r="L182" s="396"/>
      <c r="M182" s="396"/>
      <c r="N182" s="396"/>
      <c r="O182" s="396"/>
      <c r="P182" s="396"/>
      <c r="Q182" s="396"/>
      <c r="R182" s="396"/>
      <c r="S182" s="396"/>
      <c r="T182" s="396"/>
      <c r="U182" s="396"/>
      <c r="V182" s="396"/>
      <c r="W182" s="396"/>
      <c r="X182" s="396"/>
      <c r="Y182" s="396"/>
      <c r="Z182" s="7"/>
    </row>
    <row r="183" spans="3:26" ht="12.75" customHeight="1">
      <c r="C183" s="5"/>
      <c r="D183" s="6"/>
      <c r="E183" s="389" t="s">
        <v>317</v>
      </c>
      <c r="F183" s="397">
        <v>0.0370370370370372</v>
      </c>
      <c r="G183" s="396">
        <f>(G174-F174)/F174</f>
        <v>0.03970402751916901</v>
      </c>
      <c r="H183" s="396">
        <f aca="true" t="shared" si="41" ref="H183:Y183">(H174-G174)/G174</f>
        <v>0.039686472854989004</v>
      </c>
      <c r="I183" s="396">
        <f t="shared" si="41"/>
        <v>0.0396690271465958</v>
      </c>
      <c r="J183" s="396">
        <f t="shared" si="41"/>
        <v>0.0396517123570609</v>
      </c>
      <c r="K183" s="396">
        <f t="shared" si="41"/>
        <v>0.03963454830990666</v>
      </c>
      <c r="L183" s="396">
        <f t="shared" si="41"/>
        <v>0.03961755284430317</v>
      </c>
      <c r="M183" s="396">
        <f t="shared" si="41"/>
        <v>0.03960074195989041</v>
      </c>
      <c r="N183" s="396">
        <f t="shared" si="41"/>
        <v>0.03958412995189784</v>
      </c>
      <c r="O183" s="396">
        <f t="shared" si="41"/>
        <v>0.039567729537177666</v>
      </c>
      <c r="P183" s="396">
        <f t="shared" si="41"/>
        <v>0.0395515519717355</v>
      </c>
      <c r="Q183" s="396">
        <f t="shared" si="41"/>
        <v>0.0395356071603202</v>
      </c>
      <c r="R183" s="396">
        <f t="shared" si="41"/>
        <v>0.039519903758569945</v>
      </c>
      <c r="S183" s="396">
        <f t="shared" si="41"/>
        <v>0.039504449268220096</v>
      </c>
      <c r="T183" s="396">
        <f t="shared" si="41"/>
        <v>0.03948925012580642</v>
      </c>
      <c r="U183" s="396">
        <f t="shared" si="41"/>
        <v>0.03947431178530663</v>
      </c>
      <c r="V183" s="396">
        <f t="shared" si="41"/>
        <v>0.03945963879510474</v>
      </c>
      <c r="W183" s="396">
        <f t="shared" si="41"/>
        <v>0.039445234869662525</v>
      </c>
      <c r="X183" s="396">
        <f t="shared" si="41"/>
        <v>0.039431102956241366</v>
      </c>
      <c r="Y183" s="396">
        <f t="shared" si="41"/>
        <v>0.03941724529700081</v>
      </c>
      <c r="Z183" s="7"/>
    </row>
    <row r="184" spans="3:26" ht="12.75" customHeight="1">
      <c r="C184" s="5"/>
      <c r="D184" s="6"/>
      <c r="E184" s="391" t="s">
        <v>318</v>
      </c>
      <c r="F184" s="397">
        <v>0</v>
      </c>
      <c r="G184" s="396">
        <f>G183-G186</f>
        <v>0.0006415275191689815</v>
      </c>
      <c r="H184" s="396">
        <f aca="true" t="shared" si="42" ref="H184:Y184">H183-H186</f>
        <v>0.0006239728549891008</v>
      </c>
      <c r="I184" s="396">
        <f t="shared" si="42"/>
        <v>0.0006065271465957797</v>
      </c>
      <c r="J184" s="396">
        <f t="shared" si="42"/>
        <v>0.000589212357060824</v>
      </c>
      <c r="K184" s="396">
        <f t="shared" si="42"/>
        <v>0.0005720483099067725</v>
      </c>
      <c r="L184" s="396">
        <f t="shared" si="42"/>
        <v>0.0005550528443032873</v>
      </c>
      <c r="M184" s="396">
        <f t="shared" si="42"/>
        <v>0.0005382419598903287</v>
      </c>
      <c r="N184" s="396">
        <f t="shared" si="42"/>
        <v>0.0005216299518977716</v>
      </c>
      <c r="O184" s="396">
        <f t="shared" si="42"/>
        <v>0.0005052295371777427</v>
      </c>
      <c r="P184" s="396">
        <f t="shared" si="42"/>
        <v>0.0004890519717355851</v>
      </c>
      <c r="Q184" s="396">
        <f t="shared" si="42"/>
        <v>0.000473107160320195</v>
      </c>
      <c r="R184" s="396">
        <f t="shared" si="42"/>
        <v>0.00045740375856980625</v>
      </c>
      <c r="S184" s="396">
        <f t="shared" si="42"/>
        <v>0.00044194926822016534</v>
      </c>
      <c r="T184" s="396">
        <f t="shared" si="42"/>
        <v>0.0004267501258064521</v>
      </c>
      <c r="U184" s="396">
        <f t="shared" si="42"/>
        <v>0.00041181178530648455</v>
      </c>
      <c r="V184" s="396">
        <f t="shared" si="42"/>
        <v>0.0003971387951046679</v>
      </c>
      <c r="W184" s="396">
        <f t="shared" si="42"/>
        <v>0.00038273486966258763</v>
      </c>
      <c r="X184" s="396">
        <f t="shared" si="42"/>
        <v>0.0003686029562412971</v>
      </c>
      <c r="Y184" s="396">
        <f t="shared" si="42"/>
        <v>0.0003547452970008094</v>
      </c>
      <c r="Z184" s="7"/>
    </row>
    <row r="185" spans="3:26" ht="12.75" customHeight="1">
      <c r="C185" s="5"/>
      <c r="D185" s="6"/>
      <c r="E185" s="391" t="s">
        <v>319</v>
      </c>
      <c r="F185" s="397">
        <v>0</v>
      </c>
      <c r="G185" s="396">
        <f>G184/G186</f>
        <v>0.016423104490725916</v>
      </c>
      <c r="H185" s="396">
        <f aca="true" t="shared" si="43" ref="H185:Y185">H184/H186</f>
        <v>0.01597370508772102</v>
      </c>
      <c r="I185" s="396">
        <f t="shared" si="43"/>
        <v>0.015527094952851952</v>
      </c>
      <c r="J185" s="396">
        <f t="shared" si="43"/>
        <v>0.015083836340757066</v>
      </c>
      <c r="K185" s="396">
        <f t="shared" si="43"/>
        <v>0.014644436733613417</v>
      </c>
      <c r="L185" s="396">
        <f t="shared" si="43"/>
        <v>0.0142093528141642</v>
      </c>
      <c r="M185" s="396">
        <f t="shared" si="43"/>
        <v>0.013778994173192387</v>
      </c>
      <c r="N185" s="396">
        <f t="shared" si="43"/>
        <v>0.013353726768582928</v>
      </c>
      <c r="O185" s="396">
        <f t="shared" si="43"/>
        <v>0.012933876151750238</v>
      </c>
      <c r="P185" s="396">
        <f t="shared" si="43"/>
        <v>0.012519730476431006</v>
      </c>
      <c r="Q185" s="396">
        <f t="shared" si="43"/>
        <v>0.01211154330419699</v>
      </c>
      <c r="R185" s="396">
        <f t="shared" si="43"/>
        <v>0.011709536219386998</v>
      </c>
      <c r="S185" s="396">
        <f t="shared" si="43"/>
        <v>0.011313901266436253</v>
      </c>
      <c r="T185" s="396">
        <f t="shared" si="43"/>
        <v>0.010924803220645183</v>
      </c>
      <c r="U185" s="396">
        <f t="shared" si="43"/>
        <v>0.010542381703845966</v>
      </c>
      <c r="V185" s="396">
        <f t="shared" si="43"/>
        <v>0.01016675315467948</v>
      </c>
      <c r="W185" s="396">
        <f t="shared" si="43"/>
        <v>0.00979801266336226</v>
      </c>
      <c r="X185" s="396">
        <f t="shared" si="43"/>
        <v>0.009436235679777189</v>
      </c>
      <c r="Y185" s="396">
        <f t="shared" si="43"/>
        <v>0.009081479603220722</v>
      </c>
      <c r="Z185" s="7"/>
    </row>
    <row r="186" spans="3:26" ht="12.75" customHeight="1">
      <c r="C186" s="5"/>
      <c r="D186" s="6"/>
      <c r="E186" s="389" t="s">
        <v>320</v>
      </c>
      <c r="F186" s="397">
        <v>0.0370370370370372</v>
      </c>
      <c r="G186" s="396">
        <f>(G176-F176)/F176</f>
        <v>0.03906250000000003</v>
      </c>
      <c r="H186" s="396">
        <f aca="true" t="shared" si="44" ref="H186:Y186">(H176-G176)/G176</f>
        <v>0.0390624999999999</v>
      </c>
      <c r="I186" s="396">
        <f t="shared" si="44"/>
        <v>0.03906250000000002</v>
      </c>
      <c r="J186" s="396">
        <f t="shared" si="44"/>
        <v>0.039062500000000076</v>
      </c>
      <c r="K186" s="396">
        <f t="shared" si="44"/>
        <v>0.03906249999999989</v>
      </c>
      <c r="L186" s="396">
        <f t="shared" si="44"/>
        <v>0.03906249999999988</v>
      </c>
      <c r="M186" s="396">
        <f t="shared" si="44"/>
        <v>0.03906250000000008</v>
      </c>
      <c r="N186" s="396">
        <f t="shared" si="44"/>
        <v>0.03906250000000007</v>
      </c>
      <c r="O186" s="396">
        <f t="shared" si="44"/>
        <v>0.039062499999999924</v>
      </c>
      <c r="P186" s="396">
        <f t="shared" si="44"/>
        <v>0.03906249999999992</v>
      </c>
      <c r="Q186" s="396">
        <f t="shared" si="44"/>
        <v>0.03906250000000001</v>
      </c>
      <c r="R186" s="396">
        <f t="shared" si="44"/>
        <v>0.03906250000000014</v>
      </c>
      <c r="S186" s="396">
        <f t="shared" si="44"/>
        <v>0.03906249999999993</v>
      </c>
      <c r="T186" s="396">
        <f t="shared" si="44"/>
        <v>0.039062499999999965</v>
      </c>
      <c r="U186" s="396">
        <f t="shared" si="44"/>
        <v>0.039062500000000146</v>
      </c>
      <c r="V186" s="396">
        <f t="shared" si="44"/>
        <v>0.03906250000000007</v>
      </c>
      <c r="W186" s="396">
        <f t="shared" si="44"/>
        <v>0.03906249999999994</v>
      </c>
      <c r="X186" s="396">
        <f t="shared" si="44"/>
        <v>0.03906250000000007</v>
      </c>
      <c r="Y186" s="396">
        <f t="shared" si="44"/>
        <v>0.0390625</v>
      </c>
      <c r="Z186" s="7"/>
    </row>
    <row r="187" spans="3:26" ht="12.75">
      <c r="C187" s="16"/>
      <c r="D187" s="17"/>
      <c r="E187" s="17"/>
      <c r="F187" s="17"/>
      <c r="G187" s="17"/>
      <c r="H187" s="17"/>
      <c r="I187" s="17"/>
      <c r="J187" s="17"/>
      <c r="K187" s="17"/>
      <c r="L187" s="17"/>
      <c r="M187" s="17"/>
      <c r="N187" s="17"/>
      <c r="O187" s="17"/>
      <c r="P187" s="17"/>
      <c r="Q187" s="17"/>
      <c r="R187" s="17"/>
      <c r="S187" s="17"/>
      <c r="T187" s="17"/>
      <c r="U187" s="17"/>
      <c r="V187" s="17"/>
      <c r="W187" s="17"/>
      <c r="X187" s="17"/>
      <c r="Y187" s="17"/>
      <c r="Z187" s="18"/>
    </row>
    <row r="189" spans="3:26" ht="12.75">
      <c r="C189" s="148"/>
      <c r="D189" s="149" t="s">
        <v>221</v>
      </c>
      <c r="E189" s="150"/>
      <c r="F189" s="151"/>
      <c r="G189" s="150"/>
      <c r="H189" s="150"/>
      <c r="I189" s="150"/>
      <c r="J189" s="150"/>
      <c r="K189" s="150"/>
      <c r="L189" s="150"/>
      <c r="M189" s="150"/>
      <c r="N189" s="150"/>
      <c r="O189" s="150"/>
      <c r="P189" s="150"/>
      <c r="Q189" s="150"/>
      <c r="R189" s="150"/>
      <c r="S189" s="150"/>
      <c r="T189" s="150"/>
      <c r="U189" s="150"/>
      <c r="V189" s="150"/>
      <c r="W189" s="150"/>
      <c r="X189" s="150"/>
      <c r="Y189" s="150"/>
      <c r="Z189" s="152"/>
    </row>
    <row r="190" spans="3:26" ht="12.75">
      <c r="C190" s="76"/>
      <c r="D190" s="77"/>
      <c r="E190" s="77"/>
      <c r="F190" s="153"/>
      <c r="G190" s="77"/>
      <c r="H190" s="77"/>
      <c r="I190" s="77"/>
      <c r="J190" s="77"/>
      <c r="K190" s="77"/>
      <c r="L190" s="77"/>
      <c r="M190" s="77"/>
      <c r="N190" s="77"/>
      <c r="O190" s="77"/>
      <c r="P190" s="77"/>
      <c r="Q190" s="77"/>
      <c r="R190" s="77"/>
      <c r="S190" s="77"/>
      <c r="T190" s="77"/>
      <c r="U190" s="77"/>
      <c r="V190" s="77"/>
      <c r="W190" s="77"/>
      <c r="X190" s="77"/>
      <c r="Y190" s="77"/>
      <c r="Z190" s="78"/>
    </row>
    <row r="191" spans="3:26" ht="12.75">
      <c r="C191" s="76"/>
      <c r="D191" s="77"/>
      <c r="E191" s="154" t="s">
        <v>219</v>
      </c>
      <c r="F191" s="155">
        <f>F165</f>
        <v>0</v>
      </c>
      <c r="G191" s="155">
        <f aca="true" t="shared" si="45" ref="G191:Y191">G165*(0.9)</f>
        <v>0</v>
      </c>
      <c r="H191" s="155">
        <f t="shared" si="45"/>
        <v>0</v>
      </c>
      <c r="I191" s="155">
        <f t="shared" si="45"/>
        <v>399555.96901387116</v>
      </c>
      <c r="J191" s="155">
        <f t="shared" si="45"/>
        <v>512497.1229217925</v>
      </c>
      <c r="K191" s="155">
        <f t="shared" si="45"/>
        <v>642880.8234006467</v>
      </c>
      <c r="L191" s="155">
        <f t="shared" si="45"/>
        <v>792972.7808080146</v>
      </c>
      <c r="M191" s="155">
        <f t="shared" si="45"/>
        <v>965309.849078934</v>
      </c>
      <c r="N191" s="155">
        <f t="shared" si="45"/>
        <v>1162730.984230916</v>
      </c>
      <c r="O191" s="155">
        <f t="shared" si="45"/>
        <v>1388411.6336015349</v>
      </c>
      <c r="P191" s="155">
        <f t="shared" si="45"/>
        <v>1645901.9283890722</v>
      </c>
      <c r="Q191" s="155">
        <f t="shared" si="45"/>
        <v>1939169.091953003</v>
      </c>
      <c r="R191" s="155">
        <f t="shared" si="45"/>
        <v>2272644.5204433864</v>
      </c>
      <c r="S191" s="155">
        <f t="shared" si="45"/>
        <v>2651276.0411106953</v>
      </c>
      <c r="T191" s="155">
        <f t="shared" si="45"/>
        <v>3080585.907591088</v>
      </c>
      <c r="U191" s="155">
        <f t="shared" si="45"/>
        <v>3566735.1511085182</v>
      </c>
      <c r="V191" s="155">
        <f t="shared" si="45"/>
        <v>4116594.972483069</v>
      </c>
      <c r="W191" s="155">
        <f t="shared" si="45"/>
        <v>4737825.9327455</v>
      </c>
      <c r="X191" s="155">
        <f t="shared" si="45"/>
        <v>5438965.780761346</v>
      </c>
      <c r="Y191" s="155">
        <f t="shared" si="45"/>
        <v>6229526.845370231</v>
      </c>
      <c r="Z191" s="78"/>
    </row>
    <row r="192" spans="3:26" ht="12.75">
      <c r="C192" s="76"/>
      <c r="D192" s="77"/>
      <c r="E192" s="154" t="s">
        <v>222</v>
      </c>
      <c r="F192" s="79">
        <f aca="true" t="shared" si="46" ref="F192:Y192">F191-F30</f>
        <v>-1320000</v>
      </c>
      <c r="G192" s="79">
        <f t="shared" si="46"/>
        <v>-3250000</v>
      </c>
      <c r="H192" s="79">
        <f t="shared" si="46"/>
        <v>-2050000</v>
      </c>
      <c r="I192" s="79">
        <f t="shared" si="46"/>
        <v>199555.96901387116</v>
      </c>
      <c r="J192" s="79">
        <f t="shared" si="46"/>
        <v>462497.1229217925</v>
      </c>
      <c r="K192" s="79">
        <f t="shared" si="46"/>
        <v>642880.8234006467</v>
      </c>
      <c r="L192" s="79">
        <f t="shared" si="46"/>
        <v>753372.7808080146</v>
      </c>
      <c r="M192" s="79">
        <f t="shared" si="46"/>
        <v>925709.849078934</v>
      </c>
      <c r="N192" s="79">
        <f t="shared" si="46"/>
        <v>1123130.984230916</v>
      </c>
      <c r="O192" s="79">
        <f t="shared" si="46"/>
        <v>1348811.6336015349</v>
      </c>
      <c r="P192" s="79">
        <f t="shared" si="46"/>
        <v>1606301.9283890722</v>
      </c>
      <c r="Q192" s="79">
        <f t="shared" si="46"/>
        <v>1899569.091953003</v>
      </c>
      <c r="R192" s="79">
        <f t="shared" si="46"/>
        <v>2233044.5204433864</v>
      </c>
      <c r="S192" s="79">
        <f t="shared" si="46"/>
        <v>2611676.0411106953</v>
      </c>
      <c r="T192" s="79">
        <f t="shared" si="46"/>
        <v>3040985.907591088</v>
      </c>
      <c r="U192" s="79">
        <f t="shared" si="46"/>
        <v>3527135.1511085182</v>
      </c>
      <c r="V192" s="79">
        <f t="shared" si="46"/>
        <v>4076994.972483069</v>
      </c>
      <c r="W192" s="79">
        <f t="shared" si="46"/>
        <v>4698225.9327455</v>
      </c>
      <c r="X192" s="79">
        <f t="shared" si="46"/>
        <v>5399365.780761346</v>
      </c>
      <c r="Y192" s="79">
        <f t="shared" si="46"/>
        <v>6189926.845370231</v>
      </c>
      <c r="Z192" s="78"/>
    </row>
    <row r="193" spans="3:26" ht="12.75">
      <c r="C193" s="80"/>
      <c r="D193" s="81"/>
      <c r="E193" s="81"/>
      <c r="F193" s="81"/>
      <c r="G193" s="81"/>
      <c r="H193" s="81"/>
      <c r="I193" s="81"/>
      <c r="J193" s="81"/>
      <c r="K193" s="81"/>
      <c r="L193" s="81"/>
      <c r="M193" s="81"/>
      <c r="N193" s="81"/>
      <c r="O193" s="81"/>
      <c r="P193" s="81"/>
      <c r="Q193" s="81"/>
      <c r="R193" s="81"/>
      <c r="S193" s="81"/>
      <c r="T193" s="81"/>
      <c r="U193" s="81"/>
      <c r="V193" s="81"/>
      <c r="W193" s="81"/>
      <c r="X193" s="81"/>
      <c r="Y193" s="81"/>
      <c r="Z193" s="82"/>
    </row>
    <row r="195" spans="3:26" ht="12.75">
      <c r="C195" s="148"/>
      <c r="D195" s="149" t="s">
        <v>223</v>
      </c>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2"/>
    </row>
    <row r="196" spans="3:26" ht="12.75">
      <c r="C196" s="76"/>
      <c r="D196" s="77"/>
      <c r="E196" s="77"/>
      <c r="F196" s="77"/>
      <c r="G196" s="77"/>
      <c r="H196" s="77"/>
      <c r="I196" s="77"/>
      <c r="J196" s="77"/>
      <c r="K196" s="77"/>
      <c r="L196" s="77"/>
      <c r="M196" s="77"/>
      <c r="N196" s="77"/>
      <c r="O196" s="77"/>
      <c r="P196" s="77"/>
      <c r="Q196" s="77"/>
      <c r="R196" s="77"/>
      <c r="S196" s="77"/>
      <c r="T196" s="77"/>
      <c r="U196" s="77"/>
      <c r="V196" s="77"/>
      <c r="W196" s="77"/>
      <c r="X196" s="77"/>
      <c r="Y196" s="77"/>
      <c r="Z196" s="78"/>
    </row>
    <row r="197" spans="3:26" ht="12.75">
      <c r="C197" s="76"/>
      <c r="D197" s="77"/>
      <c r="E197" s="154" t="s">
        <v>224</v>
      </c>
      <c r="F197" s="79">
        <f>F30*1.2</f>
        <v>1584000</v>
      </c>
      <c r="G197" s="79">
        <f aca="true" t="shared" si="47" ref="G197:Y197">G30*1.2</f>
        <v>3900000</v>
      </c>
      <c r="H197" s="79">
        <f t="shared" si="47"/>
        <v>2460000</v>
      </c>
      <c r="I197" s="79">
        <f t="shared" si="47"/>
        <v>240000</v>
      </c>
      <c r="J197" s="79">
        <f t="shared" si="47"/>
        <v>60000</v>
      </c>
      <c r="K197" s="79">
        <f t="shared" si="47"/>
        <v>0</v>
      </c>
      <c r="L197" s="79">
        <f t="shared" si="47"/>
        <v>47520</v>
      </c>
      <c r="M197" s="79">
        <f t="shared" si="47"/>
        <v>47520</v>
      </c>
      <c r="N197" s="79">
        <f t="shared" si="47"/>
        <v>47520</v>
      </c>
      <c r="O197" s="79">
        <f t="shared" si="47"/>
        <v>47520</v>
      </c>
      <c r="P197" s="79">
        <f t="shared" si="47"/>
        <v>47520</v>
      </c>
      <c r="Q197" s="79">
        <f t="shared" si="47"/>
        <v>47520</v>
      </c>
      <c r="R197" s="79">
        <f t="shared" si="47"/>
        <v>47520</v>
      </c>
      <c r="S197" s="79">
        <f t="shared" si="47"/>
        <v>47520</v>
      </c>
      <c r="T197" s="79">
        <f t="shared" si="47"/>
        <v>47520</v>
      </c>
      <c r="U197" s="79">
        <f t="shared" si="47"/>
        <v>47520</v>
      </c>
      <c r="V197" s="79">
        <f t="shared" si="47"/>
        <v>47520</v>
      </c>
      <c r="W197" s="79">
        <f t="shared" si="47"/>
        <v>47520</v>
      </c>
      <c r="X197" s="79">
        <f t="shared" si="47"/>
        <v>47520</v>
      </c>
      <c r="Y197" s="79">
        <f t="shared" si="47"/>
        <v>47520</v>
      </c>
      <c r="Z197" s="78"/>
    </row>
    <row r="198" spans="3:26" ht="12.75">
      <c r="C198" s="76"/>
      <c r="D198" s="77"/>
      <c r="E198" s="154" t="s">
        <v>219</v>
      </c>
      <c r="F198" s="79">
        <f>F165</f>
        <v>0</v>
      </c>
      <c r="G198" s="79">
        <f aca="true" t="shared" si="48" ref="G198:Y198">G165</f>
        <v>0</v>
      </c>
      <c r="H198" s="79">
        <f t="shared" si="48"/>
        <v>0</v>
      </c>
      <c r="I198" s="79">
        <f t="shared" si="48"/>
        <v>443951.07668207906</v>
      </c>
      <c r="J198" s="79">
        <f t="shared" si="48"/>
        <v>569441.2476908806</v>
      </c>
      <c r="K198" s="79">
        <f t="shared" si="48"/>
        <v>714312.0260007185</v>
      </c>
      <c r="L198" s="79">
        <f t="shared" si="48"/>
        <v>881080.8675644606</v>
      </c>
      <c r="M198" s="79">
        <f t="shared" si="48"/>
        <v>1072566.4989765934</v>
      </c>
      <c r="N198" s="79">
        <f t="shared" si="48"/>
        <v>1291923.3158121288</v>
      </c>
      <c r="O198" s="79">
        <f t="shared" si="48"/>
        <v>1542679.5928905942</v>
      </c>
      <c r="P198" s="79">
        <f t="shared" si="48"/>
        <v>1828779.9204323024</v>
      </c>
      <c r="Q198" s="79">
        <f t="shared" si="48"/>
        <v>2154632.3243922256</v>
      </c>
      <c r="R198" s="79">
        <f t="shared" si="48"/>
        <v>2525160.5782704293</v>
      </c>
      <c r="S198" s="79">
        <f t="shared" si="48"/>
        <v>2945862.2679007724</v>
      </c>
      <c r="T198" s="79">
        <f t="shared" si="48"/>
        <v>3422873.2306567645</v>
      </c>
      <c r="U198" s="79">
        <f t="shared" si="48"/>
        <v>3963039.0567872426</v>
      </c>
      <c r="V198" s="79">
        <f t="shared" si="48"/>
        <v>4573994.413870077</v>
      </c>
      <c r="W198" s="79">
        <f t="shared" si="48"/>
        <v>5264251.036383889</v>
      </c>
      <c r="X198" s="79">
        <f t="shared" si="48"/>
        <v>6043295.311957051</v>
      </c>
      <c r="Y198" s="79">
        <f t="shared" si="48"/>
        <v>6921696.494855812</v>
      </c>
      <c r="Z198" s="78"/>
    </row>
    <row r="199" spans="3:26" ht="12.75">
      <c r="C199" s="76"/>
      <c r="D199" s="77"/>
      <c r="E199" s="154" t="s">
        <v>222</v>
      </c>
      <c r="F199" s="79">
        <f>F198-F197</f>
        <v>-1584000</v>
      </c>
      <c r="G199" s="79">
        <f aca="true" t="shared" si="49" ref="G199:Y199">G198-G197</f>
        <v>-3900000</v>
      </c>
      <c r="H199" s="79">
        <f t="shared" si="49"/>
        <v>-2460000</v>
      </c>
      <c r="I199" s="79">
        <f t="shared" si="49"/>
        <v>203951.07668207906</v>
      </c>
      <c r="J199" s="79">
        <f t="shared" si="49"/>
        <v>509441.24769088055</v>
      </c>
      <c r="K199" s="79">
        <f t="shared" si="49"/>
        <v>714312.0260007185</v>
      </c>
      <c r="L199" s="79">
        <f t="shared" si="49"/>
        <v>833560.8675644606</v>
      </c>
      <c r="M199" s="79">
        <f t="shared" si="49"/>
        <v>1025046.4989765934</v>
      </c>
      <c r="N199" s="79">
        <f t="shared" si="49"/>
        <v>1244403.3158121288</v>
      </c>
      <c r="O199" s="79">
        <f t="shared" si="49"/>
        <v>1495159.5928905942</v>
      </c>
      <c r="P199" s="79">
        <f t="shared" si="49"/>
        <v>1781259.9204323024</v>
      </c>
      <c r="Q199" s="79">
        <f t="shared" si="49"/>
        <v>2107112.3243922256</v>
      </c>
      <c r="R199" s="79">
        <f t="shared" si="49"/>
        <v>2477640.5782704293</v>
      </c>
      <c r="S199" s="79">
        <f t="shared" si="49"/>
        <v>2898342.2679007724</v>
      </c>
      <c r="T199" s="79">
        <f t="shared" si="49"/>
        <v>3375353.2306567645</v>
      </c>
      <c r="U199" s="79">
        <f t="shared" si="49"/>
        <v>3915519.0567872426</v>
      </c>
      <c r="V199" s="79">
        <f t="shared" si="49"/>
        <v>4526474.413870077</v>
      </c>
      <c r="W199" s="79">
        <f t="shared" si="49"/>
        <v>5216731.036383889</v>
      </c>
      <c r="X199" s="79">
        <f t="shared" si="49"/>
        <v>5995775.311957051</v>
      </c>
      <c r="Y199" s="79">
        <f t="shared" si="49"/>
        <v>6874176.494855812</v>
      </c>
      <c r="Z199" s="78"/>
    </row>
    <row r="200" spans="3:26" ht="12.75">
      <c r="C200" s="80"/>
      <c r="D200" s="81"/>
      <c r="E200" s="81"/>
      <c r="F200" s="81"/>
      <c r="G200" s="81"/>
      <c r="H200" s="81"/>
      <c r="I200" s="81"/>
      <c r="J200" s="81"/>
      <c r="K200" s="81"/>
      <c r="L200" s="81"/>
      <c r="M200" s="81"/>
      <c r="N200" s="81"/>
      <c r="O200" s="81"/>
      <c r="P200" s="81"/>
      <c r="Q200" s="81"/>
      <c r="R200" s="81"/>
      <c r="S200" s="81"/>
      <c r="T200" s="81"/>
      <c r="U200" s="81"/>
      <c r="V200" s="81"/>
      <c r="W200" s="81"/>
      <c r="X200" s="81"/>
      <c r="Y200" s="81"/>
      <c r="Z200" s="82"/>
    </row>
    <row r="202" spans="3:26" ht="12.75">
      <c r="C202" s="148"/>
      <c r="D202" s="149" t="s">
        <v>225</v>
      </c>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2"/>
    </row>
    <row r="203" spans="3:26" ht="12.75">
      <c r="C203" s="76"/>
      <c r="D203" s="77"/>
      <c r="E203" s="77"/>
      <c r="F203" s="77"/>
      <c r="G203" s="77"/>
      <c r="H203" s="77"/>
      <c r="I203" s="77"/>
      <c r="J203" s="77"/>
      <c r="K203" s="77"/>
      <c r="L203" s="77"/>
      <c r="M203" s="77"/>
      <c r="N203" s="77"/>
      <c r="O203" s="77"/>
      <c r="P203" s="77"/>
      <c r="Q203" s="77"/>
      <c r="R203" s="77"/>
      <c r="S203" s="77"/>
      <c r="T203" s="77"/>
      <c r="U203" s="77"/>
      <c r="V203" s="77"/>
      <c r="W203" s="77"/>
      <c r="X203" s="77"/>
      <c r="Y203" s="77"/>
      <c r="Z203" s="78"/>
    </row>
    <row r="204" spans="3:26" ht="12.75">
      <c r="C204" s="76"/>
      <c r="D204" s="77"/>
      <c r="E204" s="154" t="s">
        <v>219</v>
      </c>
      <c r="F204" s="79">
        <f>F165</f>
        <v>0</v>
      </c>
      <c r="G204" s="79">
        <f>F165</f>
        <v>0</v>
      </c>
      <c r="H204" s="79">
        <f aca="true" t="shared" si="50" ref="H204:Y204">G165</f>
        <v>0</v>
      </c>
      <c r="I204" s="79">
        <f t="shared" si="50"/>
        <v>0</v>
      </c>
      <c r="J204" s="79">
        <f t="shared" si="50"/>
        <v>443951.07668207906</v>
      </c>
      <c r="K204" s="79">
        <f t="shared" si="50"/>
        <v>569441.2476908806</v>
      </c>
      <c r="L204" s="79">
        <f t="shared" si="50"/>
        <v>714312.0260007185</v>
      </c>
      <c r="M204" s="79">
        <f t="shared" si="50"/>
        <v>881080.8675644606</v>
      </c>
      <c r="N204" s="79">
        <f t="shared" si="50"/>
        <v>1072566.4989765934</v>
      </c>
      <c r="O204" s="79">
        <f t="shared" si="50"/>
        <v>1291923.3158121288</v>
      </c>
      <c r="P204" s="79">
        <f t="shared" si="50"/>
        <v>1542679.5928905942</v>
      </c>
      <c r="Q204" s="79">
        <f t="shared" si="50"/>
        <v>1828779.9204323024</v>
      </c>
      <c r="R204" s="79">
        <f t="shared" si="50"/>
        <v>2154632.3243922256</v>
      </c>
      <c r="S204" s="79">
        <f t="shared" si="50"/>
        <v>2525160.5782704293</v>
      </c>
      <c r="T204" s="79">
        <f t="shared" si="50"/>
        <v>2945862.2679007724</v>
      </c>
      <c r="U204" s="79">
        <f t="shared" si="50"/>
        <v>3422873.2306567645</v>
      </c>
      <c r="V204" s="79">
        <f t="shared" si="50"/>
        <v>3963039.0567872426</v>
      </c>
      <c r="W204" s="79">
        <f t="shared" si="50"/>
        <v>4573994.413870077</v>
      </c>
      <c r="X204" s="79">
        <f t="shared" si="50"/>
        <v>5264251.036383889</v>
      </c>
      <c r="Y204" s="79">
        <f t="shared" si="50"/>
        <v>6043295.311957051</v>
      </c>
      <c r="Z204" s="78"/>
    </row>
    <row r="205" spans="3:26" ht="12.75">
      <c r="C205" s="76"/>
      <c r="D205" s="77"/>
      <c r="E205" s="154" t="s">
        <v>222</v>
      </c>
      <c r="F205" s="79">
        <f aca="true" t="shared" si="51" ref="F205:Y205">F204-F30</f>
        <v>-1320000</v>
      </c>
      <c r="G205" s="79">
        <f t="shared" si="51"/>
        <v>-3250000</v>
      </c>
      <c r="H205" s="79">
        <f t="shared" si="51"/>
        <v>-2050000</v>
      </c>
      <c r="I205" s="79">
        <f t="shared" si="51"/>
        <v>-200000</v>
      </c>
      <c r="J205" s="79">
        <f t="shared" si="51"/>
        <v>393951.07668207906</v>
      </c>
      <c r="K205" s="79">
        <f t="shared" si="51"/>
        <v>569441.2476908806</v>
      </c>
      <c r="L205" s="79">
        <f t="shared" si="51"/>
        <v>674712.0260007185</v>
      </c>
      <c r="M205" s="79">
        <f t="shared" si="51"/>
        <v>841480.8675644606</v>
      </c>
      <c r="N205" s="79">
        <f t="shared" si="51"/>
        <v>1032966.4989765934</v>
      </c>
      <c r="O205" s="79">
        <f t="shared" si="51"/>
        <v>1252323.3158121288</v>
      </c>
      <c r="P205" s="79">
        <f t="shared" si="51"/>
        <v>1503079.5928905942</v>
      </c>
      <c r="Q205" s="79">
        <f t="shared" si="51"/>
        <v>1789179.9204323024</v>
      </c>
      <c r="R205" s="79">
        <f t="shared" si="51"/>
        <v>2115032.3243922256</v>
      </c>
      <c r="S205" s="79">
        <f t="shared" si="51"/>
        <v>2485560.5782704293</v>
      </c>
      <c r="T205" s="79">
        <f t="shared" si="51"/>
        <v>2906262.2679007724</v>
      </c>
      <c r="U205" s="79">
        <f t="shared" si="51"/>
        <v>3383273.2306567645</v>
      </c>
      <c r="V205" s="79">
        <f t="shared" si="51"/>
        <v>3923439.0567872426</v>
      </c>
      <c r="W205" s="79">
        <f t="shared" si="51"/>
        <v>4534394.413870077</v>
      </c>
      <c r="X205" s="79">
        <f t="shared" si="51"/>
        <v>5224651.036383889</v>
      </c>
      <c r="Y205" s="79">
        <f t="shared" si="51"/>
        <v>6003695.311957051</v>
      </c>
      <c r="Z205" s="78"/>
    </row>
    <row r="206" spans="3:26" ht="12.75">
      <c r="C206" s="80"/>
      <c r="D206" s="81"/>
      <c r="E206" s="81"/>
      <c r="F206" s="81"/>
      <c r="G206" s="81"/>
      <c r="H206" s="81"/>
      <c r="I206" s="81"/>
      <c r="J206" s="81"/>
      <c r="K206" s="81"/>
      <c r="L206" s="81"/>
      <c r="M206" s="81"/>
      <c r="N206" s="81"/>
      <c r="O206" s="81"/>
      <c r="P206" s="81"/>
      <c r="Q206" s="81"/>
      <c r="R206" s="81"/>
      <c r="S206" s="81"/>
      <c r="T206" s="81"/>
      <c r="U206" s="81"/>
      <c r="V206" s="81"/>
      <c r="W206" s="81"/>
      <c r="X206" s="81"/>
      <c r="Y206" s="81"/>
      <c r="Z206" s="82"/>
    </row>
    <row r="208" spans="3:26" ht="12.75">
      <c r="C208" s="156"/>
      <c r="D208" s="157" t="s">
        <v>226</v>
      </c>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9"/>
    </row>
    <row r="209" spans="3:26" ht="12.75">
      <c r="C209" s="160"/>
      <c r="D209" s="83"/>
      <c r="E209" s="83"/>
      <c r="F209" s="83"/>
      <c r="G209" s="83"/>
      <c r="H209" s="83"/>
      <c r="I209" s="83"/>
      <c r="J209" s="83"/>
      <c r="K209" s="83"/>
      <c r="L209" s="83"/>
      <c r="M209" s="83"/>
      <c r="N209" s="83"/>
      <c r="O209" s="83"/>
      <c r="P209" s="83"/>
      <c r="Q209" s="83"/>
      <c r="R209" s="83"/>
      <c r="S209" s="83"/>
      <c r="T209" s="83"/>
      <c r="U209" s="83"/>
      <c r="V209" s="83"/>
      <c r="W209" s="83"/>
      <c r="X209" s="83"/>
      <c r="Y209" s="83"/>
      <c r="Z209" s="84"/>
    </row>
    <row r="210" spans="3:26" ht="12.75">
      <c r="C210" s="160"/>
      <c r="D210" s="83"/>
      <c r="E210" s="161" t="s">
        <v>219</v>
      </c>
      <c r="F210" s="85">
        <f>F165</f>
        <v>0</v>
      </c>
      <c r="G210" s="85">
        <f>G165*1.1</f>
        <v>0</v>
      </c>
      <c r="H210" s="85">
        <f aca="true" t="shared" si="52" ref="H210:Y210">H165*1.1</f>
        <v>0</v>
      </c>
      <c r="I210" s="85">
        <f t="shared" si="52"/>
        <v>488346.184350287</v>
      </c>
      <c r="J210" s="85">
        <f t="shared" si="52"/>
        <v>626385.3724599687</v>
      </c>
      <c r="K210" s="85">
        <f t="shared" si="52"/>
        <v>785743.2286007904</v>
      </c>
      <c r="L210" s="85">
        <f t="shared" si="52"/>
        <v>969188.9543209068</v>
      </c>
      <c r="M210" s="85">
        <f t="shared" si="52"/>
        <v>1179823.1488742528</v>
      </c>
      <c r="N210" s="85">
        <f t="shared" si="52"/>
        <v>1421115.6473933419</v>
      </c>
      <c r="O210" s="85">
        <f t="shared" si="52"/>
        <v>1696947.5521796537</v>
      </c>
      <c r="P210" s="85">
        <f t="shared" si="52"/>
        <v>2011657.9124755329</v>
      </c>
      <c r="Q210" s="85">
        <f t="shared" si="52"/>
        <v>2370095.5568314483</v>
      </c>
      <c r="R210" s="85">
        <f t="shared" si="52"/>
        <v>2777676.6360974726</v>
      </c>
      <c r="S210" s="85">
        <f t="shared" si="52"/>
        <v>3240448.49469085</v>
      </c>
      <c r="T210" s="85">
        <f t="shared" si="52"/>
        <v>3765160.553722441</v>
      </c>
      <c r="U210" s="85">
        <f t="shared" si="52"/>
        <v>4359342.962465967</v>
      </c>
      <c r="V210" s="85">
        <f t="shared" si="52"/>
        <v>5031393.855257085</v>
      </c>
      <c r="W210" s="85">
        <f t="shared" si="52"/>
        <v>5790676.140022278</v>
      </c>
      <c r="X210" s="85">
        <f t="shared" si="52"/>
        <v>6647624.843152757</v>
      </c>
      <c r="Y210" s="85">
        <f t="shared" si="52"/>
        <v>7613866.144341393</v>
      </c>
      <c r="Z210" s="84"/>
    </row>
    <row r="211" spans="3:26" ht="12.75">
      <c r="C211" s="160"/>
      <c r="D211" s="83"/>
      <c r="E211" s="161" t="s">
        <v>222</v>
      </c>
      <c r="F211" s="85">
        <f aca="true" t="shared" si="53" ref="F211:Y211">F210-F30</f>
        <v>-1320000</v>
      </c>
      <c r="G211" s="85">
        <f t="shared" si="53"/>
        <v>-3250000</v>
      </c>
      <c r="H211" s="85">
        <f t="shared" si="53"/>
        <v>-2050000</v>
      </c>
      <c r="I211" s="85">
        <f t="shared" si="53"/>
        <v>288346.184350287</v>
      </c>
      <c r="J211" s="85">
        <f t="shared" si="53"/>
        <v>576385.3724599687</v>
      </c>
      <c r="K211" s="85">
        <f t="shared" si="53"/>
        <v>785743.2286007904</v>
      </c>
      <c r="L211" s="85">
        <f t="shared" si="53"/>
        <v>929588.9543209068</v>
      </c>
      <c r="M211" s="85">
        <f t="shared" si="53"/>
        <v>1140223.1488742528</v>
      </c>
      <c r="N211" s="85">
        <f t="shared" si="53"/>
        <v>1381515.6473933419</v>
      </c>
      <c r="O211" s="85">
        <f t="shared" si="53"/>
        <v>1657347.5521796537</v>
      </c>
      <c r="P211" s="85">
        <f t="shared" si="53"/>
        <v>1972057.9124755329</v>
      </c>
      <c r="Q211" s="85">
        <f t="shared" si="53"/>
        <v>2330495.5568314483</v>
      </c>
      <c r="R211" s="85">
        <f t="shared" si="53"/>
        <v>2738076.6360974726</v>
      </c>
      <c r="S211" s="85">
        <f t="shared" si="53"/>
        <v>3200848.49469085</v>
      </c>
      <c r="T211" s="85">
        <f t="shared" si="53"/>
        <v>3725560.553722441</v>
      </c>
      <c r="U211" s="85">
        <f t="shared" si="53"/>
        <v>4319742.962465967</v>
      </c>
      <c r="V211" s="85">
        <f t="shared" si="53"/>
        <v>4991793.855257085</v>
      </c>
      <c r="W211" s="85">
        <f t="shared" si="53"/>
        <v>5751076.140022278</v>
      </c>
      <c r="X211" s="85">
        <f t="shared" si="53"/>
        <v>6608024.843152757</v>
      </c>
      <c r="Y211" s="85">
        <f t="shared" si="53"/>
        <v>7574266.144341393</v>
      </c>
      <c r="Z211" s="84"/>
    </row>
    <row r="212" spans="3:26" ht="12.75">
      <c r="C212" s="162"/>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4"/>
    </row>
    <row r="214" spans="3:26" ht="12.75">
      <c r="C214" s="156"/>
      <c r="D214" s="157" t="s">
        <v>227</v>
      </c>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9"/>
    </row>
    <row r="215" spans="3:26" ht="12.75">
      <c r="C215" s="160"/>
      <c r="D215" s="83"/>
      <c r="E215" s="83"/>
      <c r="F215" s="83"/>
      <c r="G215" s="83"/>
      <c r="H215" s="83"/>
      <c r="I215" s="83"/>
      <c r="J215" s="83"/>
      <c r="K215" s="83"/>
      <c r="L215" s="83"/>
      <c r="M215" s="83"/>
      <c r="N215" s="83"/>
      <c r="O215" s="83"/>
      <c r="P215" s="83"/>
      <c r="Q215" s="83"/>
      <c r="R215" s="83"/>
      <c r="S215" s="83"/>
      <c r="T215" s="83"/>
      <c r="U215" s="83"/>
      <c r="V215" s="83"/>
      <c r="W215" s="83"/>
      <c r="X215" s="83"/>
      <c r="Y215" s="83"/>
      <c r="Z215" s="84"/>
    </row>
    <row r="216" spans="3:26" ht="12.75">
      <c r="C216" s="160"/>
      <c r="D216" s="83"/>
      <c r="E216" s="161" t="s">
        <v>224</v>
      </c>
      <c r="F216" s="85">
        <f>F30*0.8</f>
        <v>1056000</v>
      </c>
      <c r="G216" s="85">
        <f aca="true" t="shared" si="54" ref="G216:Y216">G30*0.8</f>
        <v>2600000</v>
      </c>
      <c r="H216" s="85">
        <f t="shared" si="54"/>
        <v>1640000</v>
      </c>
      <c r="I216" s="85">
        <f t="shared" si="54"/>
        <v>160000</v>
      </c>
      <c r="J216" s="85">
        <f t="shared" si="54"/>
        <v>40000</v>
      </c>
      <c r="K216" s="85">
        <f t="shared" si="54"/>
        <v>0</v>
      </c>
      <c r="L216" s="85">
        <f t="shared" si="54"/>
        <v>31680</v>
      </c>
      <c r="M216" s="85">
        <f t="shared" si="54"/>
        <v>31680</v>
      </c>
      <c r="N216" s="85">
        <f t="shared" si="54"/>
        <v>31680</v>
      </c>
      <c r="O216" s="85">
        <f t="shared" si="54"/>
        <v>31680</v>
      </c>
      <c r="P216" s="85">
        <f t="shared" si="54"/>
        <v>31680</v>
      </c>
      <c r="Q216" s="85">
        <f t="shared" si="54"/>
        <v>31680</v>
      </c>
      <c r="R216" s="85">
        <f t="shared" si="54"/>
        <v>31680</v>
      </c>
      <c r="S216" s="85">
        <f t="shared" si="54"/>
        <v>31680</v>
      </c>
      <c r="T216" s="85">
        <f t="shared" si="54"/>
        <v>31680</v>
      </c>
      <c r="U216" s="85">
        <f t="shared" si="54"/>
        <v>31680</v>
      </c>
      <c r="V216" s="85">
        <f t="shared" si="54"/>
        <v>31680</v>
      </c>
      <c r="W216" s="85">
        <f t="shared" si="54"/>
        <v>31680</v>
      </c>
      <c r="X216" s="85">
        <f t="shared" si="54"/>
        <v>31680</v>
      </c>
      <c r="Y216" s="85">
        <f t="shared" si="54"/>
        <v>31680</v>
      </c>
      <c r="Z216" s="84"/>
    </row>
    <row r="217" spans="3:26" ht="12.75">
      <c r="C217" s="160"/>
      <c r="D217" s="83"/>
      <c r="E217" s="161" t="s">
        <v>219</v>
      </c>
      <c r="F217" s="85">
        <f>F165</f>
        <v>0</v>
      </c>
      <c r="G217" s="85">
        <f aca="true" t="shared" si="55" ref="G217:Y217">G165</f>
        <v>0</v>
      </c>
      <c r="H217" s="85">
        <f t="shared" si="55"/>
        <v>0</v>
      </c>
      <c r="I217" s="85">
        <f t="shared" si="55"/>
        <v>443951.07668207906</v>
      </c>
      <c r="J217" s="85">
        <f t="shared" si="55"/>
        <v>569441.2476908806</v>
      </c>
      <c r="K217" s="85">
        <f t="shared" si="55"/>
        <v>714312.0260007185</v>
      </c>
      <c r="L217" s="85">
        <f t="shared" si="55"/>
        <v>881080.8675644606</v>
      </c>
      <c r="M217" s="85">
        <f t="shared" si="55"/>
        <v>1072566.4989765934</v>
      </c>
      <c r="N217" s="85">
        <f t="shared" si="55"/>
        <v>1291923.3158121288</v>
      </c>
      <c r="O217" s="85">
        <f t="shared" si="55"/>
        <v>1542679.5928905942</v>
      </c>
      <c r="P217" s="85">
        <f t="shared" si="55"/>
        <v>1828779.9204323024</v>
      </c>
      <c r="Q217" s="85">
        <f t="shared" si="55"/>
        <v>2154632.3243922256</v>
      </c>
      <c r="R217" s="85">
        <f t="shared" si="55"/>
        <v>2525160.5782704293</v>
      </c>
      <c r="S217" s="85">
        <f t="shared" si="55"/>
        <v>2945862.2679007724</v>
      </c>
      <c r="T217" s="85">
        <f t="shared" si="55"/>
        <v>3422873.2306567645</v>
      </c>
      <c r="U217" s="85">
        <f t="shared" si="55"/>
        <v>3963039.0567872426</v>
      </c>
      <c r="V217" s="85">
        <f t="shared" si="55"/>
        <v>4573994.413870077</v>
      </c>
      <c r="W217" s="85">
        <f t="shared" si="55"/>
        <v>5264251.036383889</v>
      </c>
      <c r="X217" s="85">
        <f t="shared" si="55"/>
        <v>6043295.311957051</v>
      </c>
      <c r="Y217" s="85">
        <f t="shared" si="55"/>
        <v>6921696.494855812</v>
      </c>
      <c r="Z217" s="84"/>
    </row>
    <row r="218" spans="3:26" ht="12.75">
      <c r="C218" s="160"/>
      <c r="D218" s="83"/>
      <c r="E218" s="161" t="s">
        <v>222</v>
      </c>
      <c r="F218" s="85">
        <f>F217-F216</f>
        <v>-1056000</v>
      </c>
      <c r="G218" s="85">
        <f aca="true" t="shared" si="56" ref="G218:Y218">G217-G216</f>
        <v>-2600000</v>
      </c>
      <c r="H218" s="85">
        <f t="shared" si="56"/>
        <v>-1640000</v>
      </c>
      <c r="I218" s="85">
        <f t="shared" si="56"/>
        <v>283951.07668207906</v>
      </c>
      <c r="J218" s="85">
        <f t="shared" si="56"/>
        <v>529441.2476908806</v>
      </c>
      <c r="K218" s="85">
        <f t="shared" si="56"/>
        <v>714312.0260007185</v>
      </c>
      <c r="L218" s="85">
        <f t="shared" si="56"/>
        <v>849400.8675644606</v>
      </c>
      <c r="M218" s="85">
        <f t="shared" si="56"/>
        <v>1040886.4989765934</v>
      </c>
      <c r="N218" s="85">
        <f t="shared" si="56"/>
        <v>1260243.3158121288</v>
      </c>
      <c r="O218" s="85">
        <f t="shared" si="56"/>
        <v>1510999.5928905942</v>
      </c>
      <c r="P218" s="85">
        <f t="shared" si="56"/>
        <v>1797099.9204323024</v>
      </c>
      <c r="Q218" s="85">
        <f t="shared" si="56"/>
        <v>2122952.3243922256</v>
      </c>
      <c r="R218" s="85">
        <f t="shared" si="56"/>
        <v>2493480.5782704293</v>
      </c>
      <c r="S218" s="85">
        <f t="shared" si="56"/>
        <v>2914182.2679007724</v>
      </c>
      <c r="T218" s="85">
        <f t="shared" si="56"/>
        <v>3391193.2306567645</v>
      </c>
      <c r="U218" s="85">
        <f t="shared" si="56"/>
        <v>3931359.0567872426</v>
      </c>
      <c r="V218" s="85">
        <f t="shared" si="56"/>
        <v>4542314.413870077</v>
      </c>
      <c r="W218" s="85">
        <f t="shared" si="56"/>
        <v>5232571.036383889</v>
      </c>
      <c r="X218" s="85">
        <f t="shared" si="56"/>
        <v>6011615.311957051</v>
      </c>
      <c r="Y218" s="85">
        <f t="shared" si="56"/>
        <v>6890016.494855812</v>
      </c>
      <c r="Z218" s="84"/>
    </row>
    <row r="219" spans="3:26" ht="12.75">
      <c r="C219" s="162"/>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4"/>
    </row>
    <row r="221" spans="3:26" ht="12.75">
      <c r="C221" s="156"/>
      <c r="D221" s="157" t="s">
        <v>228</v>
      </c>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9"/>
    </row>
    <row r="222" spans="3:26" ht="12.75">
      <c r="C222" s="160"/>
      <c r="D222" s="83"/>
      <c r="E222" s="83"/>
      <c r="F222" s="83"/>
      <c r="G222" s="83"/>
      <c r="H222" s="83"/>
      <c r="I222" s="83"/>
      <c r="J222" s="83"/>
      <c r="K222" s="83"/>
      <c r="L222" s="83"/>
      <c r="M222" s="83"/>
      <c r="N222" s="83"/>
      <c r="O222" s="83"/>
      <c r="P222" s="83"/>
      <c r="Q222" s="83"/>
      <c r="R222" s="83"/>
      <c r="S222" s="83"/>
      <c r="T222" s="83"/>
      <c r="U222" s="83"/>
      <c r="V222" s="83"/>
      <c r="W222" s="83"/>
      <c r="X222" s="83"/>
      <c r="Y222" s="83"/>
      <c r="Z222" s="84"/>
    </row>
    <row r="223" spans="3:26" ht="12.75">
      <c r="C223" s="160"/>
      <c r="D223" s="83"/>
      <c r="E223" s="161" t="s">
        <v>224</v>
      </c>
      <c r="F223" s="85">
        <f>F216</f>
        <v>1056000</v>
      </c>
      <c r="G223" s="85">
        <f aca="true" t="shared" si="57" ref="G223:Y223">G216</f>
        <v>2600000</v>
      </c>
      <c r="H223" s="85">
        <f t="shared" si="57"/>
        <v>1640000</v>
      </c>
      <c r="I223" s="85">
        <f t="shared" si="57"/>
        <v>160000</v>
      </c>
      <c r="J223" s="85">
        <f t="shared" si="57"/>
        <v>40000</v>
      </c>
      <c r="K223" s="85">
        <f t="shared" si="57"/>
        <v>0</v>
      </c>
      <c r="L223" s="85">
        <f t="shared" si="57"/>
        <v>31680</v>
      </c>
      <c r="M223" s="85">
        <f t="shared" si="57"/>
        <v>31680</v>
      </c>
      <c r="N223" s="85">
        <f t="shared" si="57"/>
        <v>31680</v>
      </c>
      <c r="O223" s="85">
        <f t="shared" si="57"/>
        <v>31680</v>
      </c>
      <c r="P223" s="85">
        <f t="shared" si="57"/>
        <v>31680</v>
      </c>
      <c r="Q223" s="85">
        <f t="shared" si="57"/>
        <v>31680</v>
      </c>
      <c r="R223" s="85">
        <f t="shared" si="57"/>
        <v>31680</v>
      </c>
      <c r="S223" s="85">
        <f t="shared" si="57"/>
        <v>31680</v>
      </c>
      <c r="T223" s="85">
        <f t="shared" si="57"/>
        <v>31680</v>
      </c>
      <c r="U223" s="85">
        <f t="shared" si="57"/>
        <v>31680</v>
      </c>
      <c r="V223" s="85">
        <f t="shared" si="57"/>
        <v>31680</v>
      </c>
      <c r="W223" s="85">
        <f t="shared" si="57"/>
        <v>31680</v>
      </c>
      <c r="X223" s="85">
        <f t="shared" si="57"/>
        <v>31680</v>
      </c>
      <c r="Y223" s="85">
        <f t="shared" si="57"/>
        <v>31680</v>
      </c>
      <c r="Z223" s="84"/>
    </row>
    <row r="224" spans="3:26" ht="12.75">
      <c r="C224" s="160"/>
      <c r="D224" s="83"/>
      <c r="E224" s="161" t="s">
        <v>219</v>
      </c>
      <c r="F224" s="85">
        <f>F210</f>
        <v>0</v>
      </c>
      <c r="G224" s="85">
        <f aca="true" t="shared" si="58" ref="G224:Y224">G210</f>
        <v>0</v>
      </c>
      <c r="H224" s="85">
        <f t="shared" si="58"/>
        <v>0</v>
      </c>
      <c r="I224" s="85">
        <f t="shared" si="58"/>
        <v>488346.184350287</v>
      </c>
      <c r="J224" s="85">
        <f t="shared" si="58"/>
        <v>626385.3724599687</v>
      </c>
      <c r="K224" s="85">
        <f t="shared" si="58"/>
        <v>785743.2286007904</v>
      </c>
      <c r="L224" s="85">
        <f t="shared" si="58"/>
        <v>969188.9543209068</v>
      </c>
      <c r="M224" s="85">
        <f t="shared" si="58"/>
        <v>1179823.1488742528</v>
      </c>
      <c r="N224" s="85">
        <f t="shared" si="58"/>
        <v>1421115.6473933419</v>
      </c>
      <c r="O224" s="85">
        <f t="shared" si="58"/>
        <v>1696947.5521796537</v>
      </c>
      <c r="P224" s="85">
        <f t="shared" si="58"/>
        <v>2011657.9124755329</v>
      </c>
      <c r="Q224" s="85">
        <f t="shared" si="58"/>
        <v>2370095.5568314483</v>
      </c>
      <c r="R224" s="85">
        <f t="shared" si="58"/>
        <v>2777676.6360974726</v>
      </c>
      <c r="S224" s="85">
        <f t="shared" si="58"/>
        <v>3240448.49469085</v>
      </c>
      <c r="T224" s="85">
        <f t="shared" si="58"/>
        <v>3765160.553722441</v>
      </c>
      <c r="U224" s="85">
        <f t="shared" si="58"/>
        <v>4359342.962465967</v>
      </c>
      <c r="V224" s="85">
        <f t="shared" si="58"/>
        <v>5031393.855257085</v>
      </c>
      <c r="W224" s="85">
        <f t="shared" si="58"/>
        <v>5790676.140022278</v>
      </c>
      <c r="X224" s="85">
        <f t="shared" si="58"/>
        <v>6647624.843152757</v>
      </c>
      <c r="Y224" s="85">
        <f t="shared" si="58"/>
        <v>7613866.144341393</v>
      </c>
      <c r="Z224" s="84"/>
    </row>
    <row r="225" spans="3:26" ht="12.75">
      <c r="C225" s="160"/>
      <c r="D225" s="83"/>
      <c r="E225" s="161" t="s">
        <v>222</v>
      </c>
      <c r="F225" s="85">
        <f>F224-F223</f>
        <v>-1056000</v>
      </c>
      <c r="G225" s="85">
        <f aca="true" t="shared" si="59" ref="G225:Y225">G224-G223</f>
        <v>-2600000</v>
      </c>
      <c r="H225" s="85">
        <f t="shared" si="59"/>
        <v>-1640000</v>
      </c>
      <c r="I225" s="85">
        <f t="shared" si="59"/>
        <v>328346.184350287</v>
      </c>
      <c r="J225" s="85">
        <f t="shared" si="59"/>
        <v>586385.3724599687</v>
      </c>
      <c r="K225" s="85">
        <f t="shared" si="59"/>
        <v>785743.2286007904</v>
      </c>
      <c r="L225" s="85">
        <f t="shared" si="59"/>
        <v>937508.9543209068</v>
      </c>
      <c r="M225" s="85">
        <f t="shared" si="59"/>
        <v>1148143.1488742528</v>
      </c>
      <c r="N225" s="85">
        <f t="shared" si="59"/>
        <v>1389435.6473933419</v>
      </c>
      <c r="O225" s="85">
        <f t="shared" si="59"/>
        <v>1665267.5521796537</v>
      </c>
      <c r="P225" s="85">
        <f t="shared" si="59"/>
        <v>1979977.9124755329</v>
      </c>
      <c r="Q225" s="85">
        <f t="shared" si="59"/>
        <v>2338415.5568314483</v>
      </c>
      <c r="R225" s="85">
        <f t="shared" si="59"/>
        <v>2745996.6360974726</v>
      </c>
      <c r="S225" s="85">
        <f t="shared" si="59"/>
        <v>3208768.49469085</v>
      </c>
      <c r="T225" s="85">
        <f t="shared" si="59"/>
        <v>3733480.553722441</v>
      </c>
      <c r="U225" s="85">
        <f t="shared" si="59"/>
        <v>4327662.962465967</v>
      </c>
      <c r="V225" s="85">
        <f t="shared" si="59"/>
        <v>4999713.855257085</v>
      </c>
      <c r="W225" s="85">
        <f t="shared" si="59"/>
        <v>5758996.140022278</v>
      </c>
      <c r="X225" s="85">
        <f t="shared" si="59"/>
        <v>6615944.843152757</v>
      </c>
      <c r="Y225" s="85">
        <f t="shared" si="59"/>
        <v>7582186.144341393</v>
      </c>
      <c r="Z225" s="84"/>
    </row>
    <row r="226" spans="3:26" ht="12.75">
      <c r="C226" s="162"/>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4"/>
    </row>
    <row r="228" spans="3:26" ht="12.75">
      <c r="C228" s="19"/>
      <c r="D228" s="398" t="s">
        <v>229</v>
      </c>
      <c r="E228" s="20"/>
      <c r="F228" s="20"/>
      <c r="G228" s="20"/>
      <c r="H228" s="20"/>
      <c r="I228" s="20"/>
      <c r="J228" s="20"/>
      <c r="K228" s="20"/>
      <c r="L228" s="20"/>
      <c r="M228" s="20"/>
      <c r="N228" s="20"/>
      <c r="O228" s="20"/>
      <c r="P228" s="20"/>
      <c r="Q228" s="20"/>
      <c r="R228" s="20"/>
      <c r="S228" s="20"/>
      <c r="T228" s="20"/>
      <c r="U228" s="20"/>
      <c r="V228" s="20"/>
      <c r="W228" s="20"/>
      <c r="X228" s="20"/>
      <c r="Y228" s="20"/>
      <c r="Z228" s="21"/>
    </row>
    <row r="229" spans="3:26" ht="12.75">
      <c r="C229" s="22"/>
      <c r="D229" s="23"/>
      <c r="E229" s="23"/>
      <c r="F229" s="23"/>
      <c r="G229" s="23"/>
      <c r="H229" s="23"/>
      <c r="I229" s="23"/>
      <c r="J229" s="23"/>
      <c r="K229" s="23"/>
      <c r="L229" s="23"/>
      <c r="M229" s="23"/>
      <c r="N229" s="23"/>
      <c r="O229" s="23"/>
      <c r="P229" s="23"/>
      <c r="Q229" s="23"/>
      <c r="R229" s="23"/>
      <c r="S229" s="23"/>
      <c r="T229" s="23"/>
      <c r="U229" s="23"/>
      <c r="V229" s="23"/>
      <c r="W229" s="23"/>
      <c r="X229" s="23"/>
      <c r="Y229" s="23"/>
      <c r="Z229" s="24"/>
    </row>
    <row r="230" spans="3:26" ht="12.75">
      <c r="C230" s="22"/>
      <c r="D230" s="23"/>
      <c r="E230" s="25" t="s">
        <v>224</v>
      </c>
      <c r="F230" s="399">
        <f>F197</f>
        <v>1584000</v>
      </c>
      <c r="G230" s="399">
        <f aca="true" t="shared" si="60" ref="G230:Y230">G197</f>
        <v>3900000</v>
      </c>
      <c r="H230" s="399">
        <f t="shared" si="60"/>
        <v>2460000</v>
      </c>
      <c r="I230" s="399">
        <f t="shared" si="60"/>
        <v>240000</v>
      </c>
      <c r="J230" s="399">
        <f t="shared" si="60"/>
        <v>60000</v>
      </c>
      <c r="K230" s="399">
        <f t="shared" si="60"/>
        <v>0</v>
      </c>
      <c r="L230" s="399">
        <f t="shared" si="60"/>
        <v>47520</v>
      </c>
      <c r="M230" s="399">
        <f t="shared" si="60"/>
        <v>47520</v>
      </c>
      <c r="N230" s="399">
        <f t="shared" si="60"/>
        <v>47520</v>
      </c>
      <c r="O230" s="399">
        <f t="shared" si="60"/>
        <v>47520</v>
      </c>
      <c r="P230" s="399">
        <f t="shared" si="60"/>
        <v>47520</v>
      </c>
      <c r="Q230" s="399">
        <f t="shared" si="60"/>
        <v>47520</v>
      </c>
      <c r="R230" s="399">
        <f t="shared" si="60"/>
        <v>47520</v>
      </c>
      <c r="S230" s="399">
        <f t="shared" si="60"/>
        <v>47520</v>
      </c>
      <c r="T230" s="399">
        <f t="shared" si="60"/>
        <v>47520</v>
      </c>
      <c r="U230" s="399">
        <f t="shared" si="60"/>
        <v>47520</v>
      </c>
      <c r="V230" s="399">
        <f t="shared" si="60"/>
        <v>47520</v>
      </c>
      <c r="W230" s="399">
        <f t="shared" si="60"/>
        <v>47520</v>
      </c>
      <c r="X230" s="399">
        <f t="shared" si="60"/>
        <v>47520</v>
      </c>
      <c r="Y230" s="399">
        <f t="shared" si="60"/>
        <v>47520</v>
      </c>
      <c r="Z230" s="24"/>
    </row>
    <row r="231" spans="3:26" ht="12.75">
      <c r="C231" s="22"/>
      <c r="D231" s="23"/>
      <c r="E231" s="25" t="s">
        <v>219</v>
      </c>
      <c r="F231" s="399">
        <f>F204</f>
        <v>0</v>
      </c>
      <c r="G231" s="399">
        <f>F204</f>
        <v>0</v>
      </c>
      <c r="H231" s="399">
        <f>G191</f>
        <v>0</v>
      </c>
      <c r="I231" s="399">
        <f aca="true" t="shared" si="61" ref="I231:Y231">H191</f>
        <v>0</v>
      </c>
      <c r="J231" s="399">
        <f t="shared" si="61"/>
        <v>399555.96901387116</v>
      </c>
      <c r="K231" s="399">
        <f t="shared" si="61"/>
        <v>512497.1229217925</v>
      </c>
      <c r="L231" s="399">
        <f t="shared" si="61"/>
        <v>642880.8234006467</v>
      </c>
      <c r="M231" s="399">
        <f t="shared" si="61"/>
        <v>792972.7808080146</v>
      </c>
      <c r="N231" s="399">
        <f t="shared" si="61"/>
        <v>965309.849078934</v>
      </c>
      <c r="O231" s="399">
        <f t="shared" si="61"/>
        <v>1162730.984230916</v>
      </c>
      <c r="P231" s="399">
        <f t="shared" si="61"/>
        <v>1388411.6336015349</v>
      </c>
      <c r="Q231" s="399">
        <f t="shared" si="61"/>
        <v>1645901.9283890722</v>
      </c>
      <c r="R231" s="399">
        <f t="shared" si="61"/>
        <v>1939169.091953003</v>
      </c>
      <c r="S231" s="399">
        <f t="shared" si="61"/>
        <v>2272644.5204433864</v>
      </c>
      <c r="T231" s="399">
        <f t="shared" si="61"/>
        <v>2651276.0411106953</v>
      </c>
      <c r="U231" s="399">
        <f t="shared" si="61"/>
        <v>3080585.907591088</v>
      </c>
      <c r="V231" s="399">
        <f t="shared" si="61"/>
        <v>3566735.1511085182</v>
      </c>
      <c r="W231" s="399">
        <f t="shared" si="61"/>
        <v>4116594.972483069</v>
      </c>
      <c r="X231" s="399">
        <f t="shared" si="61"/>
        <v>4737825.9327455</v>
      </c>
      <c r="Y231" s="399">
        <f t="shared" si="61"/>
        <v>5438965.780761346</v>
      </c>
      <c r="Z231" s="24"/>
    </row>
    <row r="232" spans="3:26" ht="12.75">
      <c r="C232" s="22"/>
      <c r="D232" s="23"/>
      <c r="E232" s="25" t="s">
        <v>222</v>
      </c>
      <c r="F232" s="399">
        <f>F231-F230</f>
        <v>-1584000</v>
      </c>
      <c r="G232" s="399">
        <f aca="true" t="shared" si="62" ref="G232:Y232">G231-G230</f>
        <v>-3900000</v>
      </c>
      <c r="H232" s="399">
        <f t="shared" si="62"/>
        <v>-2460000</v>
      </c>
      <c r="I232" s="399">
        <f t="shared" si="62"/>
        <v>-240000</v>
      </c>
      <c r="J232" s="399">
        <f t="shared" si="62"/>
        <v>339555.96901387116</v>
      </c>
      <c r="K232" s="399">
        <f t="shared" si="62"/>
        <v>512497.1229217925</v>
      </c>
      <c r="L232" s="399">
        <f t="shared" si="62"/>
        <v>595360.8234006467</v>
      </c>
      <c r="M232" s="399">
        <f t="shared" si="62"/>
        <v>745452.7808080146</v>
      </c>
      <c r="N232" s="399">
        <f t="shared" si="62"/>
        <v>917789.849078934</v>
      </c>
      <c r="O232" s="399">
        <f t="shared" si="62"/>
        <v>1115210.984230916</v>
      </c>
      <c r="P232" s="399">
        <f t="shared" si="62"/>
        <v>1340891.6336015349</v>
      </c>
      <c r="Q232" s="399">
        <f t="shared" si="62"/>
        <v>1598381.9283890722</v>
      </c>
      <c r="R232" s="399">
        <f t="shared" si="62"/>
        <v>1891649.091953003</v>
      </c>
      <c r="S232" s="399">
        <f t="shared" si="62"/>
        <v>2225124.5204433864</v>
      </c>
      <c r="T232" s="399">
        <f t="shared" si="62"/>
        <v>2603756.0411106953</v>
      </c>
      <c r="U232" s="399">
        <f t="shared" si="62"/>
        <v>3033065.907591088</v>
      </c>
      <c r="V232" s="399">
        <f t="shared" si="62"/>
        <v>3519215.1511085182</v>
      </c>
      <c r="W232" s="399">
        <f t="shared" si="62"/>
        <v>4069074.972483069</v>
      </c>
      <c r="X232" s="399">
        <f t="shared" si="62"/>
        <v>4690305.9327455</v>
      </c>
      <c r="Y232" s="399">
        <f t="shared" si="62"/>
        <v>5391445.780761346</v>
      </c>
      <c r="Z232" s="24"/>
    </row>
    <row r="233" spans="3:26" ht="12.75">
      <c r="C233" s="26"/>
      <c r="D233" s="27"/>
      <c r="E233" s="27"/>
      <c r="F233" s="27"/>
      <c r="G233" s="27"/>
      <c r="H233" s="27"/>
      <c r="I233" s="27"/>
      <c r="J233" s="27"/>
      <c r="K233" s="27"/>
      <c r="L233" s="27"/>
      <c r="M233" s="27"/>
      <c r="N233" s="27"/>
      <c r="O233" s="27"/>
      <c r="P233" s="27"/>
      <c r="Q233" s="27"/>
      <c r="R233" s="27"/>
      <c r="S233" s="27"/>
      <c r="T233" s="27"/>
      <c r="U233" s="27"/>
      <c r="V233" s="27"/>
      <c r="W233" s="27"/>
      <c r="X233" s="27"/>
      <c r="Y233" s="27"/>
      <c r="Z233" s="28"/>
    </row>
  </sheetData>
  <mergeCells count="2">
    <mergeCell ref="C4:D4"/>
    <mergeCell ref="C5:D5"/>
  </mergeCells>
  <dataValidations count="2">
    <dataValidation type="list" allowBlank="1" showInputMessage="1" showErrorMessage="1" sqref="L22">
      <formula1>$AB$21:$AB$22</formula1>
    </dataValidation>
    <dataValidation type="list" allowBlank="1" showInputMessage="1" showErrorMessage="1" sqref="J20">
      <formula1>$AB$21:$AB$23</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BP44"/>
  <sheetViews>
    <sheetView workbookViewId="0" topLeftCell="A1">
      <selection activeCell="A1" sqref="A1"/>
    </sheetView>
  </sheetViews>
  <sheetFormatPr defaultColWidth="9.140625" defaultRowHeight="12.75"/>
  <cols>
    <col min="1" max="1" width="3.421875" style="115" customWidth="1"/>
    <col min="2" max="2" width="3.8515625" style="89" customWidth="1"/>
    <col min="3" max="3" width="36.57421875" style="113" customWidth="1"/>
    <col min="4" max="4" width="9.140625" style="114" customWidth="1"/>
    <col min="5" max="9" width="9.140625" style="115" customWidth="1"/>
    <col min="10" max="10" width="9.57421875" style="115" bestFit="1" customWidth="1"/>
    <col min="11" max="14" width="9.140625" style="115" customWidth="1"/>
    <col min="15" max="16" width="9.140625" style="116" customWidth="1"/>
    <col min="17" max="17" width="9.140625" style="115" customWidth="1"/>
    <col min="18" max="18" width="9.140625" style="116" customWidth="1"/>
    <col min="19" max="22" width="9.140625" style="115" customWidth="1"/>
    <col min="23" max="23" width="9.8515625" style="115" customWidth="1"/>
    <col min="24" max="26" width="9.140625" style="115" customWidth="1"/>
    <col min="27" max="27" width="9.7109375" style="115" customWidth="1"/>
    <col min="28" max="30" width="9.140625" style="115" customWidth="1"/>
    <col min="31" max="31" width="10.140625" style="115" customWidth="1"/>
    <col min="32" max="34" width="9.140625" style="115" customWidth="1"/>
    <col min="35" max="35" width="9.421875" style="115" customWidth="1"/>
    <col min="36" max="38" width="9.140625" style="115" customWidth="1"/>
    <col min="39" max="39" width="10.140625" style="115" customWidth="1"/>
    <col min="40" max="42" width="9.140625" style="115" customWidth="1"/>
    <col min="43" max="47" width="10.28125" style="115" customWidth="1"/>
    <col min="48" max="50" width="9.140625" style="115" customWidth="1"/>
    <col min="51" max="51" width="10.140625" style="115" customWidth="1"/>
    <col min="52" max="52" width="9.7109375" style="115" customWidth="1"/>
    <col min="53" max="53" width="11.57421875" style="115" customWidth="1"/>
    <col min="54" max="54" width="11.7109375" style="115" customWidth="1"/>
    <col min="55" max="57" width="10.140625" style="115" customWidth="1"/>
    <col min="58" max="58" width="9.140625" style="115" customWidth="1"/>
    <col min="59" max="59" width="11.00390625" style="115" customWidth="1"/>
    <col min="60" max="66" width="12.7109375" style="115" customWidth="1"/>
    <col min="67" max="68" width="10.28125" style="115" customWidth="1"/>
    <col min="69" max="16384" width="9.140625" style="115" customWidth="1"/>
  </cols>
  <sheetData>
    <row r="1" ht="12.75"/>
    <row r="2" ht="12.75" customHeight="1">
      <c r="B2" s="89" t="s">
        <v>124</v>
      </c>
    </row>
    <row r="3" ht="12.75" customHeight="1"/>
    <row r="4" ht="12.75" customHeight="1">
      <c r="C4" s="89"/>
    </row>
    <row r="5" spans="3:68" ht="12.75" customHeight="1">
      <c r="C5" s="128" t="s">
        <v>9</v>
      </c>
      <c r="D5" s="129"/>
      <c r="E5" s="130"/>
      <c r="F5" s="130"/>
      <c r="G5" s="131"/>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row>
    <row r="6" spans="3:68" ht="12.75" customHeight="1">
      <c r="C6" s="165"/>
      <c r="D6" s="166"/>
      <c r="E6" s="167"/>
      <c r="F6" s="167"/>
      <c r="G6" s="168"/>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row>
    <row r="7" spans="3:67" s="90" customFormat="1" ht="12.75" customHeight="1">
      <c r="C7" s="36" t="s">
        <v>242</v>
      </c>
      <c r="D7" s="8"/>
      <c r="E7" s="8"/>
      <c r="F7" s="8"/>
      <c r="G7" s="45">
        <v>2008</v>
      </c>
      <c r="O7" s="118"/>
      <c r="P7" s="118"/>
      <c r="Q7" s="119"/>
      <c r="R7" s="118"/>
      <c r="S7" s="119"/>
      <c r="AZ7" s="119"/>
      <c r="BA7" s="119"/>
      <c r="BD7" s="120"/>
      <c r="BE7" s="120"/>
      <c r="BF7" s="120"/>
      <c r="BG7" s="120"/>
      <c r="BH7" s="120"/>
      <c r="BI7" s="120"/>
      <c r="BJ7" s="120"/>
      <c r="BK7" s="120"/>
      <c r="BL7" s="120"/>
      <c r="BM7" s="120"/>
      <c r="BN7" s="120"/>
      <c r="BO7" s="119"/>
    </row>
    <row r="8" spans="3:68" ht="12.75" customHeight="1">
      <c r="C8" s="36" t="s">
        <v>241</v>
      </c>
      <c r="D8" s="6"/>
      <c r="E8" s="6"/>
      <c r="F8" s="6"/>
      <c r="G8" s="416">
        <f>'ERR &amp; Sensitivity Analysis'!G17</f>
        <v>1300</v>
      </c>
      <c r="H8" s="124"/>
      <c r="I8" s="123"/>
      <c r="J8" s="124"/>
      <c r="K8" s="123"/>
      <c r="L8" s="123"/>
      <c r="M8" s="123"/>
      <c r="N8" s="123"/>
      <c r="O8" s="125"/>
      <c r="P8" s="125"/>
      <c r="Q8" s="123"/>
      <c r="R8" s="125"/>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5"/>
      <c r="BD8" s="125"/>
      <c r="BE8" s="125"/>
      <c r="BF8" s="125"/>
      <c r="BG8" s="126"/>
      <c r="BH8" s="123"/>
      <c r="BI8" s="123"/>
      <c r="BJ8" s="123"/>
      <c r="BK8" s="123"/>
      <c r="BL8" s="123"/>
      <c r="BM8" s="123"/>
      <c r="BN8" s="123"/>
      <c r="BO8" s="123"/>
      <c r="BP8" s="125"/>
    </row>
    <row r="9" spans="3:68" ht="12.75" customHeight="1">
      <c r="C9" s="36" t="s">
        <v>243</v>
      </c>
      <c r="D9" s="6"/>
      <c r="E9" s="6"/>
      <c r="F9" s="6"/>
      <c r="G9" s="37">
        <v>0.04</v>
      </c>
      <c r="H9" s="123"/>
      <c r="I9" s="123"/>
      <c r="J9" s="124"/>
      <c r="K9" s="123"/>
      <c r="L9" s="123"/>
      <c r="M9" s="123"/>
      <c r="N9" s="123"/>
      <c r="O9" s="125"/>
      <c r="P9" s="125"/>
      <c r="Q9" s="123"/>
      <c r="R9" s="125"/>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5"/>
      <c r="BD9" s="125"/>
      <c r="BE9" s="125"/>
      <c r="BF9" s="125"/>
      <c r="BG9" s="125"/>
      <c r="BH9" s="123"/>
      <c r="BI9" s="123"/>
      <c r="BJ9" s="123"/>
      <c r="BK9" s="123"/>
      <c r="BL9" s="123"/>
      <c r="BM9" s="123"/>
      <c r="BN9" s="123"/>
      <c r="BO9" s="123"/>
      <c r="BP9" s="125"/>
    </row>
    <row r="10" spans="3:68" ht="12.75">
      <c r="C10" s="36" t="s">
        <v>263</v>
      </c>
      <c r="D10" s="6"/>
      <c r="E10" s="6"/>
      <c r="F10" s="6"/>
      <c r="G10" s="135">
        <v>0.03</v>
      </c>
      <c r="H10" s="123"/>
      <c r="I10" s="123"/>
      <c r="J10" s="123"/>
      <c r="K10" s="123"/>
      <c r="L10" s="124"/>
      <c r="M10" s="123"/>
      <c r="N10" s="123"/>
      <c r="O10" s="125"/>
      <c r="P10" s="125"/>
      <c r="Q10" s="123"/>
      <c r="R10" s="125"/>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5"/>
      <c r="BD10" s="125"/>
      <c r="BE10" s="125"/>
      <c r="BF10" s="125"/>
      <c r="BG10" s="125"/>
      <c r="BH10" s="123"/>
      <c r="BI10" s="123"/>
      <c r="BJ10" s="123"/>
      <c r="BK10" s="123"/>
      <c r="BL10" s="123"/>
      <c r="BM10" s="123"/>
      <c r="BN10" s="123"/>
      <c r="BO10" s="123"/>
      <c r="BP10" s="125"/>
    </row>
    <row r="11" spans="3:68" ht="12.75">
      <c r="C11" s="36" t="s">
        <v>262</v>
      </c>
      <c r="D11" s="6"/>
      <c r="E11" s="6"/>
      <c r="F11" s="6"/>
      <c r="G11" s="135">
        <v>0.4</v>
      </c>
      <c r="H11" s="123"/>
      <c r="I11" s="123"/>
      <c r="J11" s="123"/>
      <c r="K11" s="123"/>
      <c r="L11" s="124"/>
      <c r="M11" s="123"/>
      <c r="N11" s="123"/>
      <c r="O11" s="125"/>
      <c r="P11" s="125"/>
      <c r="Q11" s="123"/>
      <c r="R11" s="125"/>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5"/>
      <c r="BD11" s="125"/>
      <c r="BE11" s="125"/>
      <c r="BF11" s="125"/>
      <c r="BG11" s="125"/>
      <c r="BH11" s="123"/>
      <c r="BI11" s="123"/>
      <c r="BJ11" s="123"/>
      <c r="BK11" s="123"/>
      <c r="BL11" s="123"/>
      <c r="BM11" s="123"/>
      <c r="BN11" s="123"/>
      <c r="BO11" s="123"/>
      <c r="BP11" s="125"/>
    </row>
    <row r="12" spans="3:68" ht="12.75">
      <c r="C12" s="36" t="s">
        <v>240</v>
      </c>
      <c r="D12" s="6"/>
      <c r="E12" s="6"/>
      <c r="F12" s="6"/>
      <c r="G12" s="135">
        <v>0.8</v>
      </c>
      <c r="H12" s="123"/>
      <c r="I12" s="123"/>
      <c r="J12" s="123"/>
      <c r="K12" s="123"/>
      <c r="L12" s="124"/>
      <c r="M12" s="123"/>
      <c r="N12" s="123"/>
      <c r="O12" s="125"/>
      <c r="P12" s="125"/>
      <c r="Q12" s="123"/>
      <c r="R12" s="125"/>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5"/>
      <c r="BD12" s="125"/>
      <c r="BE12" s="125"/>
      <c r="BF12" s="125"/>
      <c r="BG12" s="125"/>
      <c r="BH12" s="123"/>
      <c r="BI12" s="123"/>
      <c r="BJ12" s="123"/>
      <c r="BK12" s="123"/>
      <c r="BL12" s="123"/>
      <c r="BM12" s="123"/>
      <c r="BN12" s="123"/>
      <c r="BO12" s="123"/>
      <c r="BP12" s="125"/>
    </row>
    <row r="13" spans="3:68" ht="12.75">
      <c r="C13" s="38" t="s">
        <v>244</v>
      </c>
      <c r="D13" s="17"/>
      <c r="E13" s="17"/>
      <c r="F13" s="17"/>
      <c r="G13" s="39">
        <v>0.05</v>
      </c>
      <c r="H13" s="123"/>
      <c r="I13" s="123"/>
      <c r="J13" s="124"/>
      <c r="K13" s="123"/>
      <c r="L13" s="124"/>
      <c r="M13" s="123"/>
      <c r="N13" s="123"/>
      <c r="O13" s="125"/>
      <c r="P13" s="125"/>
      <c r="Q13" s="123"/>
      <c r="R13" s="125"/>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5"/>
      <c r="BD13" s="125"/>
      <c r="BE13" s="125"/>
      <c r="BF13" s="125"/>
      <c r="BG13" s="126"/>
      <c r="BH13" s="123"/>
      <c r="BI13" s="123"/>
      <c r="BJ13" s="123"/>
      <c r="BK13" s="123"/>
      <c r="BL13" s="123"/>
      <c r="BM13" s="123"/>
      <c r="BN13" s="123"/>
      <c r="BO13" s="123"/>
      <c r="BP13" s="125"/>
    </row>
    <row r="14" spans="4:68" ht="12.75">
      <c r="D14" s="122"/>
      <c r="E14" s="123"/>
      <c r="F14" s="123"/>
      <c r="G14" s="123"/>
      <c r="H14" s="123"/>
      <c r="I14" s="123"/>
      <c r="J14" s="123"/>
      <c r="K14" s="123"/>
      <c r="L14" s="124"/>
      <c r="M14" s="123"/>
      <c r="N14" s="123"/>
      <c r="O14" s="125"/>
      <c r="P14" s="125"/>
      <c r="Q14" s="123"/>
      <c r="R14" s="125"/>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5"/>
      <c r="BE14" s="125"/>
      <c r="BF14" s="125"/>
      <c r="BG14" s="125"/>
      <c r="BH14" s="123"/>
      <c r="BI14" s="123"/>
      <c r="BJ14" s="123"/>
      <c r="BK14" s="123"/>
      <c r="BL14" s="123"/>
      <c r="BM14" s="123"/>
      <c r="BN14" s="123"/>
      <c r="BO14" s="123"/>
      <c r="BP14" s="125"/>
    </row>
    <row r="15" spans="3:68" ht="12.75">
      <c r="C15" s="121"/>
      <c r="D15" s="122"/>
      <c r="E15" s="123"/>
      <c r="F15" s="123"/>
      <c r="G15" s="123"/>
      <c r="H15" s="123"/>
      <c r="I15" s="123"/>
      <c r="J15" s="123"/>
      <c r="K15" s="123"/>
      <c r="L15" s="124"/>
      <c r="M15" s="123"/>
      <c r="N15" s="123"/>
      <c r="O15" s="125"/>
      <c r="P15" s="125"/>
      <c r="Q15" s="123"/>
      <c r="R15" s="125"/>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5"/>
      <c r="BD15" s="125"/>
      <c r="BE15" s="125"/>
      <c r="BF15" s="125"/>
      <c r="BG15" s="125"/>
      <c r="BH15" s="123"/>
      <c r="BI15" s="123"/>
      <c r="BJ15" s="123"/>
      <c r="BK15" s="123"/>
      <c r="BL15" s="123"/>
      <c r="BM15" s="123"/>
      <c r="BN15" s="123"/>
      <c r="BO15" s="123"/>
      <c r="BP15" s="125"/>
    </row>
    <row r="16" spans="4:68" ht="12.75">
      <c r="D16" s="122"/>
      <c r="E16" s="123"/>
      <c r="F16" s="123"/>
      <c r="G16" s="123"/>
      <c r="H16" s="123"/>
      <c r="I16" s="123"/>
      <c r="J16" s="123"/>
      <c r="K16" s="123"/>
      <c r="L16" s="124"/>
      <c r="M16" s="123"/>
      <c r="N16" s="123"/>
      <c r="O16" s="125"/>
      <c r="P16" s="125"/>
      <c r="Q16" s="123"/>
      <c r="R16" s="125"/>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5"/>
      <c r="BE16" s="125"/>
      <c r="BF16" s="125"/>
      <c r="BG16" s="125"/>
      <c r="BH16" s="123"/>
      <c r="BI16" s="123"/>
      <c r="BJ16" s="123"/>
      <c r="BK16" s="123"/>
      <c r="BL16" s="123"/>
      <c r="BM16" s="123"/>
      <c r="BN16" s="123"/>
      <c r="BO16" s="123"/>
      <c r="BP16" s="125"/>
    </row>
    <row r="17" spans="3:68" ht="12.75">
      <c r="C17" s="121"/>
      <c r="D17" s="122"/>
      <c r="E17" s="123"/>
      <c r="F17" s="123"/>
      <c r="G17" s="123"/>
      <c r="H17" s="123"/>
      <c r="I17" s="123"/>
      <c r="J17" s="123"/>
      <c r="K17" s="123"/>
      <c r="L17" s="124"/>
      <c r="M17" s="123"/>
      <c r="N17" s="123"/>
      <c r="O17" s="125"/>
      <c r="P17" s="125"/>
      <c r="Q17" s="123"/>
      <c r="R17" s="125"/>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5"/>
      <c r="BD17" s="125"/>
      <c r="BE17" s="125"/>
      <c r="BF17" s="125"/>
      <c r="BG17" s="125"/>
      <c r="BH17" s="123"/>
      <c r="BI17" s="123"/>
      <c r="BJ17" s="123"/>
      <c r="BK17" s="123"/>
      <c r="BL17" s="123"/>
      <c r="BM17" s="123"/>
      <c r="BN17" s="123"/>
      <c r="BO17" s="123"/>
      <c r="BP17" s="125"/>
    </row>
    <row r="18" spans="4:68" ht="12.75">
      <c r="D18" s="122"/>
      <c r="E18" s="123"/>
      <c r="F18" s="123"/>
      <c r="G18" s="123"/>
      <c r="H18" s="123"/>
      <c r="I18" s="123"/>
      <c r="J18" s="123"/>
      <c r="K18" s="123"/>
      <c r="L18" s="124"/>
      <c r="M18" s="123"/>
      <c r="N18" s="123"/>
      <c r="O18" s="125"/>
      <c r="P18" s="125"/>
      <c r="Q18" s="123"/>
      <c r="R18" s="125"/>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5"/>
      <c r="BE18" s="125"/>
      <c r="BF18" s="125"/>
      <c r="BG18" s="125"/>
      <c r="BH18" s="123"/>
      <c r="BI18" s="123"/>
      <c r="BJ18" s="123"/>
      <c r="BK18" s="123"/>
      <c r="BL18" s="123"/>
      <c r="BM18" s="123"/>
      <c r="BN18" s="123"/>
      <c r="BO18" s="123"/>
      <c r="BP18" s="125"/>
    </row>
    <row r="19" spans="3:68" ht="12.75">
      <c r="C19" s="121"/>
      <c r="D19" s="122"/>
      <c r="E19" s="123"/>
      <c r="F19" s="124"/>
      <c r="G19" s="124"/>
      <c r="H19" s="124"/>
      <c r="I19" s="123"/>
      <c r="J19" s="124"/>
      <c r="K19" s="123"/>
      <c r="L19" s="124"/>
      <c r="M19" s="123"/>
      <c r="N19" s="123"/>
      <c r="O19" s="125"/>
      <c r="P19" s="125"/>
      <c r="Q19" s="123"/>
      <c r="R19" s="125"/>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5"/>
      <c r="BD19" s="125"/>
      <c r="BE19" s="125"/>
      <c r="BF19" s="125"/>
      <c r="BG19" s="125"/>
      <c r="BH19" s="123"/>
      <c r="BI19" s="123"/>
      <c r="BJ19" s="123"/>
      <c r="BK19" s="123"/>
      <c r="BL19" s="123"/>
      <c r="BM19" s="123"/>
      <c r="BN19" s="123"/>
      <c r="BO19" s="123"/>
      <c r="BP19" s="125"/>
    </row>
    <row r="20" spans="4:68" ht="12.75">
      <c r="D20" s="122"/>
      <c r="E20" s="123"/>
      <c r="F20" s="123"/>
      <c r="G20" s="123"/>
      <c r="H20" s="123"/>
      <c r="I20" s="123"/>
      <c r="J20" s="123"/>
      <c r="K20" s="123"/>
      <c r="L20" s="124"/>
      <c r="M20" s="123"/>
      <c r="N20" s="123"/>
      <c r="O20" s="125"/>
      <c r="P20" s="125"/>
      <c r="Q20" s="123"/>
      <c r="R20" s="125"/>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5"/>
      <c r="BE20" s="125"/>
      <c r="BF20" s="125"/>
      <c r="BG20" s="125"/>
      <c r="BH20" s="123"/>
      <c r="BI20" s="123"/>
      <c r="BJ20" s="123"/>
      <c r="BK20" s="123"/>
      <c r="BL20" s="123"/>
      <c r="BM20" s="123"/>
      <c r="BN20" s="123"/>
      <c r="BO20" s="123"/>
      <c r="BP20" s="125"/>
    </row>
    <row r="21" spans="3:68" ht="12.75">
      <c r="C21" s="121"/>
      <c r="D21" s="122"/>
      <c r="E21" s="123"/>
      <c r="F21" s="123"/>
      <c r="G21" s="123"/>
      <c r="H21" s="123"/>
      <c r="I21" s="123"/>
      <c r="J21" s="123"/>
      <c r="K21" s="123"/>
      <c r="L21" s="124"/>
      <c r="M21" s="123"/>
      <c r="N21" s="123"/>
      <c r="O21" s="125"/>
      <c r="P21" s="125"/>
      <c r="Q21" s="123"/>
      <c r="R21" s="125"/>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5"/>
      <c r="BD21" s="125"/>
      <c r="BE21" s="125"/>
      <c r="BF21" s="125"/>
      <c r="BG21" s="125"/>
      <c r="BH21" s="123"/>
      <c r="BI21" s="123"/>
      <c r="BJ21" s="123"/>
      <c r="BK21" s="123"/>
      <c r="BL21" s="123"/>
      <c r="BM21" s="123"/>
      <c r="BN21" s="123"/>
      <c r="BO21" s="123"/>
      <c r="BP21" s="125"/>
    </row>
    <row r="22" spans="4:68" ht="12.75">
      <c r="D22" s="122"/>
      <c r="E22" s="123"/>
      <c r="F22" s="123"/>
      <c r="G22" s="123"/>
      <c r="H22" s="123"/>
      <c r="I22" s="123"/>
      <c r="J22" s="123"/>
      <c r="K22" s="123"/>
      <c r="L22" s="123"/>
      <c r="M22" s="123"/>
      <c r="N22" s="123"/>
      <c r="O22" s="125"/>
      <c r="P22" s="125"/>
      <c r="Q22" s="123"/>
      <c r="R22" s="125"/>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5"/>
      <c r="BE22" s="125"/>
      <c r="BF22" s="125"/>
      <c r="BG22" s="125"/>
      <c r="BH22" s="123"/>
      <c r="BI22" s="123"/>
      <c r="BJ22" s="123"/>
      <c r="BK22" s="123"/>
      <c r="BL22" s="123"/>
      <c r="BM22" s="123"/>
      <c r="BN22" s="123"/>
      <c r="BO22" s="123"/>
      <c r="BP22" s="125"/>
    </row>
    <row r="23" spans="3:68" ht="12.75">
      <c r="C23" s="121"/>
      <c r="D23" s="122"/>
      <c r="E23" s="123"/>
      <c r="F23" s="123"/>
      <c r="G23" s="123"/>
      <c r="H23" s="123"/>
      <c r="I23" s="123"/>
      <c r="J23" s="123"/>
      <c r="K23" s="123"/>
      <c r="L23" s="124"/>
      <c r="M23" s="123"/>
      <c r="N23" s="123"/>
      <c r="O23" s="125"/>
      <c r="P23" s="125"/>
      <c r="Q23" s="123"/>
      <c r="R23" s="125"/>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5"/>
      <c r="BD23" s="125"/>
      <c r="BE23" s="125"/>
      <c r="BF23" s="125"/>
      <c r="BG23" s="125"/>
      <c r="BH23" s="123"/>
      <c r="BI23" s="123"/>
      <c r="BJ23" s="123"/>
      <c r="BK23" s="123"/>
      <c r="BL23" s="123"/>
      <c r="BM23" s="123"/>
      <c r="BN23" s="123"/>
      <c r="BO23" s="123"/>
      <c r="BP23" s="125"/>
    </row>
    <row r="24" spans="4:68" ht="12.75">
      <c r="D24" s="122"/>
      <c r="E24" s="123"/>
      <c r="F24" s="123"/>
      <c r="G24" s="123"/>
      <c r="H24" s="123"/>
      <c r="I24" s="123"/>
      <c r="J24" s="123"/>
      <c r="K24" s="123"/>
      <c r="L24" s="123"/>
      <c r="M24" s="123"/>
      <c r="N24" s="123"/>
      <c r="O24" s="125"/>
      <c r="P24" s="125"/>
      <c r="Q24" s="123"/>
      <c r="R24" s="125"/>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5"/>
      <c r="BE24" s="125"/>
      <c r="BF24" s="125"/>
      <c r="BG24" s="125"/>
      <c r="BH24" s="123"/>
      <c r="BI24" s="123"/>
      <c r="BJ24" s="123"/>
      <c r="BK24" s="123"/>
      <c r="BL24" s="123"/>
      <c r="BM24" s="123"/>
      <c r="BN24" s="123"/>
      <c r="BO24" s="123"/>
      <c r="BP24" s="125"/>
    </row>
    <row r="25" spans="3:68" ht="12.75">
      <c r="C25" s="121"/>
      <c r="D25" s="122"/>
      <c r="E25" s="123"/>
      <c r="F25" s="123"/>
      <c r="G25" s="123"/>
      <c r="H25" s="123"/>
      <c r="I25" s="123"/>
      <c r="J25" s="123"/>
      <c r="K25" s="123"/>
      <c r="L25" s="123"/>
      <c r="M25" s="123"/>
      <c r="N25" s="123"/>
      <c r="O25" s="125"/>
      <c r="P25" s="125"/>
      <c r="Q25" s="123"/>
      <c r="R25" s="125"/>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5"/>
      <c r="BD25" s="125"/>
      <c r="BE25" s="125"/>
      <c r="BF25" s="125"/>
      <c r="BG25" s="125"/>
      <c r="BH25" s="123"/>
      <c r="BI25" s="123"/>
      <c r="BJ25" s="123"/>
      <c r="BK25" s="123"/>
      <c r="BL25" s="123"/>
      <c r="BM25" s="123"/>
      <c r="BN25" s="123"/>
      <c r="BO25" s="123"/>
      <c r="BP25" s="125"/>
    </row>
    <row r="26" spans="4:68" ht="12.75">
      <c r="D26" s="122"/>
      <c r="E26" s="123"/>
      <c r="F26" s="123"/>
      <c r="G26" s="123"/>
      <c r="H26" s="123"/>
      <c r="I26" s="123"/>
      <c r="J26" s="123"/>
      <c r="K26" s="123"/>
      <c r="L26" s="123"/>
      <c r="M26" s="123"/>
      <c r="N26" s="123"/>
      <c r="O26" s="125"/>
      <c r="P26" s="125"/>
      <c r="Q26" s="123"/>
      <c r="R26" s="125"/>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5"/>
      <c r="BE26" s="125"/>
      <c r="BF26" s="125"/>
      <c r="BG26" s="125"/>
      <c r="BH26" s="123"/>
      <c r="BI26" s="123"/>
      <c r="BJ26" s="123"/>
      <c r="BK26" s="123"/>
      <c r="BL26" s="123"/>
      <c r="BM26" s="123"/>
      <c r="BN26" s="123"/>
      <c r="BO26" s="123"/>
      <c r="BP26" s="125"/>
    </row>
    <row r="27" spans="3:68" ht="12.75">
      <c r="C27" s="121"/>
      <c r="D27" s="122"/>
      <c r="E27" s="123"/>
      <c r="F27" s="123"/>
      <c r="G27" s="123"/>
      <c r="H27" s="123"/>
      <c r="I27" s="123"/>
      <c r="J27" s="123"/>
      <c r="K27" s="123"/>
      <c r="L27" s="123"/>
      <c r="M27" s="123"/>
      <c r="N27" s="123"/>
      <c r="O27" s="125"/>
      <c r="P27" s="125"/>
      <c r="Q27" s="123"/>
      <c r="R27" s="125"/>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5"/>
      <c r="BD27" s="125"/>
      <c r="BE27" s="125"/>
      <c r="BF27" s="125"/>
      <c r="BG27" s="125"/>
      <c r="BH27" s="123"/>
      <c r="BI27" s="123"/>
      <c r="BJ27" s="123"/>
      <c r="BK27" s="123"/>
      <c r="BL27" s="123"/>
      <c r="BM27" s="123"/>
      <c r="BN27" s="123"/>
      <c r="BO27" s="123"/>
      <c r="BP27" s="125"/>
    </row>
    <row r="28" spans="4:68" ht="12.75">
      <c r="D28" s="122"/>
      <c r="E28" s="123"/>
      <c r="F28" s="123"/>
      <c r="G28" s="123"/>
      <c r="H28" s="123"/>
      <c r="I28" s="123"/>
      <c r="J28" s="123"/>
      <c r="K28" s="123"/>
      <c r="L28" s="123"/>
      <c r="M28" s="123"/>
      <c r="N28" s="123"/>
      <c r="O28" s="125"/>
      <c r="P28" s="125"/>
      <c r="Q28" s="123"/>
      <c r="R28" s="125"/>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5"/>
      <c r="BE28" s="125"/>
      <c r="BF28" s="125"/>
      <c r="BG28" s="125"/>
      <c r="BH28" s="123"/>
      <c r="BI28" s="123"/>
      <c r="BJ28" s="123"/>
      <c r="BK28" s="123"/>
      <c r="BL28" s="123"/>
      <c r="BM28" s="123"/>
      <c r="BN28" s="123"/>
      <c r="BO28" s="123"/>
      <c r="BP28" s="125"/>
    </row>
    <row r="29" spans="3:68" ht="12.75">
      <c r="C29" s="121"/>
      <c r="D29" s="122"/>
      <c r="E29" s="123"/>
      <c r="F29" s="123"/>
      <c r="G29" s="123"/>
      <c r="H29" s="123"/>
      <c r="I29" s="123"/>
      <c r="J29" s="123"/>
      <c r="K29" s="123"/>
      <c r="L29" s="123"/>
      <c r="M29" s="123"/>
      <c r="N29" s="123"/>
      <c r="O29" s="125"/>
      <c r="P29" s="125"/>
      <c r="Q29" s="123"/>
      <c r="R29" s="125"/>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5"/>
      <c r="BD29" s="125"/>
      <c r="BE29" s="125"/>
      <c r="BF29" s="125"/>
      <c r="BG29" s="125"/>
      <c r="BH29" s="123"/>
      <c r="BI29" s="123"/>
      <c r="BJ29" s="123"/>
      <c r="BK29" s="123"/>
      <c r="BL29" s="123"/>
      <c r="BM29" s="123"/>
      <c r="BN29" s="123"/>
      <c r="BO29" s="123"/>
      <c r="BP29" s="125"/>
    </row>
    <row r="30" spans="4:68" ht="12.75">
      <c r="D30" s="122"/>
      <c r="E30" s="123"/>
      <c r="F30" s="123"/>
      <c r="G30" s="123"/>
      <c r="H30" s="123"/>
      <c r="I30" s="123"/>
      <c r="J30" s="123"/>
      <c r="K30" s="123"/>
      <c r="L30" s="123"/>
      <c r="M30" s="123"/>
      <c r="N30" s="123"/>
      <c r="O30" s="125"/>
      <c r="P30" s="125"/>
      <c r="Q30" s="123"/>
      <c r="R30" s="125"/>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5"/>
      <c r="BE30" s="125"/>
      <c r="BF30" s="125"/>
      <c r="BG30" s="125"/>
      <c r="BH30" s="123"/>
      <c r="BI30" s="123"/>
      <c r="BJ30" s="123"/>
      <c r="BK30" s="123"/>
      <c r="BL30" s="123"/>
      <c r="BM30" s="123"/>
      <c r="BN30" s="123"/>
      <c r="BO30" s="123"/>
      <c r="BP30" s="125"/>
    </row>
    <row r="31" spans="3:68" ht="12.75">
      <c r="C31" s="121"/>
      <c r="D31" s="122"/>
      <c r="E31" s="123"/>
      <c r="F31" s="123"/>
      <c r="G31" s="123"/>
      <c r="H31" s="123"/>
      <c r="I31" s="123"/>
      <c r="J31" s="123"/>
      <c r="K31" s="123"/>
      <c r="L31" s="123"/>
      <c r="M31" s="123"/>
      <c r="N31" s="123"/>
      <c r="O31" s="125"/>
      <c r="P31" s="125"/>
      <c r="Q31" s="123"/>
      <c r="R31" s="125"/>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5"/>
      <c r="BD31" s="125"/>
      <c r="BE31" s="125"/>
      <c r="BF31" s="125"/>
      <c r="BG31" s="125"/>
      <c r="BH31" s="123"/>
      <c r="BI31" s="123"/>
      <c r="BJ31" s="123"/>
      <c r="BK31" s="123"/>
      <c r="BL31" s="123"/>
      <c r="BM31" s="123"/>
      <c r="BN31" s="123"/>
      <c r="BO31" s="123"/>
      <c r="BP31" s="125"/>
    </row>
    <row r="32" spans="4:68" ht="12.75">
      <c r="D32" s="122"/>
      <c r="E32" s="123"/>
      <c r="F32" s="123"/>
      <c r="G32" s="123"/>
      <c r="H32" s="123"/>
      <c r="I32" s="123"/>
      <c r="J32" s="123"/>
      <c r="K32" s="123"/>
      <c r="L32" s="123"/>
      <c r="M32" s="123"/>
      <c r="N32" s="123"/>
      <c r="O32" s="125"/>
      <c r="P32" s="125"/>
      <c r="Q32" s="123"/>
      <c r="R32" s="125"/>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5"/>
      <c r="BE32" s="125"/>
      <c r="BF32" s="125"/>
      <c r="BG32" s="125"/>
      <c r="BH32" s="123"/>
      <c r="BI32" s="123"/>
      <c r="BJ32" s="123"/>
      <c r="BK32" s="123"/>
      <c r="BL32" s="123"/>
      <c r="BM32" s="123"/>
      <c r="BN32" s="123"/>
      <c r="BO32" s="123"/>
      <c r="BP32" s="125"/>
    </row>
    <row r="33" spans="3:68" ht="12.75">
      <c r="C33" s="121"/>
      <c r="D33" s="122"/>
      <c r="E33" s="123"/>
      <c r="F33" s="123"/>
      <c r="G33" s="123"/>
      <c r="H33" s="123"/>
      <c r="I33" s="123"/>
      <c r="J33" s="124"/>
      <c r="K33" s="123"/>
      <c r="L33" s="123"/>
      <c r="M33" s="123"/>
      <c r="N33" s="123"/>
      <c r="O33" s="125"/>
      <c r="P33" s="125"/>
      <c r="Q33" s="123"/>
      <c r="R33" s="125"/>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5"/>
      <c r="BD33" s="125"/>
      <c r="BE33" s="125"/>
      <c r="BF33" s="125"/>
      <c r="BG33" s="125"/>
      <c r="BH33" s="123"/>
      <c r="BI33" s="123"/>
      <c r="BJ33" s="123"/>
      <c r="BK33" s="123"/>
      <c r="BL33" s="123"/>
      <c r="BM33" s="123"/>
      <c r="BN33" s="123"/>
      <c r="BO33" s="123"/>
      <c r="BP33" s="125"/>
    </row>
    <row r="34" spans="4:68" ht="12.75">
      <c r="D34" s="122"/>
      <c r="E34" s="123"/>
      <c r="F34" s="123"/>
      <c r="G34" s="123"/>
      <c r="H34" s="123"/>
      <c r="I34" s="123"/>
      <c r="J34" s="123"/>
      <c r="K34" s="123"/>
      <c r="L34" s="123"/>
      <c r="M34" s="123"/>
      <c r="N34" s="123"/>
      <c r="O34" s="125"/>
      <c r="P34" s="125"/>
      <c r="Q34" s="123"/>
      <c r="R34" s="125"/>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5"/>
      <c r="BE34" s="125"/>
      <c r="BF34" s="125"/>
      <c r="BG34" s="125"/>
      <c r="BH34" s="123"/>
      <c r="BI34" s="123"/>
      <c r="BJ34" s="123"/>
      <c r="BK34" s="123"/>
      <c r="BL34" s="123"/>
      <c r="BM34" s="123"/>
      <c r="BN34" s="123"/>
      <c r="BO34" s="123"/>
      <c r="BP34" s="125"/>
    </row>
    <row r="35" spans="3:68" ht="12.75">
      <c r="C35" s="121"/>
      <c r="D35" s="122"/>
      <c r="E35" s="123"/>
      <c r="F35" s="123"/>
      <c r="G35" s="123"/>
      <c r="H35" s="123"/>
      <c r="I35" s="123"/>
      <c r="J35" s="124"/>
      <c r="K35" s="123"/>
      <c r="L35" s="123"/>
      <c r="M35" s="123"/>
      <c r="N35" s="123"/>
      <c r="O35" s="125"/>
      <c r="P35" s="125"/>
      <c r="Q35" s="123"/>
      <c r="R35" s="125"/>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5"/>
      <c r="BD35" s="125"/>
      <c r="BE35" s="125"/>
      <c r="BF35" s="125"/>
      <c r="BG35" s="125"/>
      <c r="BH35" s="123"/>
      <c r="BI35" s="123"/>
      <c r="BJ35" s="123"/>
      <c r="BK35" s="123"/>
      <c r="BL35" s="123"/>
      <c r="BM35" s="123"/>
      <c r="BN35" s="123"/>
      <c r="BO35" s="123"/>
      <c r="BP35" s="125"/>
    </row>
    <row r="36" spans="4:68" ht="12.75">
      <c r="D36" s="122"/>
      <c r="E36" s="123"/>
      <c r="F36" s="123"/>
      <c r="G36" s="123"/>
      <c r="H36" s="123"/>
      <c r="I36" s="123"/>
      <c r="J36" s="123"/>
      <c r="K36" s="123"/>
      <c r="L36" s="123"/>
      <c r="M36" s="123"/>
      <c r="N36" s="123"/>
      <c r="O36" s="125"/>
      <c r="P36" s="125"/>
      <c r="Q36" s="123"/>
      <c r="R36" s="125"/>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5"/>
      <c r="BE36" s="125"/>
      <c r="BF36" s="125"/>
      <c r="BG36" s="125"/>
      <c r="BH36" s="123"/>
      <c r="BI36" s="123"/>
      <c r="BJ36" s="123"/>
      <c r="BK36" s="123"/>
      <c r="BL36" s="123"/>
      <c r="BM36" s="123"/>
      <c r="BN36" s="123"/>
      <c r="BO36" s="123"/>
      <c r="BP36" s="125"/>
    </row>
    <row r="37" spans="3:68" ht="12.75">
      <c r="C37" s="121"/>
      <c r="D37" s="122"/>
      <c r="E37" s="123"/>
      <c r="F37" s="123"/>
      <c r="G37" s="123"/>
      <c r="H37" s="123"/>
      <c r="I37" s="123"/>
      <c r="J37" s="123"/>
      <c r="K37" s="123"/>
      <c r="L37" s="123"/>
      <c r="M37" s="123"/>
      <c r="N37" s="123"/>
      <c r="O37" s="125"/>
      <c r="P37" s="125"/>
      <c r="Q37" s="123"/>
      <c r="R37" s="125"/>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5"/>
      <c r="BD37" s="125"/>
      <c r="BE37" s="125"/>
      <c r="BF37" s="125"/>
      <c r="BG37" s="125"/>
      <c r="BH37" s="123"/>
      <c r="BI37" s="123"/>
      <c r="BJ37" s="123"/>
      <c r="BK37" s="123"/>
      <c r="BL37" s="123"/>
      <c r="BM37" s="123"/>
      <c r="BN37" s="123"/>
      <c r="BO37" s="123"/>
      <c r="BP37" s="125"/>
    </row>
    <row r="38" spans="4:68" ht="12.75">
      <c r="D38" s="122"/>
      <c r="E38" s="123"/>
      <c r="F38" s="123"/>
      <c r="G38" s="123"/>
      <c r="H38" s="123"/>
      <c r="I38" s="123"/>
      <c r="J38" s="123"/>
      <c r="K38" s="123"/>
      <c r="L38" s="123"/>
      <c r="M38" s="123"/>
      <c r="N38" s="123"/>
      <c r="O38" s="125"/>
      <c r="P38" s="125"/>
      <c r="Q38" s="123"/>
      <c r="R38" s="125"/>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5"/>
      <c r="BE38" s="125"/>
      <c r="BF38" s="125"/>
      <c r="BG38" s="125"/>
      <c r="BH38" s="123"/>
      <c r="BI38" s="123"/>
      <c r="BJ38" s="123"/>
      <c r="BK38" s="123"/>
      <c r="BL38" s="123"/>
      <c r="BM38" s="123"/>
      <c r="BN38" s="123"/>
      <c r="BO38" s="123"/>
      <c r="BP38" s="125"/>
    </row>
    <row r="39" spans="3:68" ht="12.75">
      <c r="C39" s="121"/>
      <c r="D39" s="122"/>
      <c r="E39" s="123"/>
      <c r="F39" s="123"/>
      <c r="G39" s="123"/>
      <c r="H39" s="123"/>
      <c r="I39" s="123"/>
      <c r="J39" s="123"/>
      <c r="K39" s="123"/>
      <c r="L39" s="123"/>
      <c r="M39" s="123"/>
      <c r="N39" s="123"/>
      <c r="O39" s="125"/>
      <c r="P39" s="125"/>
      <c r="Q39" s="123"/>
      <c r="R39" s="125"/>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5"/>
      <c r="BD39" s="125"/>
      <c r="BE39" s="125"/>
      <c r="BF39" s="125"/>
      <c r="BG39" s="125"/>
      <c r="BH39" s="123"/>
      <c r="BI39" s="123"/>
      <c r="BJ39" s="123"/>
      <c r="BK39" s="123"/>
      <c r="BL39" s="123"/>
      <c r="BM39" s="123"/>
      <c r="BN39" s="123"/>
      <c r="BO39" s="123"/>
      <c r="BP39" s="125"/>
    </row>
    <row r="40" spans="4:68" ht="12.75">
      <c r="D40" s="122"/>
      <c r="E40" s="123"/>
      <c r="F40" s="123"/>
      <c r="G40" s="123"/>
      <c r="H40" s="123"/>
      <c r="I40" s="123"/>
      <c r="J40" s="123"/>
      <c r="K40" s="123"/>
      <c r="L40" s="123"/>
      <c r="M40" s="123"/>
      <c r="N40" s="123"/>
      <c r="O40" s="125"/>
      <c r="P40" s="125"/>
      <c r="Q40" s="123"/>
      <c r="R40" s="125"/>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5"/>
      <c r="BE40" s="125"/>
      <c r="BF40" s="125"/>
      <c r="BG40" s="125"/>
      <c r="BH40" s="123"/>
      <c r="BI40" s="123"/>
      <c r="BJ40" s="123"/>
      <c r="BK40" s="123"/>
      <c r="BL40" s="123"/>
      <c r="BM40" s="123"/>
      <c r="BN40" s="123"/>
      <c r="BO40" s="123"/>
      <c r="BP40" s="125"/>
    </row>
    <row r="41" spans="3:68" ht="12.75">
      <c r="C41" s="121"/>
      <c r="D41" s="122"/>
      <c r="E41" s="123"/>
      <c r="F41" s="123"/>
      <c r="G41" s="123"/>
      <c r="H41" s="123"/>
      <c r="I41" s="123"/>
      <c r="J41" s="123"/>
      <c r="K41" s="123"/>
      <c r="L41" s="123"/>
      <c r="M41" s="123"/>
      <c r="N41" s="123"/>
      <c r="O41" s="125"/>
      <c r="P41" s="125"/>
      <c r="Q41" s="123"/>
      <c r="R41" s="125"/>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5"/>
      <c r="BD41" s="125"/>
      <c r="BE41" s="125"/>
      <c r="BF41" s="125"/>
      <c r="BG41" s="125"/>
      <c r="BH41" s="123"/>
      <c r="BI41" s="123"/>
      <c r="BJ41" s="123"/>
      <c r="BK41" s="123"/>
      <c r="BL41" s="123"/>
      <c r="BM41" s="123"/>
      <c r="BN41" s="123"/>
      <c r="BO41" s="123"/>
      <c r="BP41" s="125"/>
    </row>
    <row r="42" spans="4:68" ht="12.75">
      <c r="D42" s="122"/>
      <c r="E42" s="123"/>
      <c r="F42" s="123"/>
      <c r="G42" s="123"/>
      <c r="H42" s="123"/>
      <c r="I42" s="123"/>
      <c r="J42" s="123"/>
      <c r="K42" s="123"/>
      <c r="L42" s="123"/>
      <c r="M42" s="123"/>
      <c r="N42" s="123"/>
      <c r="O42" s="125"/>
      <c r="P42" s="125"/>
      <c r="Q42" s="123"/>
      <c r="R42" s="125"/>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5"/>
      <c r="BE42" s="125"/>
      <c r="BF42" s="125"/>
      <c r="BG42" s="125"/>
      <c r="BH42" s="123"/>
      <c r="BI42" s="123"/>
      <c r="BJ42" s="123"/>
      <c r="BK42" s="123"/>
      <c r="BL42" s="123"/>
      <c r="BM42" s="123"/>
      <c r="BN42" s="123"/>
      <c r="BO42" s="123"/>
      <c r="BP42" s="125"/>
    </row>
    <row r="43" spans="3:68" ht="12.75">
      <c r="C43" s="121"/>
      <c r="D43" s="122"/>
      <c r="E43" s="123"/>
      <c r="F43" s="123"/>
      <c r="G43" s="123"/>
      <c r="H43" s="123"/>
      <c r="I43" s="123"/>
      <c r="J43" s="123"/>
      <c r="K43" s="123"/>
      <c r="L43" s="123"/>
      <c r="M43" s="123"/>
      <c r="N43" s="123"/>
      <c r="O43" s="125"/>
      <c r="P43" s="125"/>
      <c r="Q43" s="123"/>
      <c r="R43" s="125"/>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5"/>
      <c r="BD43" s="125"/>
      <c r="BE43" s="125"/>
      <c r="BF43" s="125"/>
      <c r="BG43" s="125"/>
      <c r="BH43" s="123"/>
      <c r="BI43" s="123"/>
      <c r="BJ43" s="123"/>
      <c r="BK43" s="123"/>
      <c r="BL43" s="123"/>
      <c r="BM43" s="123"/>
      <c r="BN43" s="127"/>
      <c r="BO43" s="123"/>
      <c r="BP43" s="125"/>
    </row>
    <row r="44" spans="4:68" ht="12.75">
      <c r="D44" s="122"/>
      <c r="E44" s="123"/>
      <c r="F44" s="123"/>
      <c r="G44" s="123"/>
      <c r="H44" s="123"/>
      <c r="I44" s="123"/>
      <c r="J44" s="123"/>
      <c r="K44" s="123"/>
      <c r="L44" s="123"/>
      <c r="M44" s="123"/>
      <c r="N44" s="123"/>
      <c r="O44" s="125"/>
      <c r="P44" s="125"/>
      <c r="Q44" s="123"/>
      <c r="R44" s="125"/>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5"/>
      <c r="BE44" s="125"/>
      <c r="BF44" s="125"/>
      <c r="BG44" s="125"/>
      <c r="BH44" s="123"/>
      <c r="BI44" s="123"/>
      <c r="BJ44" s="123"/>
      <c r="BK44" s="123"/>
      <c r="BL44" s="123"/>
      <c r="BM44" s="123"/>
      <c r="BN44" s="123"/>
      <c r="BO44" s="123"/>
      <c r="BP44" s="125"/>
    </row>
    <row r="45" ht="12.75"/>
    <row r="47" ht="12.75"/>
    <row r="48" ht="12.75"/>
    <row r="49" ht="12.75"/>
  </sheetData>
  <printOptions/>
  <pageMargins left="0.75" right="0.75" top="1" bottom="1" header="0.5" footer="0.5"/>
  <pageSetup fitToHeight="1" fitToWidth="1" horizontalDpi="600" verticalDpi="600" orientation="landscape" paperSize="3" scale="30" r:id="rId3"/>
  <legacyDrawing r:id="rId2"/>
</worksheet>
</file>

<file path=xl/worksheets/sheet6.xml><?xml version="1.0" encoding="utf-8"?>
<worksheet xmlns="http://schemas.openxmlformats.org/spreadsheetml/2006/main" xmlns:r="http://schemas.openxmlformats.org/officeDocument/2006/relationships">
  <dimension ref="B2:J50"/>
  <sheetViews>
    <sheetView workbookViewId="0" topLeftCell="A1">
      <selection activeCell="I44" sqref="I44"/>
    </sheetView>
  </sheetViews>
  <sheetFormatPr defaultColWidth="9.140625" defaultRowHeight="12.75"/>
  <cols>
    <col min="1" max="1" width="2.8515625" style="1" customWidth="1"/>
    <col min="2" max="2" width="2.421875" style="1" customWidth="1"/>
    <col min="3" max="3" width="2.57421875" style="1" customWidth="1"/>
    <col min="4" max="4" width="44.28125" style="1" customWidth="1"/>
    <col min="5" max="5" width="9.140625" style="1" customWidth="1"/>
    <col min="6" max="6" width="4.57421875" style="1" customWidth="1"/>
    <col min="7" max="7" width="3.57421875" style="1" customWidth="1"/>
    <col min="8" max="8" width="41.28125" style="1" bestFit="1" customWidth="1"/>
    <col min="9" max="9" width="9.140625" style="1" customWidth="1"/>
    <col min="10" max="10" width="3.00390625" style="1" customWidth="1"/>
    <col min="11" max="16384" width="9.140625" style="1" customWidth="1"/>
  </cols>
  <sheetData>
    <row r="1" ht="12.75"/>
    <row r="2" ht="12.75">
      <c r="B2" s="2" t="s">
        <v>116</v>
      </c>
    </row>
    <row r="3" spans="5:10" ht="12.75">
      <c r="E3" s="46"/>
      <c r="F3" s="46"/>
      <c r="I3" s="46"/>
      <c r="J3" s="46"/>
    </row>
    <row r="4" spans="2:10" ht="12.75">
      <c r="B4" s="19"/>
      <c r="C4" s="92" t="s">
        <v>24</v>
      </c>
      <c r="D4" s="20"/>
      <c r="E4" s="23"/>
      <c r="F4" s="21"/>
      <c r="H4" s="35" t="s">
        <v>102</v>
      </c>
      <c r="I4" s="6"/>
      <c r="J4" s="7"/>
    </row>
    <row r="5" spans="2:10" ht="12.75">
      <c r="B5" s="22"/>
      <c r="C5" s="94"/>
      <c r="D5" s="23"/>
      <c r="E5" s="103"/>
      <c r="F5" s="24"/>
      <c r="H5" s="9"/>
      <c r="I5" s="104"/>
      <c r="J5" s="7"/>
    </row>
    <row r="6" spans="2:10" ht="12.75">
      <c r="B6" s="22"/>
      <c r="C6" s="94"/>
      <c r="D6" s="23"/>
      <c r="E6" s="103"/>
      <c r="F6" s="24"/>
      <c r="H6" s="9"/>
      <c r="I6" s="6"/>
      <c r="J6" s="7"/>
    </row>
    <row r="7" spans="2:10" ht="12.75">
      <c r="B7" s="22"/>
      <c r="C7" s="23"/>
      <c r="D7" s="25" t="s">
        <v>114</v>
      </c>
      <c r="E7" s="29">
        <v>12036</v>
      </c>
      <c r="F7" s="24"/>
      <c r="H7" s="36" t="s">
        <v>87</v>
      </c>
      <c r="I7" s="12">
        <f>E8*E27*E36</f>
        <v>72717.6000000001</v>
      </c>
      <c r="J7" s="7"/>
    </row>
    <row r="8" spans="2:10" ht="12.75">
      <c r="B8" s="22"/>
      <c r="C8" s="23"/>
      <c r="D8" s="25" t="s">
        <v>87</v>
      </c>
      <c r="E8" s="30">
        <f>I28-E9</f>
        <v>443.40000000000055</v>
      </c>
      <c r="F8" s="24"/>
      <c r="H8" s="36" t="s">
        <v>88</v>
      </c>
      <c r="I8" s="12">
        <f>E9*E28*E37</f>
        <v>2079820.7999999998</v>
      </c>
      <c r="J8" s="7"/>
    </row>
    <row r="9" spans="2:10" ht="12.75">
      <c r="B9" s="22"/>
      <c r="C9" s="23"/>
      <c r="D9" s="25" t="s">
        <v>88</v>
      </c>
      <c r="E9" s="30">
        <f>0.6*E7</f>
        <v>7221.599999999999</v>
      </c>
      <c r="F9" s="24"/>
      <c r="H9" s="36" t="s">
        <v>92</v>
      </c>
      <c r="I9" s="12">
        <f>E10*E29*E38</f>
        <v>0</v>
      </c>
      <c r="J9" s="7"/>
    </row>
    <row r="10" spans="2:10" ht="12.75">
      <c r="B10" s="22"/>
      <c r="C10" s="23"/>
      <c r="D10" s="25" t="s">
        <v>92</v>
      </c>
      <c r="E10" s="29">
        <v>0</v>
      </c>
      <c r="F10" s="24"/>
      <c r="H10" s="36" t="s">
        <v>93</v>
      </c>
      <c r="I10" s="12">
        <f>E11*E30*E39</f>
        <v>2079820.7999999998</v>
      </c>
      <c r="J10" s="7"/>
    </row>
    <row r="11" spans="2:10" ht="12.75">
      <c r="B11" s="22"/>
      <c r="C11" s="23"/>
      <c r="D11" s="25" t="s">
        <v>93</v>
      </c>
      <c r="E11" s="96">
        <f>E9-E10</f>
        <v>7221.599999999999</v>
      </c>
      <c r="F11" s="24"/>
      <c r="H11" s="36" t="s">
        <v>89</v>
      </c>
      <c r="I11" s="12">
        <f>E12*E31*E40</f>
        <v>0</v>
      </c>
      <c r="J11" s="7"/>
    </row>
    <row r="12" spans="2:10" ht="12.75">
      <c r="B12" s="22"/>
      <c r="C12" s="23"/>
      <c r="D12" s="25" t="s">
        <v>89</v>
      </c>
      <c r="E12" s="29">
        <v>0</v>
      </c>
      <c r="F12" s="24"/>
      <c r="H12" s="36" t="s">
        <v>101</v>
      </c>
      <c r="I12" s="12">
        <f>E14*E32*E41</f>
        <v>187009.19999999984</v>
      </c>
      <c r="J12" s="7"/>
    </row>
    <row r="13" spans="2:10" ht="12.75">
      <c r="B13" s="22"/>
      <c r="C13" s="23"/>
      <c r="D13" s="25" t="s">
        <v>115</v>
      </c>
      <c r="E13" s="30">
        <f>0.3*E7</f>
        <v>3610.7999999999997</v>
      </c>
      <c r="F13" s="24"/>
      <c r="H13" s="36"/>
      <c r="I13" s="12"/>
      <c r="J13" s="7"/>
    </row>
    <row r="14" spans="2:10" ht="12.75">
      <c r="B14" s="22"/>
      <c r="C14" s="23"/>
      <c r="D14" s="25" t="s">
        <v>101</v>
      </c>
      <c r="E14" s="96">
        <f>E7-E8-E9-E12-E13</f>
        <v>760.1999999999994</v>
      </c>
      <c r="F14" s="24"/>
      <c r="H14" s="5" t="s">
        <v>103</v>
      </c>
      <c r="I14" s="12">
        <f>SUM(I7:I12)</f>
        <v>4419368.399999999</v>
      </c>
      <c r="J14" s="7"/>
    </row>
    <row r="15" spans="2:10" ht="12.75">
      <c r="B15" s="22"/>
      <c r="C15" s="23"/>
      <c r="D15" s="25" t="s">
        <v>90</v>
      </c>
      <c r="E15" s="23"/>
      <c r="F15" s="24"/>
      <c r="H15" s="16"/>
      <c r="I15" s="17"/>
      <c r="J15" s="18"/>
    </row>
    <row r="16" spans="2:6" ht="12.75">
      <c r="B16" s="22"/>
      <c r="C16" s="23"/>
      <c r="D16" s="25" t="s">
        <v>87</v>
      </c>
      <c r="E16" s="93">
        <f aca="true" t="shared" si="0" ref="E16:E22">E8/E$7</f>
        <v>0.03683948155533404</v>
      </c>
      <c r="F16" s="24"/>
    </row>
    <row r="17" spans="2:10" ht="12.75">
      <c r="B17" s="22"/>
      <c r="C17" s="23"/>
      <c r="D17" s="25" t="s">
        <v>88</v>
      </c>
      <c r="E17" s="93">
        <f t="shared" si="0"/>
        <v>0.6</v>
      </c>
      <c r="F17" s="24"/>
      <c r="H17" s="40" t="s">
        <v>109</v>
      </c>
      <c r="I17" s="41"/>
      <c r="J17" s="99"/>
    </row>
    <row r="18" spans="2:10" ht="12.75">
      <c r="B18" s="22"/>
      <c r="C18" s="23"/>
      <c r="D18" s="25" t="s">
        <v>92</v>
      </c>
      <c r="E18" s="93">
        <f t="shared" si="0"/>
        <v>0</v>
      </c>
      <c r="F18" s="24"/>
      <c r="H18" s="47"/>
      <c r="I18" s="108"/>
      <c r="J18" s="50"/>
    </row>
    <row r="19" spans="2:10" ht="12.75">
      <c r="B19" s="22"/>
      <c r="C19" s="23"/>
      <c r="D19" s="25" t="s">
        <v>93</v>
      </c>
      <c r="E19" s="93">
        <f t="shared" si="0"/>
        <v>0.6</v>
      </c>
      <c r="F19" s="24"/>
      <c r="H19" s="47"/>
      <c r="I19" s="43"/>
      <c r="J19" s="50"/>
    </row>
    <row r="20" spans="2:10" ht="12.75">
      <c r="B20" s="22"/>
      <c r="C20" s="23"/>
      <c r="D20" s="25" t="s">
        <v>89</v>
      </c>
      <c r="E20" s="93">
        <f t="shared" si="0"/>
        <v>0</v>
      </c>
      <c r="F20" s="24"/>
      <c r="H20" s="100" t="s">
        <v>104</v>
      </c>
      <c r="I20" s="49">
        <v>150</v>
      </c>
      <c r="J20" s="50"/>
    </row>
    <row r="21" spans="2:10" ht="12.75">
      <c r="B21" s="22"/>
      <c r="C21" s="23"/>
      <c r="D21" s="25" t="s">
        <v>115</v>
      </c>
      <c r="E21" s="93">
        <f t="shared" si="0"/>
        <v>0.3</v>
      </c>
      <c r="F21" s="24"/>
      <c r="H21" s="100" t="s">
        <v>105</v>
      </c>
      <c r="I21" s="49">
        <v>0</v>
      </c>
      <c r="J21" s="50"/>
    </row>
    <row r="22" spans="2:10" ht="12.75">
      <c r="B22" s="22"/>
      <c r="C22" s="23"/>
      <c r="D22" s="25" t="s">
        <v>112</v>
      </c>
      <c r="E22" s="93">
        <f t="shared" si="0"/>
        <v>0.06316051844466596</v>
      </c>
      <c r="F22" s="24"/>
      <c r="H22" s="100" t="s">
        <v>106</v>
      </c>
      <c r="I22" s="43">
        <f>I20+I21</f>
        <v>150</v>
      </c>
      <c r="J22" s="50"/>
    </row>
    <row r="23" spans="2:10" ht="12.75">
      <c r="B23" s="22"/>
      <c r="C23" s="23"/>
      <c r="D23" s="25" t="s">
        <v>91</v>
      </c>
      <c r="E23" s="93">
        <f>E16+E17+E20+E21+E22</f>
        <v>1</v>
      </c>
      <c r="F23" s="24"/>
      <c r="H23" s="100"/>
      <c r="I23" s="43"/>
      <c r="J23" s="50"/>
    </row>
    <row r="24" spans="2:10" ht="12.75">
      <c r="B24" s="22"/>
      <c r="C24" s="23"/>
      <c r="D24" s="25"/>
      <c r="E24" s="23"/>
      <c r="F24" s="24"/>
      <c r="H24" s="100"/>
      <c r="I24" s="43"/>
      <c r="J24" s="50"/>
    </row>
    <row r="25" spans="2:10" ht="12.75">
      <c r="B25" s="22"/>
      <c r="C25" s="94" t="s">
        <v>94</v>
      </c>
      <c r="D25" s="25"/>
      <c r="E25" s="23"/>
      <c r="F25" s="24"/>
      <c r="H25" s="100" t="s">
        <v>107</v>
      </c>
      <c r="I25" s="43">
        <f>I22*365</f>
        <v>54750</v>
      </c>
      <c r="J25" s="50"/>
    </row>
    <row r="26" spans="2:10" ht="12.75">
      <c r="B26" s="22"/>
      <c r="C26" s="94"/>
      <c r="D26" s="25" t="s">
        <v>98</v>
      </c>
      <c r="E26" s="23"/>
      <c r="F26" s="24"/>
      <c r="H26" s="100" t="s">
        <v>108</v>
      </c>
      <c r="I26" s="105">
        <v>0.35</v>
      </c>
      <c r="J26" s="50"/>
    </row>
    <row r="27" spans="2:10" ht="12.75">
      <c r="B27" s="22"/>
      <c r="C27" s="23"/>
      <c r="D27" s="25" t="s">
        <v>73</v>
      </c>
      <c r="E27" s="98">
        <v>82</v>
      </c>
      <c r="F27" s="24"/>
      <c r="H27" s="100" t="s">
        <v>111</v>
      </c>
      <c r="I27" s="105">
        <v>1</v>
      </c>
      <c r="J27" s="50"/>
    </row>
    <row r="28" spans="2:10" ht="25.5">
      <c r="B28" s="22"/>
      <c r="C28" s="23"/>
      <c r="D28" s="25" t="s">
        <v>95</v>
      </c>
      <c r="E28" s="98">
        <f>'ERR &amp; Sensitivity Analysis'!G15</f>
        <v>96</v>
      </c>
      <c r="F28" s="24"/>
      <c r="H28" s="101" t="s">
        <v>110</v>
      </c>
      <c r="I28" s="106">
        <f>I25*I27*I26/(AVERAGE(E36:E37))</f>
        <v>7665</v>
      </c>
      <c r="J28" s="68"/>
    </row>
    <row r="29" spans="2:6" ht="12.75">
      <c r="B29" s="22"/>
      <c r="C29" s="23"/>
      <c r="D29" s="25" t="s">
        <v>96</v>
      </c>
      <c r="E29" s="98">
        <v>109</v>
      </c>
      <c r="F29" s="24"/>
    </row>
    <row r="30" spans="2:10" ht="12.75">
      <c r="B30" s="22"/>
      <c r="C30" s="23"/>
      <c r="D30" s="25" t="s">
        <v>97</v>
      </c>
      <c r="E30" s="98">
        <v>96</v>
      </c>
      <c r="F30" s="24"/>
      <c r="H30" s="146"/>
      <c r="I30" s="415"/>
      <c r="J30" s="3"/>
    </row>
    <row r="31" spans="2:10" ht="12.75">
      <c r="B31" s="22"/>
      <c r="C31" s="23"/>
      <c r="D31" s="25" t="s">
        <v>75</v>
      </c>
      <c r="E31" s="98">
        <v>82</v>
      </c>
      <c r="F31" s="24"/>
      <c r="H31" s="3"/>
      <c r="I31" s="144"/>
      <c r="J31" s="3"/>
    </row>
    <row r="32" spans="2:10" ht="12.75">
      <c r="B32" s="22"/>
      <c r="C32" s="23"/>
      <c r="D32" s="25" t="s">
        <v>3</v>
      </c>
      <c r="E32" s="98">
        <v>82</v>
      </c>
      <c r="F32" s="24"/>
      <c r="H32" s="3"/>
      <c r="I32" s="3"/>
      <c r="J32" s="3"/>
    </row>
    <row r="33" spans="2:10" ht="12.75">
      <c r="B33" s="22"/>
      <c r="C33" s="23"/>
      <c r="D33" s="25"/>
      <c r="E33" s="23"/>
      <c r="F33" s="24"/>
      <c r="H33" s="145"/>
      <c r="I33" s="3"/>
      <c r="J33" s="3"/>
    </row>
    <row r="34" spans="2:10" ht="12.75">
      <c r="B34" s="22"/>
      <c r="C34" s="94" t="s">
        <v>99</v>
      </c>
      <c r="D34" s="25"/>
      <c r="E34" s="23"/>
      <c r="F34" s="24"/>
      <c r="H34" s="146"/>
      <c r="I34" s="34"/>
      <c r="J34" s="3"/>
    </row>
    <row r="35" spans="2:10" ht="12.75">
      <c r="B35" s="22"/>
      <c r="C35" s="94"/>
      <c r="D35" s="25" t="s">
        <v>100</v>
      </c>
      <c r="E35" s="23"/>
      <c r="F35" s="24"/>
      <c r="H35" s="146"/>
      <c r="I35" s="34"/>
      <c r="J35" s="3"/>
    </row>
    <row r="36" spans="2:10" ht="12.75">
      <c r="B36" s="22"/>
      <c r="C36" s="23"/>
      <c r="D36" s="25" t="s">
        <v>73</v>
      </c>
      <c r="E36" s="29">
        <v>2</v>
      </c>
      <c r="F36" s="24"/>
      <c r="H36" s="146"/>
      <c r="I36" s="34"/>
      <c r="J36" s="3"/>
    </row>
    <row r="37" spans="2:10" ht="12.75">
      <c r="B37" s="22"/>
      <c r="C37" s="23"/>
      <c r="D37" s="25" t="s">
        <v>95</v>
      </c>
      <c r="E37" s="30">
        <f>'ERR &amp; Sensitivity Analysis'!G14</f>
        <v>3</v>
      </c>
      <c r="F37" s="24"/>
      <c r="H37" s="146"/>
      <c r="I37" s="34"/>
      <c r="J37" s="3"/>
    </row>
    <row r="38" spans="2:10" ht="12.75">
      <c r="B38" s="22"/>
      <c r="C38" s="23"/>
      <c r="D38" s="25" t="s">
        <v>96</v>
      </c>
      <c r="E38" s="29">
        <v>3</v>
      </c>
      <c r="F38" s="24"/>
      <c r="H38" s="146"/>
      <c r="I38" s="34"/>
      <c r="J38" s="3"/>
    </row>
    <row r="39" spans="2:10" ht="12.75">
      <c r="B39" s="22"/>
      <c r="C39" s="23"/>
      <c r="D39" s="25" t="s">
        <v>97</v>
      </c>
      <c r="E39" s="29">
        <v>3</v>
      </c>
      <c r="F39" s="24"/>
      <c r="H39" s="146"/>
      <c r="I39" s="34"/>
      <c r="J39" s="3"/>
    </row>
    <row r="40" spans="2:10" ht="12.75">
      <c r="B40" s="22"/>
      <c r="C40" s="23"/>
      <c r="D40" s="25" t="s">
        <v>75</v>
      </c>
      <c r="E40" s="29">
        <v>5</v>
      </c>
      <c r="F40" s="24"/>
      <c r="H40" s="146"/>
      <c r="I40" s="34"/>
      <c r="J40" s="3"/>
    </row>
    <row r="41" spans="2:10" ht="12.75">
      <c r="B41" s="22"/>
      <c r="C41" s="23"/>
      <c r="D41" s="25" t="s">
        <v>3</v>
      </c>
      <c r="E41" s="29">
        <v>3</v>
      </c>
      <c r="F41" s="24"/>
      <c r="H41" s="3"/>
      <c r="I41" s="3"/>
      <c r="J41" s="3"/>
    </row>
    <row r="42" spans="2:10" ht="12.75">
      <c r="B42" s="26"/>
      <c r="C42" s="27"/>
      <c r="D42" s="97"/>
      <c r="E42" s="27"/>
      <c r="F42" s="28"/>
      <c r="H42" s="3"/>
      <c r="I42" s="3"/>
      <c r="J42" s="3"/>
    </row>
    <row r="43" spans="3:10" ht="12.75">
      <c r="C43" s="2"/>
      <c r="H43" s="146"/>
      <c r="I43" s="3"/>
      <c r="J43" s="3"/>
    </row>
    <row r="44" spans="3:10" ht="12.75">
      <c r="C44" s="2"/>
      <c r="H44" s="146"/>
      <c r="I44" s="3"/>
      <c r="J44" s="3"/>
    </row>
    <row r="45" spans="4:10" ht="12.75">
      <c r="D45" s="91"/>
      <c r="E45" s="91"/>
      <c r="F45" s="91"/>
      <c r="H45" s="146"/>
      <c r="I45" s="3"/>
      <c r="J45" s="3"/>
    </row>
    <row r="46" spans="8:10" ht="12.75">
      <c r="H46" s="146"/>
      <c r="I46" s="3"/>
      <c r="J46" s="3"/>
    </row>
    <row r="47" spans="8:10" ht="12.75">
      <c r="H47" s="146"/>
      <c r="I47" s="3"/>
      <c r="J47" s="3"/>
    </row>
    <row r="48" spans="8:10" ht="12.75">
      <c r="H48" s="146"/>
      <c r="I48" s="3"/>
      <c r="J48" s="3"/>
    </row>
    <row r="49" spans="8:10" ht="12.75">
      <c r="H49" s="146"/>
      <c r="I49" s="3"/>
      <c r="J49" s="3"/>
    </row>
    <row r="50" spans="8:10" ht="12.75">
      <c r="H50" s="3"/>
      <c r="I50" s="3"/>
      <c r="J50" s="3"/>
    </row>
  </sheetData>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2:K48"/>
  <sheetViews>
    <sheetView workbookViewId="0" topLeftCell="A1">
      <selection activeCell="A1" sqref="A1"/>
    </sheetView>
  </sheetViews>
  <sheetFormatPr defaultColWidth="9.140625" defaultRowHeight="12.75"/>
  <cols>
    <col min="1" max="1" width="3.7109375" style="1" customWidth="1"/>
    <col min="2" max="2" width="3.8515625" style="1" customWidth="1"/>
    <col min="3" max="3" width="3.421875" style="1" customWidth="1"/>
    <col min="4" max="4" width="30.421875" style="1" customWidth="1"/>
    <col min="5" max="8" width="10.7109375" style="1" customWidth="1"/>
    <col min="9" max="10" width="12.7109375" style="1" customWidth="1"/>
    <col min="11" max="11" width="3.421875" style="1" customWidth="1"/>
    <col min="12" max="16384" width="9.140625" style="1" customWidth="1"/>
  </cols>
  <sheetData>
    <row r="1" ht="12.75"/>
    <row r="2" spans="2:4" ht="12.75">
      <c r="B2" s="499" t="s">
        <v>172</v>
      </c>
      <c r="C2" s="499"/>
      <c r="D2" s="499"/>
    </row>
    <row r="3" spans="5:10" ht="12.75">
      <c r="E3" s="46"/>
      <c r="F3" s="46"/>
      <c r="G3" s="46"/>
      <c r="H3" s="46"/>
      <c r="I3" s="46"/>
      <c r="J3" s="46"/>
    </row>
    <row r="4" spans="2:11" ht="12.75">
      <c r="B4" s="19"/>
      <c r="C4" s="498" t="s">
        <v>171</v>
      </c>
      <c r="D4" s="498"/>
      <c r="E4" s="23"/>
      <c r="F4" s="23"/>
      <c r="G4" s="23"/>
      <c r="H4" s="23"/>
      <c r="I4" s="23"/>
      <c r="J4" s="23"/>
      <c r="K4" s="21"/>
    </row>
    <row r="5" spans="2:11" ht="12.75">
      <c r="B5" s="22"/>
      <c r="C5" s="94"/>
      <c r="D5" s="23"/>
      <c r="E5" s="23"/>
      <c r="F5" s="103"/>
      <c r="G5" s="103"/>
      <c r="H5" s="103"/>
      <c r="I5" s="103"/>
      <c r="J5" s="103"/>
      <c r="K5" s="24"/>
    </row>
    <row r="6" spans="2:11" ht="12.75">
      <c r="B6" s="22"/>
      <c r="C6" s="94"/>
      <c r="D6" s="23"/>
      <c r="E6" s="142">
        <v>2003</v>
      </c>
      <c r="F6" s="142">
        <v>2004</v>
      </c>
      <c r="G6" s="142">
        <v>2005</v>
      </c>
      <c r="H6" s="142" t="s">
        <v>52</v>
      </c>
      <c r="I6" s="142" t="s">
        <v>178</v>
      </c>
      <c r="J6" s="142" t="s">
        <v>179</v>
      </c>
      <c r="K6" s="24"/>
    </row>
    <row r="7" spans="2:11" ht="12.75">
      <c r="B7" s="22"/>
      <c r="C7" s="94"/>
      <c r="D7" s="23"/>
      <c r="E7" s="23"/>
      <c r="F7" s="103"/>
      <c r="G7" s="103"/>
      <c r="H7" s="103"/>
      <c r="I7" s="103"/>
      <c r="J7" s="103"/>
      <c r="K7" s="24"/>
    </row>
    <row r="8" spans="2:11" ht="12.75">
      <c r="B8" s="22"/>
      <c r="C8" s="23"/>
      <c r="D8" s="25" t="s">
        <v>173</v>
      </c>
      <c r="E8" s="23"/>
      <c r="F8" s="30"/>
      <c r="G8" s="30"/>
      <c r="H8" s="30"/>
      <c r="I8" s="30"/>
      <c r="J8" s="30"/>
      <c r="K8" s="24"/>
    </row>
    <row r="9" spans="2:11" ht="12.75">
      <c r="B9" s="22"/>
      <c r="C9" s="23"/>
      <c r="D9" s="25" t="s">
        <v>168</v>
      </c>
      <c r="E9" s="102">
        <f>E10+E11</f>
        <v>0</v>
      </c>
      <c r="F9" s="102">
        <f>F10+F11</f>
        <v>0</v>
      </c>
      <c r="G9" s="102">
        <f>G10+G11</f>
        <v>0</v>
      </c>
      <c r="H9" s="102">
        <f>AVERAGE(E9:G9)</f>
        <v>0</v>
      </c>
      <c r="I9" s="141">
        <v>0</v>
      </c>
      <c r="J9" s="141">
        <v>0</v>
      </c>
      <c r="K9" s="24"/>
    </row>
    <row r="10" spans="2:11" ht="12.75">
      <c r="B10" s="22"/>
      <c r="C10" s="23"/>
      <c r="D10" s="25" t="s">
        <v>169</v>
      </c>
      <c r="E10" s="30">
        <v>0</v>
      </c>
      <c r="F10" s="30">
        <v>0</v>
      </c>
      <c r="G10" s="30">
        <v>0</v>
      </c>
      <c r="H10" s="102">
        <f aca="true" t="shared" si="0" ref="H10:H18">AVERAGE(E10:G10)</f>
        <v>0</v>
      </c>
      <c r="I10" s="141">
        <v>0</v>
      </c>
      <c r="J10" s="141">
        <v>0</v>
      </c>
      <c r="K10" s="24"/>
    </row>
    <row r="11" spans="2:11" ht="12.75">
      <c r="B11" s="22"/>
      <c r="C11" s="23"/>
      <c r="D11" s="25" t="s">
        <v>170</v>
      </c>
      <c r="E11" s="30">
        <v>0</v>
      </c>
      <c r="F11" s="30">
        <v>0</v>
      </c>
      <c r="G11" s="30">
        <v>0</v>
      </c>
      <c r="H11" s="102">
        <f t="shared" si="0"/>
        <v>0</v>
      </c>
      <c r="I11" s="141">
        <v>0</v>
      </c>
      <c r="J11" s="141">
        <v>0</v>
      </c>
      <c r="K11" s="24"/>
    </row>
    <row r="12" spans="2:11" ht="12.75">
      <c r="B12" s="22"/>
      <c r="C12" s="23"/>
      <c r="D12" s="25" t="s">
        <v>176</v>
      </c>
      <c r="E12" s="102">
        <f>E13+E14</f>
        <v>4.9</v>
      </c>
      <c r="F12" s="102">
        <f>F13+F14</f>
        <v>32</v>
      </c>
      <c r="G12" s="102">
        <f>G13+G14</f>
        <v>80.6</v>
      </c>
      <c r="H12" s="102">
        <f t="shared" si="0"/>
        <v>39.166666666666664</v>
      </c>
      <c r="I12" s="141">
        <f>(LN(G12)-LN(E12))/2</f>
        <v>1.400131722198001</v>
      </c>
      <c r="J12" s="141">
        <f>(LN(G12)-LN(F12))/2</f>
        <v>0.4618813733564282</v>
      </c>
      <c r="K12" s="24"/>
    </row>
    <row r="13" spans="2:11" ht="12.75">
      <c r="B13" s="22"/>
      <c r="C13" s="23"/>
      <c r="D13" s="25" t="s">
        <v>169</v>
      </c>
      <c r="E13" s="30">
        <v>1.1</v>
      </c>
      <c r="F13" s="30">
        <v>21.6</v>
      </c>
      <c r="G13" s="30">
        <v>40.3</v>
      </c>
      <c r="H13" s="102">
        <f t="shared" si="0"/>
        <v>21</v>
      </c>
      <c r="I13" s="141">
        <f>(LN(G13)-LN(E13))/2</f>
        <v>1.8005206445741562</v>
      </c>
      <c r="J13" s="141">
        <f>(LN(G13)-LN(F13))/2</f>
        <v>0.31182907713125885</v>
      </c>
      <c r="K13" s="24"/>
    </row>
    <row r="14" spans="2:11" ht="12.75">
      <c r="B14" s="22"/>
      <c r="C14" s="23"/>
      <c r="D14" s="25" t="s">
        <v>170</v>
      </c>
      <c r="E14" s="30">
        <v>3.8</v>
      </c>
      <c r="F14" s="30">
        <v>10.4</v>
      </c>
      <c r="G14" s="30">
        <v>40.3</v>
      </c>
      <c r="H14" s="102">
        <f t="shared" si="0"/>
        <v>18.166666666666668</v>
      </c>
      <c r="I14" s="141">
        <f>(LN(G14)-LN(E14))/2</f>
        <v>1.1806752011101485</v>
      </c>
      <c r="J14" s="141">
        <f>(LN(G14)-LN(F14))/2</f>
        <v>0.677272831402655</v>
      </c>
      <c r="K14" s="24"/>
    </row>
    <row r="15" spans="2:11" ht="12.75">
      <c r="B15" s="22"/>
      <c r="C15" s="23"/>
      <c r="D15" s="25" t="s">
        <v>177</v>
      </c>
      <c r="E15" s="102">
        <f>E16+E17</f>
        <v>0</v>
      </c>
      <c r="F15" s="102">
        <f>F16+F17</f>
        <v>0</v>
      </c>
      <c r="G15" s="102">
        <f>G16+G17</f>
        <v>0</v>
      </c>
      <c r="H15" s="102">
        <f t="shared" si="0"/>
        <v>0</v>
      </c>
      <c r="I15" s="141">
        <v>0</v>
      </c>
      <c r="J15" s="141">
        <v>0</v>
      </c>
      <c r="K15" s="24"/>
    </row>
    <row r="16" spans="2:11" ht="12.75">
      <c r="B16" s="22"/>
      <c r="C16" s="23"/>
      <c r="D16" s="25" t="s">
        <v>169</v>
      </c>
      <c r="E16" s="30">
        <v>0</v>
      </c>
      <c r="F16" s="30">
        <v>0</v>
      </c>
      <c r="G16" s="30">
        <v>0</v>
      </c>
      <c r="H16" s="102">
        <f t="shared" si="0"/>
        <v>0</v>
      </c>
      <c r="I16" s="141">
        <v>0</v>
      </c>
      <c r="J16" s="141">
        <v>0</v>
      </c>
      <c r="K16" s="24"/>
    </row>
    <row r="17" spans="2:11" ht="12.75">
      <c r="B17" s="22"/>
      <c r="C17" s="23"/>
      <c r="D17" s="25" t="s">
        <v>170</v>
      </c>
      <c r="E17" s="30">
        <v>0</v>
      </c>
      <c r="F17" s="30">
        <v>0</v>
      </c>
      <c r="G17" s="30">
        <v>0</v>
      </c>
      <c r="H17" s="102">
        <f t="shared" si="0"/>
        <v>0</v>
      </c>
      <c r="I17" s="141">
        <v>0</v>
      </c>
      <c r="J17" s="141">
        <v>0</v>
      </c>
      <c r="K17" s="24"/>
    </row>
    <row r="18" spans="2:11" ht="12.75">
      <c r="B18" s="22"/>
      <c r="C18" s="23"/>
      <c r="D18" s="25" t="s">
        <v>103</v>
      </c>
      <c r="E18" s="102">
        <f>E9+E12+E15</f>
        <v>4.9</v>
      </c>
      <c r="F18" s="102">
        <f>F9+F12+F15</f>
        <v>32</v>
      </c>
      <c r="G18" s="102">
        <f>G9+G12+G15</f>
        <v>80.6</v>
      </c>
      <c r="H18" s="102">
        <f t="shared" si="0"/>
        <v>39.166666666666664</v>
      </c>
      <c r="I18" s="141">
        <f>(LN(G18)-LN(E18))/2</f>
        <v>1.400131722198001</v>
      </c>
      <c r="J18" s="141">
        <f>(LN(G18)-LN(F18))/2</f>
        <v>0.4618813733564282</v>
      </c>
      <c r="K18" s="24"/>
    </row>
    <row r="19" spans="2:11" ht="12.75">
      <c r="B19" s="22"/>
      <c r="C19" s="23"/>
      <c r="D19" s="25"/>
      <c r="E19" s="30"/>
      <c r="F19" s="30"/>
      <c r="G19" s="30"/>
      <c r="H19" s="30"/>
      <c r="I19" s="30"/>
      <c r="J19" s="30"/>
      <c r="K19" s="24"/>
    </row>
    <row r="20" spans="2:11" ht="12.75">
      <c r="B20" s="22"/>
      <c r="C20" s="23"/>
      <c r="D20" s="25" t="s">
        <v>174</v>
      </c>
      <c r="E20" s="30"/>
      <c r="F20" s="30"/>
      <c r="G20" s="30"/>
      <c r="H20" s="30"/>
      <c r="I20" s="30"/>
      <c r="J20" s="30"/>
      <c r="K20" s="24"/>
    </row>
    <row r="21" spans="2:11" ht="12.75">
      <c r="B21" s="22"/>
      <c r="C21" s="23"/>
      <c r="D21" s="25" t="s">
        <v>168</v>
      </c>
      <c r="E21" s="102">
        <f>E22+E23</f>
        <v>0</v>
      </c>
      <c r="F21" s="102">
        <f>F22+F23</f>
        <v>0</v>
      </c>
      <c r="G21" s="102">
        <f>G22+G23</f>
        <v>0</v>
      </c>
      <c r="H21" s="102">
        <f>AVERAGE(E21:G21)</f>
        <v>0</v>
      </c>
      <c r="I21" s="141">
        <v>0</v>
      </c>
      <c r="J21" s="141">
        <v>0</v>
      </c>
      <c r="K21" s="24"/>
    </row>
    <row r="22" spans="2:11" ht="12.75">
      <c r="B22" s="22"/>
      <c r="C22" s="23"/>
      <c r="D22" s="25" t="s">
        <v>169</v>
      </c>
      <c r="E22" s="30">
        <v>0</v>
      </c>
      <c r="F22" s="30">
        <v>0</v>
      </c>
      <c r="G22" s="30">
        <v>0</v>
      </c>
      <c r="H22" s="102">
        <f aca="true" t="shared" si="1" ref="H22:H30">AVERAGE(E22:G22)</f>
        <v>0</v>
      </c>
      <c r="I22" s="141">
        <v>0</v>
      </c>
      <c r="J22" s="141">
        <v>0</v>
      </c>
      <c r="K22" s="24"/>
    </row>
    <row r="23" spans="2:11" ht="12.75">
      <c r="B23" s="22"/>
      <c r="C23" s="23"/>
      <c r="D23" s="25" t="s">
        <v>170</v>
      </c>
      <c r="E23" s="30">
        <v>0</v>
      </c>
      <c r="F23" s="30">
        <v>0</v>
      </c>
      <c r="G23" s="30">
        <v>0</v>
      </c>
      <c r="H23" s="102">
        <f t="shared" si="1"/>
        <v>0</v>
      </c>
      <c r="I23" s="141">
        <v>0</v>
      </c>
      <c r="J23" s="141">
        <v>0</v>
      </c>
      <c r="K23" s="24"/>
    </row>
    <row r="24" spans="2:11" ht="12.75">
      <c r="B24" s="22"/>
      <c r="C24" s="23"/>
      <c r="D24" s="25" t="s">
        <v>176</v>
      </c>
      <c r="E24" s="102">
        <f>E25+E26</f>
        <v>4.9</v>
      </c>
      <c r="F24" s="102">
        <f>F25+F26</f>
        <v>61.9</v>
      </c>
      <c r="G24" s="102">
        <f>G25+G26</f>
        <v>80.6</v>
      </c>
      <c r="H24" s="102">
        <f t="shared" si="1"/>
        <v>49.133333333333326</v>
      </c>
      <c r="I24" s="141">
        <f>(LN(G24)-LN(E24))/2</f>
        <v>1.400131722198001</v>
      </c>
      <c r="J24" s="141">
        <f>(LN(G24)-LN(F24))/2</f>
        <v>0.13198923491101633</v>
      </c>
      <c r="K24" s="24"/>
    </row>
    <row r="25" spans="2:11" ht="12.75">
      <c r="B25" s="22"/>
      <c r="C25" s="23"/>
      <c r="D25" s="25" t="s">
        <v>169</v>
      </c>
      <c r="E25" s="30">
        <v>1.1</v>
      </c>
      <c r="F25" s="30">
        <v>21.6</v>
      </c>
      <c r="G25" s="30">
        <v>40.3</v>
      </c>
      <c r="H25" s="102">
        <f t="shared" si="1"/>
        <v>21</v>
      </c>
      <c r="I25" s="141">
        <f>(LN(G25)-LN(E25))/2</f>
        <v>1.8005206445741562</v>
      </c>
      <c r="J25" s="141">
        <f>(LN(G25)-LN(F25))/2</f>
        <v>0.31182907713125885</v>
      </c>
      <c r="K25" s="24"/>
    </row>
    <row r="26" spans="2:11" ht="12.75">
      <c r="B26" s="22"/>
      <c r="C26" s="23"/>
      <c r="D26" s="25" t="s">
        <v>170</v>
      </c>
      <c r="E26" s="30">
        <v>3.8</v>
      </c>
      <c r="F26" s="98">
        <v>40.3</v>
      </c>
      <c r="G26" s="98">
        <v>40.3</v>
      </c>
      <c r="H26" s="102">
        <f t="shared" si="1"/>
        <v>28.13333333333333</v>
      </c>
      <c r="I26" s="141">
        <f>(LN(G26)-LN(E26))/2</f>
        <v>1.1806752011101485</v>
      </c>
      <c r="J26" s="141">
        <f>(LN(G26)-LN(F26))/2</f>
        <v>0</v>
      </c>
      <c r="K26" s="139"/>
    </row>
    <row r="27" spans="2:11" ht="12.75">
      <c r="B27" s="22"/>
      <c r="C27" s="23"/>
      <c r="D27" s="25" t="s">
        <v>177</v>
      </c>
      <c r="E27" s="102">
        <f>E28+E29</f>
        <v>0</v>
      </c>
      <c r="F27" s="102">
        <f>F28+F29</f>
        <v>0</v>
      </c>
      <c r="G27" s="102">
        <f>G28+G29</f>
        <v>0</v>
      </c>
      <c r="H27" s="102">
        <f t="shared" si="1"/>
        <v>0</v>
      </c>
      <c r="I27" s="141">
        <v>0</v>
      </c>
      <c r="J27" s="141">
        <v>0</v>
      </c>
      <c r="K27" s="24"/>
    </row>
    <row r="28" spans="2:11" ht="12.75">
      <c r="B28" s="22"/>
      <c r="C28" s="23"/>
      <c r="D28" s="25" t="s">
        <v>169</v>
      </c>
      <c r="E28" s="30">
        <v>0</v>
      </c>
      <c r="F28" s="98">
        <v>0</v>
      </c>
      <c r="G28" s="98">
        <v>0</v>
      </c>
      <c r="H28" s="102">
        <f t="shared" si="1"/>
        <v>0</v>
      </c>
      <c r="I28" s="141">
        <v>0</v>
      </c>
      <c r="J28" s="141">
        <v>0</v>
      </c>
      <c r="K28" s="24"/>
    </row>
    <row r="29" spans="2:11" ht="12.75">
      <c r="B29" s="22"/>
      <c r="C29" s="23"/>
      <c r="D29" s="25" t="s">
        <v>170</v>
      </c>
      <c r="E29" s="30">
        <v>0</v>
      </c>
      <c r="F29" s="98">
        <v>0</v>
      </c>
      <c r="G29" s="98">
        <v>0</v>
      </c>
      <c r="H29" s="102">
        <f t="shared" si="1"/>
        <v>0</v>
      </c>
      <c r="I29" s="141">
        <v>0</v>
      </c>
      <c r="J29" s="141">
        <v>0</v>
      </c>
      <c r="K29" s="24"/>
    </row>
    <row r="30" spans="2:11" ht="12.75">
      <c r="B30" s="22"/>
      <c r="C30" s="23"/>
      <c r="D30" s="25" t="s">
        <v>103</v>
      </c>
      <c r="E30" s="102">
        <f>E21+E24+E27</f>
        <v>4.9</v>
      </c>
      <c r="F30" s="102">
        <f>F21+F24+F27</f>
        <v>61.9</v>
      </c>
      <c r="G30" s="102">
        <f>G21+G24+G27</f>
        <v>80.6</v>
      </c>
      <c r="H30" s="102">
        <f t="shared" si="1"/>
        <v>49.133333333333326</v>
      </c>
      <c r="I30" s="141">
        <f>(LN(G30)-LN(E30))/2</f>
        <v>1.400131722198001</v>
      </c>
      <c r="J30" s="141">
        <f>(LN(G30)-LN(F30))/2</f>
        <v>0.13198923491101633</v>
      </c>
      <c r="K30" s="24"/>
    </row>
    <row r="31" spans="2:11" ht="12.75">
      <c r="B31" s="22"/>
      <c r="C31" s="23"/>
      <c r="D31" s="25"/>
      <c r="E31" s="96"/>
      <c r="F31" s="95"/>
      <c r="G31" s="95"/>
      <c r="H31" s="95"/>
      <c r="I31" s="95"/>
      <c r="J31" s="95"/>
      <c r="K31" s="24"/>
    </row>
    <row r="32" spans="2:11" ht="12.75">
      <c r="B32" s="22"/>
      <c r="C32" s="23"/>
      <c r="D32" s="25" t="s">
        <v>175</v>
      </c>
      <c r="E32" s="96"/>
      <c r="F32" s="95"/>
      <c r="G32" s="95"/>
      <c r="H32" s="95"/>
      <c r="I32" s="95"/>
      <c r="J32" s="95"/>
      <c r="K32" s="24"/>
    </row>
    <row r="33" spans="2:11" ht="12.75">
      <c r="B33" s="22"/>
      <c r="C33" s="23"/>
      <c r="D33" s="25" t="s">
        <v>168</v>
      </c>
      <c r="E33" s="140">
        <f>E34+E35</f>
        <v>0</v>
      </c>
      <c r="F33" s="140">
        <f>F34+F35</f>
        <v>0</v>
      </c>
      <c r="G33" s="140">
        <f>G34+G35</f>
        <v>0</v>
      </c>
      <c r="H33" s="102">
        <f>AVERAGE(E33:G33)</f>
        <v>0</v>
      </c>
      <c r="I33" s="141">
        <v>0</v>
      </c>
      <c r="J33" s="141">
        <v>0</v>
      </c>
      <c r="K33" s="24"/>
    </row>
    <row r="34" spans="2:11" ht="12.75">
      <c r="B34" s="22"/>
      <c r="C34" s="23"/>
      <c r="D34" s="25" t="s">
        <v>169</v>
      </c>
      <c r="E34" s="30">
        <v>0</v>
      </c>
      <c r="F34" s="98">
        <v>0</v>
      </c>
      <c r="G34" s="98">
        <v>0</v>
      </c>
      <c r="H34" s="102">
        <f>AVERAGE(E34:G34)</f>
        <v>0</v>
      </c>
      <c r="I34" s="141">
        <v>0</v>
      </c>
      <c r="J34" s="141">
        <v>0</v>
      </c>
      <c r="K34" s="139"/>
    </row>
    <row r="35" spans="2:11" ht="12.75">
      <c r="B35" s="22"/>
      <c r="C35" s="23"/>
      <c r="D35" s="25" t="s">
        <v>170</v>
      </c>
      <c r="E35" s="30">
        <v>0</v>
      </c>
      <c r="F35" s="98">
        <v>0</v>
      </c>
      <c r="G35" s="98">
        <v>0</v>
      </c>
      <c r="H35" s="102">
        <f>AVERAGE(E35:G35)</f>
        <v>0</v>
      </c>
      <c r="I35" s="141">
        <v>0</v>
      </c>
      <c r="J35" s="141">
        <v>0</v>
      </c>
      <c r="K35" s="24"/>
    </row>
    <row r="36" spans="2:11" ht="12.75">
      <c r="B36" s="22"/>
      <c r="C36" s="23"/>
      <c r="D36" s="25" t="s">
        <v>103</v>
      </c>
      <c r="E36" s="32">
        <f>E33</f>
        <v>0</v>
      </c>
      <c r="F36" s="32">
        <f>F33</f>
        <v>0</v>
      </c>
      <c r="G36" s="32">
        <f>G33</f>
        <v>0</v>
      </c>
      <c r="H36" s="102">
        <f>AVERAGE(E36:G36)</f>
        <v>0</v>
      </c>
      <c r="I36" s="141">
        <v>0</v>
      </c>
      <c r="J36" s="141">
        <v>0</v>
      </c>
      <c r="K36" s="24"/>
    </row>
    <row r="37" spans="2:11" ht="12.75">
      <c r="B37" s="22"/>
      <c r="C37" s="23"/>
      <c r="D37" s="25"/>
      <c r="E37" s="32"/>
      <c r="F37" s="32"/>
      <c r="G37" s="32"/>
      <c r="H37" s="102"/>
      <c r="I37" s="141"/>
      <c r="J37" s="141"/>
      <c r="K37" s="24"/>
    </row>
    <row r="38" spans="2:11" ht="12.75">
      <c r="B38" s="22"/>
      <c r="C38" s="23"/>
      <c r="D38" s="25" t="s">
        <v>208</v>
      </c>
      <c r="E38" s="32"/>
      <c r="F38" s="32"/>
      <c r="G38" s="32"/>
      <c r="H38" s="102"/>
      <c r="I38" s="141"/>
      <c r="J38" s="141"/>
      <c r="K38" s="24"/>
    </row>
    <row r="39" spans="2:11" ht="12.75">
      <c r="B39" s="22"/>
      <c r="C39" s="23"/>
      <c r="D39" s="25" t="s">
        <v>168</v>
      </c>
      <c r="E39" s="32"/>
      <c r="F39" s="32"/>
      <c r="G39" s="180"/>
      <c r="H39" s="180"/>
      <c r="I39" s="180"/>
      <c r="J39" s="141"/>
      <c r="K39" s="24"/>
    </row>
    <row r="40" spans="2:11" ht="12.75">
      <c r="B40" s="22"/>
      <c r="C40" s="23"/>
      <c r="D40" s="25" t="s">
        <v>169</v>
      </c>
      <c r="E40" s="32"/>
      <c r="F40" s="32"/>
      <c r="G40" s="98">
        <v>27000</v>
      </c>
      <c r="H40" s="102"/>
      <c r="I40" s="31">
        <v>0.01</v>
      </c>
      <c r="J40" s="141"/>
      <c r="K40" s="24"/>
    </row>
    <row r="41" spans="2:11" ht="12.75">
      <c r="B41" s="22"/>
      <c r="C41" s="23"/>
      <c r="D41" s="25" t="s">
        <v>170</v>
      </c>
      <c r="E41" s="32"/>
      <c r="F41" s="32"/>
      <c r="G41" s="98">
        <v>27000</v>
      </c>
      <c r="H41" s="102"/>
      <c r="I41" s="31">
        <v>0.01</v>
      </c>
      <c r="J41" s="141"/>
      <c r="K41" s="24"/>
    </row>
    <row r="42" spans="2:11" ht="12.75">
      <c r="B42" s="22"/>
      <c r="C42" s="23"/>
      <c r="D42" s="25" t="s">
        <v>176</v>
      </c>
      <c r="E42" s="32"/>
      <c r="F42" s="32"/>
      <c r="G42" s="98"/>
      <c r="H42" s="102"/>
      <c r="I42" s="31"/>
      <c r="J42" s="141"/>
      <c r="K42" s="24"/>
    </row>
    <row r="43" spans="2:11" ht="12.75">
      <c r="B43" s="22"/>
      <c r="C43" s="23"/>
      <c r="D43" s="25" t="s">
        <v>169</v>
      </c>
      <c r="E43" s="32"/>
      <c r="F43" s="32"/>
      <c r="G43" s="98">
        <v>20300</v>
      </c>
      <c r="H43" s="102"/>
      <c r="I43" s="31">
        <v>0.01</v>
      </c>
      <c r="J43" s="141"/>
      <c r="K43" s="24"/>
    </row>
    <row r="44" spans="2:11" ht="12.75">
      <c r="B44" s="22"/>
      <c r="C44" s="23"/>
      <c r="D44" s="25" t="s">
        <v>170</v>
      </c>
      <c r="E44" s="32"/>
      <c r="F44" s="32"/>
      <c r="G44" s="98">
        <v>20300</v>
      </c>
      <c r="H44" s="102"/>
      <c r="I44" s="31">
        <v>0.01</v>
      </c>
      <c r="J44" s="141"/>
      <c r="K44" s="24"/>
    </row>
    <row r="45" spans="2:11" ht="12.75">
      <c r="B45" s="22"/>
      <c r="C45" s="23"/>
      <c r="D45" s="25" t="s">
        <v>177</v>
      </c>
      <c r="E45" s="32"/>
      <c r="F45" s="32"/>
      <c r="G45" s="98"/>
      <c r="H45" s="102"/>
      <c r="I45" s="31"/>
      <c r="J45" s="141"/>
      <c r="K45" s="24"/>
    </row>
    <row r="46" spans="2:11" ht="12.75">
      <c r="B46" s="22"/>
      <c r="C46" s="23"/>
      <c r="D46" s="25" t="s">
        <v>169</v>
      </c>
      <c r="E46" s="32"/>
      <c r="F46" s="32"/>
      <c r="G46" s="98">
        <v>32000</v>
      </c>
      <c r="H46" s="102"/>
      <c r="I46" s="31">
        <v>0.01</v>
      </c>
      <c r="J46" s="141"/>
      <c r="K46" s="24"/>
    </row>
    <row r="47" spans="2:11" ht="12.75">
      <c r="B47" s="22"/>
      <c r="C47" s="23"/>
      <c r="D47" s="25" t="s">
        <v>170</v>
      </c>
      <c r="E47" s="32"/>
      <c r="F47" s="32"/>
      <c r="G47" s="98">
        <v>32000</v>
      </c>
      <c r="H47" s="102"/>
      <c r="I47" s="31">
        <v>0.01</v>
      </c>
      <c r="J47" s="141"/>
      <c r="K47" s="24"/>
    </row>
    <row r="48" spans="2:11" ht="12.75">
      <c r="B48" s="26"/>
      <c r="C48" s="143"/>
      <c r="D48" s="97"/>
      <c r="E48" s="27"/>
      <c r="F48" s="27"/>
      <c r="G48" s="27"/>
      <c r="H48" s="27"/>
      <c r="I48" s="27"/>
      <c r="J48" s="27"/>
      <c r="K48" s="28"/>
    </row>
  </sheetData>
  <mergeCells count="2">
    <mergeCell ref="C4:D4"/>
    <mergeCell ref="B2:D2"/>
  </mergeCells>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2:F48"/>
  <sheetViews>
    <sheetView workbookViewId="0" topLeftCell="A1">
      <selection activeCell="A1" sqref="A1"/>
    </sheetView>
  </sheetViews>
  <sheetFormatPr defaultColWidth="9.140625" defaultRowHeight="12.75"/>
  <cols>
    <col min="1" max="1" width="3.7109375" style="1" customWidth="1"/>
    <col min="2" max="2" width="3.00390625" style="1" customWidth="1"/>
    <col min="3" max="3" width="2.7109375" style="1" customWidth="1"/>
    <col min="4" max="4" width="38.7109375" style="1" customWidth="1"/>
    <col min="5" max="5" width="21.421875" style="1" customWidth="1"/>
    <col min="6" max="6" width="3.8515625" style="1" customWidth="1"/>
    <col min="7" max="7" width="9.140625" style="1" customWidth="1"/>
    <col min="8" max="8" width="31.421875" style="1" customWidth="1"/>
    <col min="9" max="16384" width="9.140625" style="1" customWidth="1"/>
  </cols>
  <sheetData>
    <row r="1" ht="12.75"/>
    <row r="2" ht="12.75">
      <c r="B2" s="2" t="s">
        <v>121</v>
      </c>
    </row>
    <row r="3" ht="12.75"/>
    <row r="4" spans="4:6" ht="12.75">
      <c r="D4" s="109" t="s">
        <v>122</v>
      </c>
      <c r="E4" s="58"/>
      <c r="F4" s="59"/>
    </row>
    <row r="5" spans="4:6" ht="12.75">
      <c r="D5" s="63"/>
      <c r="E5" s="60" t="s">
        <v>113</v>
      </c>
      <c r="F5" s="62"/>
    </row>
    <row r="6" spans="4:6" ht="12.75">
      <c r="D6" s="63"/>
      <c r="E6" s="61"/>
      <c r="F6" s="62"/>
    </row>
    <row r="7" spans="4:6" ht="12.75">
      <c r="D7" s="110" t="s">
        <v>118</v>
      </c>
      <c r="E7" s="64" t="s">
        <v>117</v>
      </c>
      <c r="F7" s="62"/>
    </row>
    <row r="8" spans="4:6" ht="12.75">
      <c r="D8" s="110" t="s">
        <v>128</v>
      </c>
      <c r="E8" s="111">
        <v>20</v>
      </c>
      <c r="F8" s="62"/>
    </row>
    <row r="9" spans="4:6" ht="12.75">
      <c r="D9" s="110" t="s">
        <v>129</v>
      </c>
      <c r="E9" s="64" t="s">
        <v>7</v>
      </c>
      <c r="F9" s="62"/>
    </row>
    <row r="10" spans="4:6" ht="12.75">
      <c r="D10" s="110"/>
      <c r="E10" s="61"/>
      <c r="F10" s="62"/>
    </row>
    <row r="11" spans="4:6" ht="12.75">
      <c r="D11" s="110" t="s">
        <v>119</v>
      </c>
      <c r="E11" s="61"/>
      <c r="F11" s="62"/>
    </row>
    <row r="12" spans="4:6" ht="12.75">
      <c r="D12" s="110" t="s">
        <v>130</v>
      </c>
      <c r="E12" s="111">
        <v>2500</v>
      </c>
      <c r="F12" s="62"/>
    </row>
    <row r="13" spans="4:6" ht="12.75">
      <c r="D13" s="110" t="s">
        <v>131</v>
      </c>
      <c r="E13" s="111">
        <v>2500</v>
      </c>
      <c r="F13" s="62"/>
    </row>
    <row r="14" spans="4:6" ht="12.75">
      <c r="D14" s="110" t="s">
        <v>132</v>
      </c>
      <c r="E14" s="111">
        <v>0</v>
      </c>
      <c r="F14" s="62"/>
    </row>
    <row r="15" spans="4:6" ht="12.75">
      <c r="D15" s="110"/>
      <c r="E15" s="61"/>
      <c r="F15" s="62"/>
    </row>
    <row r="16" spans="4:6" ht="12.75">
      <c r="D16" s="110" t="s">
        <v>120</v>
      </c>
      <c r="E16" s="61"/>
      <c r="F16" s="62"/>
    </row>
    <row r="17" spans="4:6" ht="12.75">
      <c r="D17" s="110" t="s">
        <v>133</v>
      </c>
      <c r="E17" s="111">
        <v>100</v>
      </c>
      <c r="F17" s="62"/>
    </row>
    <row r="18" spans="4:6" ht="12.75">
      <c r="D18" s="110" t="s">
        <v>133</v>
      </c>
      <c r="E18" s="69" t="s">
        <v>7</v>
      </c>
      <c r="F18" s="62"/>
    </row>
    <row r="19" spans="4:6" ht="12.75">
      <c r="D19" s="65"/>
      <c r="E19" s="66"/>
      <c r="F19" s="67"/>
    </row>
    <row r="20" ht="12.75"/>
    <row r="21" spans="4:6" ht="12.75">
      <c r="D21" s="40" t="s">
        <v>123</v>
      </c>
      <c r="E21" s="41"/>
      <c r="F21" s="99"/>
    </row>
    <row r="22" spans="4:6" ht="12.75">
      <c r="D22" s="47"/>
      <c r="E22" s="132" t="s">
        <v>113</v>
      </c>
      <c r="F22" s="50"/>
    </row>
    <row r="23" spans="4:6" ht="12.75">
      <c r="D23" s="47"/>
      <c r="E23" s="132"/>
      <c r="F23" s="50"/>
    </row>
    <row r="24" spans="4:6" ht="12.75">
      <c r="D24" s="100" t="s">
        <v>212</v>
      </c>
      <c r="E24" s="43"/>
      <c r="F24" s="50"/>
    </row>
    <row r="25" spans="4:6" ht="12.75">
      <c r="D25" s="100" t="s">
        <v>134</v>
      </c>
      <c r="E25" s="49">
        <v>0</v>
      </c>
      <c r="F25" s="50"/>
    </row>
    <row r="26" spans="4:6" ht="12.75">
      <c r="D26" s="100" t="s">
        <v>135</v>
      </c>
      <c r="E26" s="49">
        <v>0</v>
      </c>
      <c r="F26" s="50"/>
    </row>
    <row r="27" spans="4:6" ht="12.75">
      <c r="D27" s="100" t="s">
        <v>136</v>
      </c>
      <c r="E27" s="49">
        <v>0</v>
      </c>
      <c r="F27" s="50"/>
    </row>
    <row r="28" spans="4:6" ht="12.75">
      <c r="D28" s="100" t="s">
        <v>137</v>
      </c>
      <c r="E28" s="49">
        <v>0</v>
      </c>
      <c r="F28" s="50"/>
    </row>
    <row r="29" spans="4:6" ht="12.75">
      <c r="D29" s="100" t="s">
        <v>138</v>
      </c>
      <c r="E29" s="49">
        <v>0</v>
      </c>
      <c r="F29" s="50"/>
    </row>
    <row r="30" spans="4:6" ht="12.75">
      <c r="D30" s="100" t="s">
        <v>139</v>
      </c>
      <c r="E30" s="49">
        <v>0</v>
      </c>
      <c r="F30" s="50"/>
    </row>
    <row r="31" spans="4:6" ht="12.75">
      <c r="D31" s="100" t="s">
        <v>140</v>
      </c>
      <c r="E31" s="43">
        <f>SUM(E25:E30)</f>
        <v>0</v>
      </c>
      <c r="F31" s="50"/>
    </row>
    <row r="32" spans="4:6" ht="12.75">
      <c r="D32" s="100"/>
      <c r="E32" s="43"/>
      <c r="F32" s="50"/>
    </row>
    <row r="33" spans="4:6" ht="12.75">
      <c r="D33" s="100" t="s">
        <v>210</v>
      </c>
      <c r="E33" s="49">
        <v>0</v>
      </c>
      <c r="F33" s="50"/>
    </row>
    <row r="34" spans="4:6" ht="12.75">
      <c r="D34" s="51"/>
      <c r="E34" s="44"/>
      <c r="F34" s="68"/>
    </row>
    <row r="36" spans="3:4" ht="12.75">
      <c r="C36" s="133"/>
      <c r="D36" s="3"/>
    </row>
    <row r="37" spans="3:4" ht="12.75">
      <c r="C37" s="133"/>
      <c r="D37" s="3"/>
    </row>
    <row r="38" spans="3:4" ht="12.75">
      <c r="C38" s="133"/>
      <c r="D38" s="3"/>
    </row>
    <row r="39" spans="3:4" ht="12.75">
      <c r="C39" s="133"/>
      <c r="D39" s="3"/>
    </row>
    <row r="40" spans="3:4" ht="12.75">
      <c r="C40" s="133"/>
      <c r="D40" s="3"/>
    </row>
    <row r="41" spans="3:4" ht="12.75">
      <c r="C41" s="133"/>
      <c r="D41" s="3"/>
    </row>
    <row r="42" spans="3:4" ht="12.75">
      <c r="C42" s="134"/>
      <c r="D42" s="3"/>
    </row>
    <row r="43" spans="3:4" ht="12.75">
      <c r="C43" s="133"/>
      <c r="D43" s="3"/>
    </row>
    <row r="44" spans="3:4" ht="12.75">
      <c r="C44" s="133"/>
      <c r="D44" s="3"/>
    </row>
    <row r="45" spans="3:4" ht="12.75">
      <c r="C45" s="133"/>
      <c r="D45" s="3"/>
    </row>
    <row r="46" spans="3:4" ht="12.75">
      <c r="C46" s="3"/>
      <c r="D46" s="3"/>
    </row>
    <row r="47" spans="3:4" ht="12.75">
      <c r="C47" s="3"/>
      <c r="D47" s="3"/>
    </row>
    <row r="48" spans="3:4" ht="12.75">
      <c r="C48" s="3"/>
      <c r="D48" s="3"/>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B2:H11"/>
  <sheetViews>
    <sheetView workbookViewId="0" topLeftCell="A1">
      <selection activeCell="A1" sqref="A1"/>
    </sheetView>
  </sheetViews>
  <sheetFormatPr defaultColWidth="9.140625" defaultRowHeight="12.75"/>
  <cols>
    <col min="1" max="1" width="4.140625" style="1" customWidth="1"/>
    <col min="2" max="2" width="4.28125" style="1" customWidth="1"/>
    <col min="3" max="3" width="6.8515625" style="1" customWidth="1"/>
    <col min="4" max="4" width="35.00390625" style="1" customWidth="1"/>
    <col min="5" max="16384" width="9.140625" style="1" customWidth="1"/>
  </cols>
  <sheetData>
    <row r="1" ht="12.75"/>
    <row r="2" ht="12.75">
      <c r="B2" s="2" t="s">
        <v>239</v>
      </c>
    </row>
    <row r="3" ht="12.75">
      <c r="C3" s="2"/>
    </row>
    <row r="4" spans="3:8" ht="12.75">
      <c r="C4" s="170" t="s">
        <v>230</v>
      </c>
      <c r="D4" s="150"/>
      <c r="E4" s="150"/>
      <c r="F4" s="150"/>
      <c r="G4" s="171" t="s">
        <v>231</v>
      </c>
      <c r="H4" s="172" t="s">
        <v>232</v>
      </c>
    </row>
    <row r="5" spans="3:8" ht="12.75">
      <c r="C5" s="173"/>
      <c r="D5" s="77"/>
      <c r="E5" s="77"/>
      <c r="F5" s="77"/>
      <c r="G5" s="174"/>
      <c r="H5" s="175"/>
    </row>
    <row r="6" spans="3:8" ht="12.75">
      <c r="C6" s="137" t="s">
        <v>245</v>
      </c>
      <c r="D6" s="77"/>
      <c r="E6" s="77"/>
      <c r="F6" s="77"/>
      <c r="G6" s="174"/>
      <c r="H6" s="175"/>
    </row>
    <row r="7" spans="3:8" ht="12.75">
      <c r="C7" s="76" t="s">
        <v>246</v>
      </c>
      <c r="D7" s="77"/>
      <c r="E7" s="176">
        <f>150*12</f>
        <v>1800</v>
      </c>
      <c r="F7" s="77" t="s">
        <v>234</v>
      </c>
      <c r="G7" s="174"/>
      <c r="H7" s="175"/>
    </row>
    <row r="8" spans="3:8" ht="12.75">
      <c r="C8" s="76" t="s">
        <v>235</v>
      </c>
      <c r="D8" s="77"/>
      <c r="E8" s="176">
        <v>370</v>
      </c>
      <c r="F8" s="77" t="s">
        <v>236</v>
      </c>
      <c r="G8" s="174"/>
      <c r="H8" s="175"/>
    </row>
    <row r="9" spans="3:8" ht="12.75">
      <c r="C9" s="76" t="s">
        <v>247</v>
      </c>
      <c r="D9" s="77"/>
      <c r="E9" s="176">
        <v>350</v>
      </c>
      <c r="F9" s="77" t="s">
        <v>237</v>
      </c>
      <c r="G9" s="174"/>
      <c r="H9" s="175"/>
    </row>
    <row r="10" spans="3:8" ht="12.75">
      <c r="C10" s="76" t="s">
        <v>238</v>
      </c>
      <c r="D10" s="77"/>
      <c r="E10" s="176">
        <v>200</v>
      </c>
      <c r="F10" s="77" t="s">
        <v>233</v>
      </c>
      <c r="G10" s="174"/>
      <c r="H10" s="175"/>
    </row>
    <row r="11" spans="3:8" ht="12.75">
      <c r="C11" s="80"/>
      <c r="D11" s="81"/>
      <c r="E11" s="81"/>
      <c r="F11" s="81"/>
      <c r="G11" s="81"/>
      <c r="H11" s="181"/>
    </row>
  </sheetData>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dennisbn</dc:creator>
  <cp:keywords/>
  <dc:description/>
  <cp:lastModifiedBy>defuser</cp:lastModifiedBy>
  <cp:lastPrinted>2007-02-20T21:41:39Z</cp:lastPrinted>
  <dcterms:created xsi:type="dcterms:W3CDTF">2007-01-22T20:46:27Z</dcterms:created>
  <dcterms:modified xsi:type="dcterms:W3CDTF">2008-08-06T14:10:56Z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